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Oku beni" sheetId="1" state="visible" r:id="rId3"/>
    <sheet name="Vade Sapması" sheetId="2" state="visible" r:id="rId4"/>
    <sheet name="Grafik" sheetId="3" state="visible" r:id="rId5"/>
    <sheet name="Girdi — Faturalar ve tahsilat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<sst xmlns="http://schemas.openxmlformats.org/spreadsheetml/2006/main" count="155" uniqueCount="103">
  <si>
    <t xml:space="preserve">Bayi vade sapması şablonu</t>
  </si>
  <si>
    <t xml:space="preserve">Kaynak: opqora.com/sablonlar/vade-sapmasi · Logo ve Netsis'te gerçek vade: opqora.com/blog/logo-ve-netsiste-gercek-vadeye-gore-alacak-yaslandirma</t>
  </si>
  <si>
    <t xml:space="preserve">NE HESAPLAR</t>
  </si>
  <si>
    <t xml:space="preserve">Her bayi için anlaşılan vade ile fiilî ödeme günü arasındaki farkı (vade sapması), bu farkın finansman maliyetini ve vadesi geçmiş açık bakiyeyi gecikme dilimlerine göre (1–30, 31–60, 61–90, 90+ gün) verir. Yem ve un ayrı izlenebilir.</t>
  </si>
  <si>
    <t xml:space="preserve">Anlaşılan vade = Vade tarihi − Fatura tarihi. Fiili ödeme günü = Tahsil tarihi − Fatura tarihi. Sapma = Fiili − Anlaşılan; tutar ağırlıklıdır, büyük fatura ortalamayı daha çok etkiler.</t>
  </si>
  <si>
    <t xml:space="preserve">Açık faturalar: vadesi geçmişse fiili gün rapor tarihine kadar sayılır (bayi daha geç ödeyecek, bu bir alt sınırdır); vadesi gelmemişse sapma sıfır kabul edilir.</t>
  </si>
  <si>
    <t xml:space="preserve">Sapma maliyeti = Tutar × yıllık finansman oranı × sapma günü ÷ 365. Eksi değer bayinin erken ödediğini gösterir.</t>
  </si>
  <si>
    <t xml:space="preserve">NASIL KULLANILIR</t>
  </si>
  <si>
    <t xml:space="preserve">1) 'Girdi — Faturalar ve tahsilat': satış faturalarını ya da ödeme planı satırlarını yapıştırın. Kolonlar: Fatura No, Fatura tarihi, Cari Kod, Cari Ünvan, Ürün grubu, Tutar, Vade tarihi, Tahsil tarihi.</t>
  </si>
  <si>
    <t xml:space="preserve">2) Vade tarihi ödeme planındaki tarihtir (Logo'da fatura ödeme planı). Taksitli faturada her taksiti ayrı satır yapın. Tahsil tarihi, o tutarın kapandığı tarihtir; kapanmadıysa boş bırakın.</t>
  </si>
  <si>
    <t xml:space="preserve">3) Kısmi tahsilatta satırı ikiye bölün: kapanan tutar tahsil tarihiyle, kalan tutar boş tahsil tarihiyle.</t>
  </si>
  <si>
    <t xml:space="preserve">4) 'Vade Sapması' sayfasında rapor tarihini, yıllık finansman oranını ve ürün grubunu seçin. Bayi listesi girdiden kendiliğinden çıkar.</t>
  </si>
  <si>
    <t xml:space="preserve">5) 'Grafik': sapması en yüksek 10 bayide anlaşılan vade ile fiili ödeme günü yan yana.</t>
  </si>
  <si>
    <t xml:space="preserve">6) Gri 'ÖRNEK' satırları silin, kendi verinizi yapıştırın.</t>
  </si>
  <si>
    <t xml:space="preserve">BAYİ KÂRLILIK ŞABLONUYLA BİRLİKTE</t>
  </si>
  <si>
    <t xml:space="preserve">Buradaki 'Fiili ödeme günü' değerini bayi kârlılık şablonundaki 'Girdi — Ek maliyet' sayfasına yazarsanız, net birim fiyat anlaşılan vadeyle değil bayinin fiilen ödediği günle hesaplanır.</t>
  </si>
  <si>
    <t xml:space="preserve">İPUÇLARI</t>
  </si>
  <si>
    <t xml:space="preserve">• Cari hareket bakiyesiyle değil fatura ve tahsil tarihleriyle çalışın; bakiye hangi faturanın geç kaldığını söylemez.</t>
  </si>
  <si>
    <t xml:space="preserve">• Çekle tahsilatta tahsil tarihi çekin vadesidir (paranın hesaba geçtiği gün), çekin alındığı gün değildir.</t>
  </si>
  <si>
    <t xml:space="preserve">• İade ve iptal faturalarını çıkarın ya da eksi tutarla bırakın.</t>
  </si>
  <si>
    <t xml:space="preserve">• Makro yoktur; Excel, LibreOffice ve Google Sheets'te açılır.</t>
  </si>
  <si>
    <t xml:space="preserve">Bu şablon ücretsizdir ve olduğu gibi sunulur; mali müşavirinizle birlikte kullanın.</t>
  </si>
  <si>
    <t xml:space="preserve">Bayi vade sapması — anlaşılan vade, fiili ödeme günü ve maliyeti</t>
  </si>
  <si>
    <t xml:space="preserve">Sarı hücreleri doldurun; tablo 'Girdi — Faturalar ve tahsilat' sayfasından hesaplanır. Kaynak: opqora.com</t>
  </si>
  <si>
    <t xml:space="preserve">Rapor tarihi</t>
  </si>
  <si>
    <t xml:space="preserve">← varsayılan bugün; sabit bir tarih yazarak raporu dondurabilirsiniz</t>
  </si>
  <si>
    <t xml:space="preserve">Finansman oranı (yıllık %)</t>
  </si>
  <si>
    <t xml:space="preserve">← kendi kredi / faktoring maliyetiniz; %36,5 örnektir</t>
  </si>
  <si>
    <t xml:space="preserve">Ürün grubu</t>
  </si>
  <si>
    <t xml:space="preserve">Tümü</t>
  </si>
  <si>
    <t xml:space="preserve">← Tümü / Yem / Un / Diğer</t>
  </si>
  <si>
    <t xml:space="preserve">Vade sapması en yüksek 5 bayi</t>
  </si>
  <si>
    <t xml:space="preserve">Toplam fatura tutarı</t>
  </si>
  <si>
    <t xml:space="preserve">#</t>
  </si>
  <si>
    <t xml:space="preserve">Bayi</t>
  </si>
  <si>
    <t xml:space="preserve">Anlaşılan</t>
  </si>
  <si>
    <t xml:space="preserve">Fiili</t>
  </si>
  <si>
    <t xml:space="preserve">Sapma</t>
  </si>
  <si>
    <t xml:space="preserve">Sapma maliyeti</t>
  </si>
  <si>
    <t xml:space="preserve">Ağırlıklı anlaşılan vade (gün)</t>
  </si>
  <si>
    <t xml:space="preserve">Ağırlıklı fiili ödeme günü</t>
  </si>
  <si>
    <t xml:space="preserve">Ortalama vade sapması (gün)</t>
  </si>
  <si>
    <t xml:space="preserve">Toplam sapma maliyeti</t>
  </si>
  <si>
    <t xml:space="preserve">Vadesi geçmiş açık bakiye</t>
  </si>
  <si>
    <t xml:space="preserve">Bayi sayısı sınırı: 200. Girdi sayfasında farklı cari sayısı:</t>
  </si>
  <si>
    <t xml:space="preserve">Cari Kod</t>
  </si>
  <si>
    <t xml:space="preserve">Cari Ünvan</t>
  </si>
  <si>
    <t xml:space="preserve">Fatura tutarı</t>
  </si>
  <si>
    <t xml:space="preserve">Anlaşılan vade (gün)</t>
  </si>
  <si>
    <t xml:space="preserve">Fiili ödeme günü</t>
  </si>
  <si>
    <t xml:space="preserve">Vade sapması (gün)</t>
  </si>
  <si>
    <t xml:space="preserve">Açık bakiye</t>
  </si>
  <si>
    <t xml:space="preserve">Vadesi geçmiş açık</t>
  </si>
  <si>
    <t xml:space="preserve">1–30 gün</t>
  </si>
  <si>
    <t xml:space="preserve">31–60 gün</t>
  </si>
  <si>
    <t xml:space="preserve">61–90 gün</t>
  </si>
  <si>
    <t xml:space="preserve">90+ gün</t>
  </si>
  <si>
    <t xml:space="preserve">Sapma sırası</t>
  </si>
  <si>
    <t xml:space="preserve">TOPLAM</t>
  </si>
  <si>
    <t xml:space="preserve">Okuma: vade sapması artı ise bayi anlaşılandan geç ödüyor; sapma maliyeti bu gecikmenin finansman bedelidir ve bayinin net birim fiyatından düşer. Açık faturalarda fiili gün rapor tarihine kadar sayılır (alt sınır).</t>
  </si>
  <si>
    <t xml:space="preserve">Vade sapması en yüksek 10 bayi: anlaşılan vade ve fiili ödeme günü</t>
  </si>
  <si>
    <t xml:space="preserve">İki çubuk arasındaki fark vade sapmasıdır. Ürün grubu seçimi 'Vade Sapması' sayfasından gelir.</t>
  </si>
  <si>
    <t xml:space="preserve">Sıra</t>
  </si>
  <si>
    <t xml:space="preserve">Vadesi geçmiş açık bakiye — gecikme dilimleri</t>
  </si>
  <si>
    <t xml:space="preserve">Dilim</t>
  </si>
  <si>
    <t xml:space="preserve">Tutar</t>
  </si>
  <si>
    <t xml:space="preserve">Fatura No</t>
  </si>
  <si>
    <t xml:space="preserve">Fatura tarihi</t>
  </si>
  <si>
    <t xml:space="preserve">Ürün grubu (Yem/Un/Diğer)</t>
  </si>
  <si>
    <t xml:space="preserve">Vade tarihi</t>
  </si>
  <si>
    <t xml:space="preserve">Tahsil tarihi (boşsa açık)</t>
  </si>
  <si>
    <t xml:space="preserve">Not</t>
  </si>
  <si>
    <t xml:space="preserve">Ölçüm tarihi</t>
  </si>
  <si>
    <t xml:space="preserve">Sapma (gün)</t>
  </si>
  <si>
    <t xml:space="preserve">Durum</t>
  </si>
  <si>
    <t xml:space="preserve">Gecikme (gün, açık)</t>
  </si>
  <si>
    <t xml:space="preserve">Tutar × anlaşılan</t>
  </si>
  <si>
    <t xml:space="preserve">Tutar × fiili</t>
  </si>
  <si>
    <t xml:space="preserve">Açık tutar</t>
  </si>
  <si>
    <t xml:space="preserve">Gecikme dilimi</t>
  </si>
  <si>
    <t xml:space="preserve">Grup</t>
  </si>
  <si>
    <t xml:space="preserve">Bayi sırası</t>
  </si>
  <si>
    <t xml:space="preserve">ÖRNEK-1001</t>
  </si>
  <si>
    <t xml:space="preserve">120.01.001</t>
  </si>
  <si>
    <t xml:space="preserve">Örnek Bayi A</t>
  </si>
  <si>
    <t xml:space="preserve">Yem</t>
  </si>
  <si>
    <t xml:space="preserve">örnek satır — silin</t>
  </si>
  <si>
    <t xml:space="preserve">ÖRNEK-1002</t>
  </si>
  <si>
    <t xml:space="preserve">Un</t>
  </si>
  <si>
    <t xml:space="preserve">ÖRNEK-1003</t>
  </si>
  <si>
    <t xml:space="preserve">ÖRNEK-1004</t>
  </si>
  <si>
    <t xml:space="preserve">ÖRNEK-1005</t>
  </si>
  <si>
    <t xml:space="preserve">ÖRNEK-1006</t>
  </si>
  <si>
    <t xml:space="preserve">120.01.002</t>
  </si>
  <si>
    <t xml:space="preserve">Örnek Bayi B</t>
  </si>
  <si>
    <t xml:space="preserve">ÖRNEK-1007</t>
  </si>
  <si>
    <t xml:space="preserve">ÖRNEK-1008</t>
  </si>
  <si>
    <t xml:space="preserve">ÖRNEK-1009</t>
  </si>
  <si>
    <t xml:space="preserve">ÖRNEK-1010</t>
  </si>
  <si>
    <t xml:space="preserve">120.01.003</t>
  </si>
  <si>
    <t xml:space="preserve">Örnek Bayi C</t>
  </si>
  <si>
    <t xml:space="preserve">ÖRNEK-1011</t>
  </si>
  <si>
    <t xml:space="preserve">ÖRNEK-1012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</si>
</sst>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dd\.mm\.yyyy"/>
    <numFmt numFmtId="166" formatCode="0.0%"/>
    <numFmt numFmtId="167" formatCode="#,##0;[RED]\-#,##0"/>
    <numFmt numFmtId="168" formatCode="0.0;[RED]\-0.0"/>
    <numFmt numFmtId="169" formatCode="General"/>
    <numFmt numFmtId="170" formatCode="0"/>
    <numFmt numFmtId="171" formatCode="0;\-0;;"/>
    <numFmt numFmtId="172" formatCode="#,##0"/>
    <numFmt numFmtId="173" formatCode="0;[RED]\-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Cambria"/>
      <family val="0"/>
      <charset val="1"/>
    </font>
    <font>
      <sz val="11"/>
      <color rgb="FF6B7280"/>
      <name val="Cambria"/>
      <family val="0"/>
      <charset val="1"/>
    </font>
    <font>
      <b val="true"/>
      <sz val="12"/>
      <name val="Cambria"/>
      <family val="0"/>
      <charset val="1"/>
    </font>
    <font>
      <i val="true"/>
      <sz val="11"/>
      <color rgb="FF6B7280"/>
      <name val="Cambria"/>
      <family val="0"/>
      <charset val="1"/>
    </font>
    <font>
      <b val="true"/>
      <sz val="15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4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EF3C7"/>
        <bgColor rgb="FFFEE2E2"/>
      </patternFill>
    </fill>
    <fill>
      <patternFill patternType="solid">
        <fgColor rgb="FF1F2937"/>
        <bgColor rgb="FF333300"/>
      </patternFill>
    </fill>
    <fill>
      <patternFill patternType="solid">
        <fgColor rgb="FFF3F4F6"/>
        <bgColor rgb="FFEFF6FF"/>
      </patternFill>
    </fill>
    <fill>
      <patternFill patternType="solid">
        <fgColor rgb="FFEFF6FF"/>
        <bgColor rgb="FFF3F4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B91C1C"/>
      </font>
    </dxf>
    <dxf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B45309"/>
      <rgbColor rgb="FFFEF3C7"/>
      <rgbColor rgb="FFEFF6FF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B91C1C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Anlaşılan vade → fiili ödeme günü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Grafik!C4</c:f>
              <c:strCache>
                <c:ptCount val="1"/>
                <c:pt idx="0">
                  <c:v>Anlaşılan vade (gün)</c:v>
                </c:pt>
              </c:strCache>
            </c:strRef>
          </c:tx>
          <c:spPr>
            <a:solidFill>
              <a:srgbClr val="b4530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Grafik!$B$5:$B$14</c:f>
              <c:strCache>
                <c:ptCount val="10"/>
                <c:pt idx="0">
                  <c:v>Örnek Bayi A</c:v>
                </c:pt>
                <c:pt idx="1">
                  <c:v>Örnek Bayi C</c:v>
                </c:pt>
                <c:pt idx="2">
                  <c:v>Örnek Bayi B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Grafik!$C$5:$C$14</c:f>
              <c:numCache>
                <c:formatCode>0;\-0;;</c:formatCode>
                <c:ptCount val="10"/>
                <c:pt idx="0">
                  <c:v>60</c:v>
                </c:pt>
                <c:pt idx="1">
                  <c:v>60</c:v>
                </c:pt>
                <c:pt idx="2">
                  <c:v>30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1"/>
          <c:order val="1"/>
          <c:tx>
            <c:strRef>
              <c:f>Grafik!D4</c:f>
              <c:strCache>
                <c:ptCount val="1"/>
                <c:pt idx="0">
                  <c:v>Fiili ödeme günü</c:v>
                </c:pt>
              </c:strCache>
            </c:strRef>
          </c:tx>
          <c:spPr>
            <a:solidFill>
              <a:srgbClr val="1d4ed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Grafik!$B$5:$B$14</c:f>
              <c:strCache>
                <c:ptCount val="10"/>
                <c:pt idx="0">
                  <c:v>Örnek Bayi A</c:v>
                </c:pt>
                <c:pt idx="1">
                  <c:v>Örnek Bayi C</c:v>
                </c:pt>
                <c:pt idx="2">
                  <c:v>Örnek Bayi B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Grafik!$D$5:$D$14</c:f>
              <c:numCache>
                <c:formatCode>0;\-0;;</c:formatCode>
                <c:ptCount val="10"/>
                <c:pt idx="0">
                  <c:v>115.588235294118</c:v>
                </c:pt>
                <c:pt idx="1">
                  <c:v>65.6222222222222</c:v>
                </c:pt>
                <c:pt idx="2">
                  <c:v>30.1052631578947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gapWidth val="60"/>
        <c:overlap val="0"/>
        <c:axId val="21914901"/>
        <c:axId val="52475443"/>
      </c:barChart>
      <c:catAx>
        <c:axId val="21914901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475443"/>
        <c:crosses val="autoZero"/>
        <c:auto val="1"/>
        <c:lblAlgn val="ctr"/>
        <c:lblOffset val="100"/>
        <c:noMultiLvlLbl val="0"/>
      </c:catAx>
      <c:valAx>
        <c:axId val="52475443"/>
        <c:scaling>
          <c:orientation val="minMax"/>
          <c:min val="0"/>
        </c:scaling>
        <c:delete val="0"/>
        <c:axPos val="l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gün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191490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Gecikme dilimleri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Grafik!C19</c:f>
              <c:strCache>
                <c:ptCount val="1"/>
                <c:pt idx="0">
                  <c:v>Tutar</c:v>
                </c:pt>
              </c:strCache>
            </c:strRef>
          </c:tx>
          <c:spPr>
            <a:solidFill>
              <a:srgbClr val="1d4ed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Grafik!$B$20:$B$23</c:f>
              <c:strCache>
                <c:ptCount val="4"/>
                <c:pt idx="0">
                  <c:v>1–30 gün</c:v>
                </c:pt>
                <c:pt idx="1">
                  <c:v>31–60 gün</c:v>
                </c:pt>
                <c:pt idx="2">
                  <c:v>61–90 gün</c:v>
                </c:pt>
                <c:pt idx="3">
                  <c:v>90+ gün</c:v>
                </c:pt>
              </c:strCache>
            </c:strRef>
          </c:cat>
          <c:val>
            <c:numRef>
              <c:f>Grafik!$C$20:$C$23</c:f>
              <c:numCache>
                <c:formatCode>#,##0;[RED]\-#,##0</c:formatCode>
                <c:ptCount val="4"/>
                <c:pt idx="0">
                  <c:v>1500000</c:v>
                </c:pt>
                <c:pt idx="1">
                  <c:v>2700000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gapWidth val="150"/>
        <c:overlap val="0"/>
        <c:axId val="89694691"/>
        <c:axId val="50849836"/>
      </c:barChart>
      <c:catAx>
        <c:axId val="896946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849836"/>
        <c:crosses val="autoZero"/>
        <c:auto val="1"/>
        <c:lblAlgn val="ctr"/>
        <c:lblOffset val="100"/>
        <c:noMultiLvlLbl val="0"/>
      </c:catAx>
      <c:valAx>
        <c:axId val="50849836"/>
        <c:scaling>
          <c:orientation val="minMax"/>
          <c:min val="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69469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2</xdr:row>
      <xdr:rowOff>160920</xdr:rowOff>
    </xdr:from>
    <xdr:to>
      <xdr:col>17</xdr:col>
      <xdr:colOff>581400</xdr:colOff>
      <xdr:row>24</xdr:row>
      <xdr:rowOff>173160</xdr:rowOff>
    </xdr:to>
    <xdr:graphicFrame>
      <xdr:nvGraphicFramePr>
        <xdr:cNvPr id="0" name="Chart 1"/>
        <xdr:cNvGraphicFramePr/>
      </xdr:nvGraphicFramePr>
      <xdr:xfrm>
        <a:off x="5122440" y="571680"/>
        <a:ext cx="7919640" cy="46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160560</xdr:rowOff>
    </xdr:from>
    <xdr:to>
      <xdr:col>17</xdr:col>
      <xdr:colOff>581400</xdr:colOff>
      <xdr:row>46</xdr:row>
      <xdr:rowOff>162000</xdr:rowOff>
    </xdr:to>
    <xdr:graphicFrame>
      <xdr:nvGraphicFramePr>
        <xdr:cNvPr id="1" name="Chart 2"/>
        <xdr:cNvGraphicFramePr/>
      </xdr:nvGraphicFramePr>
      <xdr:xfrm>
        <a:off x="5122440" y="619128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2"/>
  </cols>
  <sheetData>
    <row r="1" customFormat="false" ht="19.7" hidden="false" customHeight="false" outlineLevel="0" collapsed="false">
      <c r="A1" s="1" t="s">
        <v>0</v>
      </c>
    </row>
    <row r="2" customFormat="false" ht="28.3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28.35" hidden="false" customHeight="false" outlineLevel="0" collapsed="false">
      <c r="A5" s="3" t="s">
        <v>3</v>
      </c>
    </row>
    <row r="6" customFormat="false" ht="28.35" hidden="false" customHeight="false" outlineLevel="0" collapsed="false">
      <c r="A6" s="3" t="s">
        <v>4</v>
      </c>
    </row>
    <row r="7" customFormat="false" ht="28.3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4" t="s">
        <v>7</v>
      </c>
    </row>
    <row r="11" customFormat="false" ht="28.35" hidden="false" customHeight="false" outlineLevel="0" collapsed="false">
      <c r="A11" s="3" t="s">
        <v>8</v>
      </c>
    </row>
    <row r="12" customFormat="false" ht="28.3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 t="s">
        <v>12</v>
      </c>
    </row>
    <row r="16" customFormat="false" ht="15" hidden="false" customHeight="false" outlineLevel="0" collapsed="false">
      <c r="A16" s="3" t="s">
        <v>13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4" t="s">
        <v>14</v>
      </c>
    </row>
    <row r="19" customFormat="false" ht="28.35" hidden="false" customHeight="false" outlineLevel="0" collapsed="false">
      <c r="A19" s="3" t="s">
        <v>15</v>
      </c>
    </row>
    <row r="20" customFormat="false" ht="15" hidden="false" customHeight="false" outlineLevel="0" collapsed="false">
      <c r="A20" s="3"/>
    </row>
    <row r="21" customFormat="false" ht="15" hidden="false" customHeight="false" outlineLevel="0" collapsed="false">
      <c r="A21" s="4" t="s">
        <v>16</v>
      </c>
    </row>
    <row r="22" customFormat="false" ht="15" hidden="false" customHeight="false" outlineLevel="0" collapsed="false">
      <c r="A22" s="3" t="s">
        <v>17</v>
      </c>
    </row>
    <row r="23" customFormat="false" ht="15" hidden="false" customHeight="false" outlineLevel="0" collapsed="false">
      <c r="A23" s="3" t="s">
        <v>18</v>
      </c>
    </row>
    <row r="24" customFormat="false" ht="15" hidden="false" customHeight="false" outlineLevel="0" collapsed="false">
      <c r="A24" s="3" t="s">
        <v>19</v>
      </c>
    </row>
    <row r="25" customFormat="false" ht="15" hidden="false" customHeight="false" outlineLevel="0" collapsed="false">
      <c r="A25" s="3" t="s">
        <v>20</v>
      </c>
    </row>
    <row r="26" customFormat="false" ht="15" hidden="false" customHeight="false" outlineLevel="0" collapsed="false">
      <c r="A26" s="3"/>
    </row>
    <row r="27" customFormat="false" ht="15" hidden="false" customHeight="false" outlineLevel="0" collapsed="false">
      <c r="A27" s="5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2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6" topLeftCell="C17" activePane="bottomRight" state="frozen"/>
      <selection pane="topLeft" activeCell="A1" activeCellId="0" sqref="A1"/>
      <selection pane="topRight" activeCell="C1" activeCellId="0" sqref="C1"/>
      <selection pane="bottomLeft" activeCell="A17" activeCellId="0" sqref="A1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15"/>
    <col collapsed="false" customWidth="true" hidden="false" outlineLevel="0" max="6" min="4" style="0" width="12"/>
    <col collapsed="false" customWidth="true" hidden="false" outlineLevel="0" max="8" min="7" style="0" width="14"/>
    <col collapsed="false" customWidth="true" hidden="false" outlineLevel="0" max="9" min="9" style="0" width="15"/>
    <col collapsed="false" customWidth="true" hidden="false" outlineLevel="0" max="13" min="10" style="0" width="13"/>
    <col collapsed="false" customWidth="true" hidden="false" outlineLevel="0" max="14" min="14" style="0" width="10"/>
    <col collapsed="false" customWidth="true" hidden="true" outlineLevel="0" max="26" min="26" style="0" width="13"/>
  </cols>
  <sheetData>
    <row r="1" customFormat="false" ht="18.55" hidden="false" customHeight="false" outlineLevel="0" collapsed="false">
      <c r="A1" s="6" t="s">
        <v>22</v>
      </c>
    </row>
    <row r="2" customFormat="false" ht="15" hidden="false" customHeight="false" outlineLevel="0" collapsed="false">
      <c r="A2" s="7" t="s">
        <v>23</v>
      </c>
    </row>
    <row r="3" customFormat="false" ht="15" hidden="false" customHeight="false" outlineLevel="0" collapsed="false">
      <c r="A3" s="8" t="s">
        <v>24</v>
      </c>
      <c r="B3" s="8"/>
      <c r="C3" s="8"/>
      <c r="D3" s="9" t="n">
        <f aca="true">TODAY()</f>
        <v>46292</v>
      </c>
      <c r="E3" s="7" t="s">
        <v>25</v>
      </c>
    </row>
    <row r="4" customFormat="false" ht="15" hidden="false" customHeight="false" outlineLevel="0" collapsed="false">
      <c r="A4" s="8" t="s">
        <v>26</v>
      </c>
      <c r="B4" s="8"/>
      <c r="C4" s="8"/>
      <c r="D4" s="10" t="n">
        <v>0.365</v>
      </c>
      <c r="E4" s="7" t="s">
        <v>27</v>
      </c>
    </row>
    <row r="5" customFormat="false" ht="15" hidden="false" customHeight="false" outlineLevel="0" collapsed="false">
      <c r="A5" s="8" t="s">
        <v>28</v>
      </c>
      <c r="B5" s="8"/>
      <c r="C5" s="8"/>
      <c r="D5" s="11" t="s">
        <v>29</v>
      </c>
      <c r="E5" s="7" t="s">
        <v>30</v>
      </c>
      <c r="Z5" s="0" t="str">
        <f aca="false">IF(D5="Tümü","*",D5)</f>
        <v>*</v>
      </c>
    </row>
    <row r="6" customFormat="false" ht="15" hidden="false" customHeight="false" outlineLevel="0" collapsed="false">
      <c r="F6" s="12" t="s">
        <v>31</v>
      </c>
    </row>
    <row r="7" customFormat="false" ht="15" hidden="false" customHeight="false" outlineLevel="0" collapsed="false">
      <c r="A7" s="8" t="s">
        <v>32</v>
      </c>
      <c r="B7" s="8"/>
      <c r="C7" s="8"/>
      <c r="D7" s="13" t="n">
        <f aca="false">C217</f>
        <v>22300000</v>
      </c>
      <c r="F7" s="14" t="s">
        <v>33</v>
      </c>
      <c r="G7" s="14" t="s">
        <v>34</v>
      </c>
      <c r="H7" s="14" t="s">
        <v>35</v>
      </c>
      <c r="I7" s="14" t="s">
        <v>36</v>
      </c>
      <c r="J7" s="14" t="s">
        <v>37</v>
      </c>
      <c r="K7" s="14" t="s">
        <v>38</v>
      </c>
    </row>
    <row r="8" customFormat="false" ht="15" hidden="false" customHeight="false" outlineLevel="0" collapsed="false">
      <c r="A8" s="8" t="s">
        <v>39</v>
      </c>
      <c r="B8" s="8"/>
      <c r="C8" s="8"/>
      <c r="D8" s="15" t="n">
        <f aca="false">D217</f>
        <v>49.7757847533632</v>
      </c>
      <c r="F8" s="16" t="n">
        <v>1</v>
      </c>
      <c r="G8" s="16" t="str">
        <f aca="false">IFERROR(INDEX($B$17:$B$216,MATCH(1,$N$17:$N$216,0)),"")</f>
        <v>Örnek Bayi A</v>
      </c>
      <c r="H8" s="15" t="n">
        <f aca="false">IFERROR(INDEX($D$17:$D$216,MATCH(1,$N$17:$N$216,0)),"")</f>
        <v>60</v>
      </c>
      <c r="I8" s="15" t="n">
        <f aca="false">IFERROR(INDEX($E$17:$E$216,MATCH(1,$N$17:$N$216,0)),"")</f>
        <v>115.588235294118</v>
      </c>
      <c r="J8" s="15" t="n">
        <f aca="false">IFERROR(INDEX($F$17:$F$216,MATCH(1,$N$17:$N$216,0)),"")</f>
        <v>55.5882352941177</v>
      </c>
      <c r="K8" s="13" t="n">
        <f aca="false">IFERROR(INDEX($G$17:$G$216,MATCH(1,$N$17:$N$216,0)),"")</f>
        <v>567000</v>
      </c>
    </row>
    <row r="9" customFormat="false" ht="15" hidden="false" customHeight="false" outlineLevel="0" collapsed="false">
      <c r="A9" s="8" t="s">
        <v>40</v>
      </c>
      <c r="B9" s="8"/>
      <c r="C9" s="8"/>
      <c r="D9" s="15" t="n">
        <f aca="false">E217</f>
        <v>76.3721973094171</v>
      </c>
      <c r="F9" s="16" t="n">
        <v>2</v>
      </c>
      <c r="G9" s="16" t="str">
        <f aca="false">IFERROR(INDEX($B$17:$B$216,MATCH(2,$N$17:$N$216,0)),"")</f>
        <v>Örnek Bayi C</v>
      </c>
      <c r="H9" s="15" t="n">
        <f aca="false">IFERROR(INDEX($D$17:$D$216,MATCH(2,$N$17:$N$216,0)),"")</f>
        <v>60</v>
      </c>
      <c r="I9" s="15" t="n">
        <f aca="false">IFERROR(INDEX($E$17:$E$216,MATCH(2,$N$17:$N$216,0)),"")</f>
        <v>65.6222222222222</v>
      </c>
      <c r="J9" s="15" t="n">
        <f aca="false">IFERROR(INDEX($F$17:$F$216,MATCH(2,$N$17:$N$216,0)),"")</f>
        <v>5.62222222222222</v>
      </c>
      <c r="K9" s="13" t="n">
        <f aca="false">IFERROR(INDEX($G$17:$G$216,MATCH(2,$N$17:$N$216,0)),"")</f>
        <v>25300</v>
      </c>
    </row>
    <row r="10" customFormat="false" ht="15" hidden="false" customHeight="false" outlineLevel="0" collapsed="false">
      <c r="A10" s="8" t="s">
        <v>41</v>
      </c>
      <c r="B10" s="8"/>
      <c r="C10" s="8"/>
      <c r="D10" s="15" t="n">
        <f aca="false">F217</f>
        <v>26.5964125560538</v>
      </c>
      <c r="F10" s="16" t="n">
        <v>3</v>
      </c>
      <c r="G10" s="16" t="str">
        <f aca="false">IFERROR(INDEX($B$17:$B$216,MATCH(3,$N$17:$N$216,0)),"")</f>
        <v>Örnek Bayi B</v>
      </c>
      <c r="H10" s="15" t="n">
        <f aca="false">IFERROR(INDEX($D$17:$D$216,MATCH(3,$N$17:$N$216,0)),"")</f>
        <v>30</v>
      </c>
      <c r="I10" s="15" t="n">
        <f aca="false">IFERROR(INDEX($E$17:$E$216,MATCH(3,$N$17:$N$216,0)),"")</f>
        <v>30.1052631578947</v>
      </c>
      <c r="J10" s="15" t="n">
        <f aca="false">IFERROR(INDEX($F$17:$F$216,MATCH(3,$N$17:$N$216,0)),"")</f>
        <v>0.105263157894736</v>
      </c>
      <c r="K10" s="13" t="n">
        <f aca="false">IFERROR(INDEX($G$17:$G$216,MATCH(3,$N$17:$N$216,0)),"")</f>
        <v>799.999999999996</v>
      </c>
    </row>
    <row r="11" customFormat="false" ht="15" hidden="false" customHeight="false" outlineLevel="0" collapsed="false">
      <c r="A11" s="8" t="s">
        <v>42</v>
      </c>
      <c r="B11" s="8"/>
      <c r="C11" s="8"/>
      <c r="D11" s="13" t="n">
        <f aca="false">G217</f>
        <v>593100</v>
      </c>
      <c r="F11" s="16" t="n">
        <v>4</v>
      </c>
      <c r="G11" s="16" t="str">
        <f aca="false">IFERROR(INDEX($B$17:$B$216,MATCH(4,$N$17:$N$216,0)),"")</f>
        <v/>
      </c>
      <c r="H11" s="15" t="str">
        <f aca="false">IFERROR(INDEX($D$17:$D$216,MATCH(4,$N$17:$N$216,0)),"")</f>
        <v/>
      </c>
      <c r="I11" s="15" t="str">
        <f aca="false">IFERROR(INDEX($E$17:$E$216,MATCH(4,$N$17:$N$216,0)),"")</f>
        <v/>
      </c>
      <c r="J11" s="15" t="str">
        <f aca="false">IFERROR(INDEX($F$17:$F$216,MATCH(4,$N$17:$N$216,0)),"")</f>
        <v/>
      </c>
      <c r="K11" s="13" t="str">
        <f aca="false">IFERROR(INDEX($G$17:$G$216,MATCH(4,$N$17:$N$216,0)),"")</f>
        <v/>
      </c>
    </row>
    <row r="12" customFormat="false" ht="15" hidden="false" customHeight="false" outlineLevel="0" collapsed="false">
      <c r="A12" s="8" t="s">
        <v>43</v>
      </c>
      <c r="B12" s="8"/>
      <c r="C12" s="8"/>
      <c r="D12" s="13" t="n">
        <f aca="false">I217</f>
        <v>4200000</v>
      </c>
      <c r="F12" s="16" t="n">
        <v>5</v>
      </c>
      <c r="G12" s="16" t="str">
        <f aca="false">IFERROR(INDEX($B$17:$B$216,MATCH(5,$N$17:$N$216,0)),"")</f>
        <v/>
      </c>
      <c r="H12" s="15" t="str">
        <f aca="false">IFERROR(INDEX($D$17:$D$216,MATCH(5,$N$17:$N$216,0)),"")</f>
        <v/>
      </c>
      <c r="I12" s="15" t="str">
        <f aca="false">IFERROR(INDEX($E$17:$E$216,MATCH(5,$N$17:$N$216,0)),"")</f>
        <v/>
      </c>
      <c r="J12" s="15" t="str">
        <f aca="false">IFERROR(INDEX($F$17:$F$216,MATCH(5,$N$17:$N$216,0)),"")</f>
        <v/>
      </c>
      <c r="K12" s="13" t="str">
        <f aca="false">IFERROR(INDEX($G$17:$G$216,MATCH(5,$N$17:$N$216,0)),"")</f>
        <v/>
      </c>
    </row>
    <row r="13" customFormat="false" ht="15" hidden="false" customHeight="false" outlineLevel="0" collapsed="false">
      <c r="A13" s="17" t="s">
        <v>44</v>
      </c>
      <c r="B13" s="17"/>
      <c r="C13" s="17"/>
      <c r="D13" s="18" t="n">
        <f aca="false">MAX('Girdi — Faturalar ve tahsilat'!$U$2:$U$3001)</f>
        <v>3</v>
      </c>
    </row>
    <row r="16" customFormat="false" ht="39.75" hidden="false" customHeight="true" outlineLevel="0" collapsed="false">
      <c r="A16" s="19" t="s">
        <v>45</v>
      </c>
      <c r="B16" s="19" t="s">
        <v>46</v>
      </c>
      <c r="C16" s="19" t="s">
        <v>47</v>
      </c>
      <c r="D16" s="19" t="s">
        <v>48</v>
      </c>
      <c r="E16" s="19" t="s">
        <v>49</v>
      </c>
      <c r="F16" s="19" t="s">
        <v>50</v>
      </c>
      <c r="G16" s="19" t="s">
        <v>38</v>
      </c>
      <c r="H16" s="19" t="s">
        <v>51</v>
      </c>
      <c r="I16" s="19" t="s">
        <v>52</v>
      </c>
      <c r="J16" s="19" t="s">
        <v>53</v>
      </c>
      <c r="K16" s="19" t="s">
        <v>54</v>
      </c>
      <c r="L16" s="19" t="s">
        <v>55</v>
      </c>
      <c r="M16" s="19" t="s">
        <v>56</v>
      </c>
      <c r="N16" s="19" t="s">
        <v>57</v>
      </c>
    </row>
    <row r="17" customFormat="false" ht="15" hidden="false" customHeight="false" outlineLevel="0" collapsed="false">
      <c r="A17" s="16" t="str">
        <f aca="false">IFERROR(INDEX('Girdi — Faturalar ve tahsilat'!$C$2:$C$3001,MATCH(1,'Girdi — Faturalar ve tahsilat'!$U$2:$U$3001,0)),"")</f>
        <v>120.01.001</v>
      </c>
      <c r="B17" s="16" t="str">
        <f aca="false">IF(A17="","",INDEX('Girdi — Faturalar ve tahsilat'!$D$2:$D$3001,MATCH(1,'Girdi — Faturalar ve tahsilat'!$U$2:$U$3001,0)))</f>
        <v>Örnek Bayi A</v>
      </c>
      <c r="C17" s="13" t="n">
        <f aca="false">IF(A17="","",SUMIFS('Girdi — Faturalar ve tahsilat'!$F$2:$F$3001,'Girdi — Faturalar ve tahsilat'!$C$2:$C$3001,$A17,'Girdi — Faturalar ve tahsilat'!$T$2:$T$3001,$Z$5))</f>
        <v>10200000</v>
      </c>
      <c r="D17" s="15" t="n">
        <f aca="false">IF(OR(A17="",N(C17)=0),"",SUMIFS('Girdi — Faturalar ve tahsilat'!$P$2:$P$3001,'Girdi — Faturalar ve tahsilat'!$C$2:$C$3001,$A17,'Girdi — Faturalar ve tahsilat'!$T$2:$T$3001,$Z$5)/C17)</f>
        <v>60</v>
      </c>
      <c r="E17" s="15" t="n">
        <f aca="false">IF(OR(A17="",N(C17)=0),"",SUMIFS('Girdi — Faturalar ve tahsilat'!$Q$2:$Q$3001,'Girdi — Faturalar ve tahsilat'!$C$2:$C$3001,$A17,'Girdi — Faturalar ve tahsilat'!$T$2:$T$3001,$Z$5)/C17)</f>
        <v>115.588235294118</v>
      </c>
      <c r="F17" s="20" t="n">
        <f aca="false">IF(D17="","",E17-D17)</f>
        <v>55.5882352941177</v>
      </c>
      <c r="G17" s="13" t="n">
        <f aca="false">IF(F17="","",C17*$D$4*F17/365)</f>
        <v>567000</v>
      </c>
      <c r="H17" s="13" t="n">
        <f aca="false">IF(A17="","",SUMIFS('Girdi — Faturalar ve tahsilat'!$R$2:$R$3001,'Girdi — Faturalar ve tahsilat'!$C$2:$C$3001,$A17,'Girdi — Faturalar ve tahsilat'!$T$2:$T$3001,$Z$5))</f>
        <v>2700000</v>
      </c>
      <c r="I17" s="13" t="n">
        <f aca="false">IF(A17="","",SUMIFS('Girdi — Faturalar ve tahsilat'!$R$2:$R$3001,'Girdi — Faturalar ve tahsilat'!$C$2:$C$3001,$A17,'Girdi — Faturalar ve tahsilat'!$T$2:$T$3001,$Z$5,'Girdi — Faturalar ve tahsilat'!$O$2:$O$3001,"&gt;0"))</f>
        <v>2700000</v>
      </c>
      <c r="J17" s="13" t="n">
        <f aca="false">IF(A17="","",SUMIFS('Girdi — Faturalar ve tahsilat'!$R$2:$R$3001,'Girdi — Faturalar ve tahsilat'!$C$2:$C$3001,$A17,'Girdi — Faturalar ve tahsilat'!$T$2:$T$3001,$Z$5,'Girdi — Faturalar ve tahsilat'!$S$2:$S$3001,"1-30"))</f>
        <v>0</v>
      </c>
      <c r="K17" s="13" t="n">
        <f aca="false">IF(A17="","",SUMIFS('Girdi — Faturalar ve tahsilat'!$R$2:$R$3001,'Girdi — Faturalar ve tahsilat'!$C$2:$C$3001,$A17,'Girdi — Faturalar ve tahsilat'!$T$2:$T$3001,$Z$5,'Girdi — Faturalar ve tahsilat'!$S$2:$S$3001,"31-60"))</f>
        <v>2700000</v>
      </c>
      <c r="L17" s="13" t="n">
        <f aca="false">IF(A17="","",SUMIFS('Girdi — Faturalar ve tahsilat'!$R$2:$R$3001,'Girdi — Faturalar ve tahsilat'!$C$2:$C$3001,$A17,'Girdi — Faturalar ve tahsilat'!$T$2:$T$3001,$Z$5,'Girdi — Faturalar ve tahsilat'!$S$2:$S$3001,"61-90"))</f>
        <v>0</v>
      </c>
      <c r="M17" s="13" t="n">
        <f aca="false">IF(A17="","",SUMIFS('Girdi — Faturalar ve tahsilat'!$R$2:$R$3001,'Girdi — Faturalar ve tahsilat'!$C$2:$C$3001,$A17,'Girdi — Faturalar ve tahsilat'!$T$2:$T$3001,$Z$5,'Girdi — Faturalar ve tahsilat'!$S$2:$S$3001,"90+"))</f>
        <v>0</v>
      </c>
      <c r="N17" s="21" t="n">
        <f aca="false">IF(F17="","",RANK(F17,$F$17:$F$216,0)+COUNTIF($F$17:F17,F17)-1)</f>
        <v>1</v>
      </c>
    </row>
    <row r="18" customFormat="false" ht="15" hidden="false" customHeight="false" outlineLevel="0" collapsed="false">
      <c r="A18" s="16" t="str">
        <f aca="false">IFERROR(INDEX('Girdi — Faturalar ve tahsilat'!$C$2:$C$3001,MATCH(2,'Girdi — Faturalar ve tahsilat'!$U$2:$U$3001,0)),"")</f>
        <v>120.01.002</v>
      </c>
      <c r="B18" s="16" t="str">
        <f aca="false">IF(A18="","",INDEX('Girdi — Faturalar ve tahsilat'!$D$2:$D$3001,MATCH(2,'Girdi — Faturalar ve tahsilat'!$U$2:$U$3001,0)))</f>
        <v>Örnek Bayi B</v>
      </c>
      <c r="C18" s="13" t="n">
        <f aca="false">IF(A18="","",SUMIFS('Girdi — Faturalar ve tahsilat'!$F$2:$F$3001,'Girdi — Faturalar ve tahsilat'!$C$2:$C$3001,$A18,'Girdi — Faturalar ve tahsilat'!$T$2:$T$3001,$Z$5))</f>
        <v>7600000</v>
      </c>
      <c r="D18" s="15" t="n">
        <f aca="false">IF(OR(A18="",N(C18)=0),"",SUMIFS('Girdi — Faturalar ve tahsilat'!$P$2:$P$3001,'Girdi — Faturalar ve tahsilat'!$C$2:$C$3001,$A18,'Girdi — Faturalar ve tahsilat'!$T$2:$T$3001,$Z$5)/C18)</f>
        <v>30</v>
      </c>
      <c r="E18" s="15" t="n">
        <f aca="false">IF(OR(A18="",N(C18)=0),"",SUMIFS('Girdi — Faturalar ve tahsilat'!$Q$2:$Q$3001,'Girdi — Faturalar ve tahsilat'!$C$2:$C$3001,$A18,'Girdi — Faturalar ve tahsilat'!$T$2:$T$3001,$Z$5)/C18)</f>
        <v>30.1052631578947</v>
      </c>
      <c r="F18" s="20" t="n">
        <f aca="false">IF(D18="","",E18-D18)</f>
        <v>0.105263157894736</v>
      </c>
      <c r="G18" s="13" t="n">
        <f aca="false">IF(F18="","",C18*$D$4*F18/365)</f>
        <v>799.999999999996</v>
      </c>
      <c r="H18" s="13" t="n">
        <f aca="false">IF(A18="","",SUMIFS('Girdi — Faturalar ve tahsilat'!$R$2:$R$3001,'Girdi — Faturalar ve tahsilat'!$C$2:$C$3001,$A18,'Girdi — Faturalar ve tahsilat'!$T$2:$T$3001,$Z$5))</f>
        <v>1000000</v>
      </c>
      <c r="I18" s="13" t="n">
        <f aca="false">IF(A18="","",SUMIFS('Girdi — Faturalar ve tahsilat'!$R$2:$R$3001,'Girdi — Faturalar ve tahsilat'!$C$2:$C$3001,$A18,'Girdi — Faturalar ve tahsilat'!$T$2:$T$3001,$Z$5,'Girdi — Faturalar ve tahsilat'!$O$2:$O$3001,"&gt;0"))</f>
        <v>0</v>
      </c>
      <c r="J18" s="13" t="n">
        <f aca="false">IF(A18="","",SUMIFS('Girdi — Faturalar ve tahsilat'!$R$2:$R$3001,'Girdi — Faturalar ve tahsilat'!$C$2:$C$3001,$A18,'Girdi — Faturalar ve tahsilat'!$T$2:$T$3001,$Z$5,'Girdi — Faturalar ve tahsilat'!$S$2:$S$3001,"1-30"))</f>
        <v>0</v>
      </c>
      <c r="K18" s="13" t="n">
        <f aca="false">IF(A18="","",SUMIFS('Girdi — Faturalar ve tahsilat'!$R$2:$R$3001,'Girdi — Faturalar ve tahsilat'!$C$2:$C$3001,$A18,'Girdi — Faturalar ve tahsilat'!$T$2:$T$3001,$Z$5,'Girdi — Faturalar ve tahsilat'!$S$2:$S$3001,"31-60"))</f>
        <v>0</v>
      </c>
      <c r="L18" s="13" t="n">
        <f aca="false">IF(A18="","",SUMIFS('Girdi — Faturalar ve tahsilat'!$R$2:$R$3001,'Girdi — Faturalar ve tahsilat'!$C$2:$C$3001,$A18,'Girdi — Faturalar ve tahsilat'!$T$2:$T$3001,$Z$5,'Girdi — Faturalar ve tahsilat'!$S$2:$S$3001,"61-90"))</f>
        <v>0</v>
      </c>
      <c r="M18" s="13" t="n">
        <f aca="false">IF(A18="","",SUMIFS('Girdi — Faturalar ve tahsilat'!$R$2:$R$3001,'Girdi — Faturalar ve tahsilat'!$C$2:$C$3001,$A18,'Girdi — Faturalar ve tahsilat'!$T$2:$T$3001,$Z$5,'Girdi — Faturalar ve tahsilat'!$S$2:$S$3001,"90+"))</f>
        <v>0</v>
      </c>
      <c r="N18" s="21" t="n">
        <f aca="false">IF(F18="","",RANK(F18,$F$17:$F$216,0)+COUNTIF($F$17:F18,F18)-1)</f>
        <v>3</v>
      </c>
    </row>
    <row r="19" customFormat="false" ht="15" hidden="false" customHeight="false" outlineLevel="0" collapsed="false">
      <c r="A19" s="16" t="str">
        <f aca="false">IFERROR(INDEX('Girdi — Faturalar ve tahsilat'!$C$2:$C$3001,MATCH(3,'Girdi — Faturalar ve tahsilat'!$U$2:$U$3001,0)),"")</f>
        <v>120.01.003</v>
      </c>
      <c r="B19" s="16" t="str">
        <f aca="false">IF(A19="","",INDEX('Girdi — Faturalar ve tahsilat'!$D$2:$D$3001,MATCH(3,'Girdi — Faturalar ve tahsilat'!$U$2:$U$3001,0)))</f>
        <v>Örnek Bayi C</v>
      </c>
      <c r="C19" s="13" t="n">
        <f aca="false">IF(A19="","",SUMIFS('Girdi — Faturalar ve tahsilat'!$F$2:$F$3001,'Girdi — Faturalar ve tahsilat'!$C$2:$C$3001,$A19,'Girdi — Faturalar ve tahsilat'!$T$2:$T$3001,$Z$5))</f>
        <v>4500000</v>
      </c>
      <c r="D19" s="15" t="n">
        <f aca="false">IF(OR(A19="",N(C19)=0),"",SUMIFS('Girdi — Faturalar ve tahsilat'!$P$2:$P$3001,'Girdi — Faturalar ve tahsilat'!$C$2:$C$3001,$A19,'Girdi — Faturalar ve tahsilat'!$T$2:$T$3001,$Z$5)/C19)</f>
        <v>60</v>
      </c>
      <c r="E19" s="15" t="n">
        <f aca="false">IF(OR(A19="",N(C19)=0),"",SUMIFS('Girdi — Faturalar ve tahsilat'!$Q$2:$Q$3001,'Girdi — Faturalar ve tahsilat'!$C$2:$C$3001,$A19,'Girdi — Faturalar ve tahsilat'!$T$2:$T$3001,$Z$5)/C19)</f>
        <v>65.6222222222222</v>
      </c>
      <c r="F19" s="20" t="n">
        <f aca="false">IF(D19="","",E19-D19)</f>
        <v>5.62222222222222</v>
      </c>
      <c r="G19" s="13" t="n">
        <f aca="false">IF(F19="","",C19*$D$4*F19/365)</f>
        <v>25300</v>
      </c>
      <c r="H19" s="13" t="n">
        <f aca="false">IF(A19="","",SUMIFS('Girdi — Faturalar ve tahsilat'!$R$2:$R$3001,'Girdi — Faturalar ve tahsilat'!$C$2:$C$3001,$A19,'Girdi — Faturalar ve tahsilat'!$T$2:$T$3001,$Z$5))</f>
        <v>1500000</v>
      </c>
      <c r="I19" s="13" t="n">
        <f aca="false">IF(A19="","",SUMIFS('Girdi — Faturalar ve tahsilat'!$R$2:$R$3001,'Girdi — Faturalar ve tahsilat'!$C$2:$C$3001,$A19,'Girdi — Faturalar ve tahsilat'!$T$2:$T$3001,$Z$5,'Girdi — Faturalar ve tahsilat'!$O$2:$O$3001,"&gt;0"))</f>
        <v>1500000</v>
      </c>
      <c r="J19" s="13" t="n">
        <f aca="false">IF(A19="","",SUMIFS('Girdi — Faturalar ve tahsilat'!$R$2:$R$3001,'Girdi — Faturalar ve tahsilat'!$C$2:$C$3001,$A19,'Girdi — Faturalar ve tahsilat'!$T$2:$T$3001,$Z$5,'Girdi — Faturalar ve tahsilat'!$S$2:$S$3001,"1-30"))</f>
        <v>1500000</v>
      </c>
      <c r="K19" s="13" t="n">
        <f aca="false">IF(A19="","",SUMIFS('Girdi — Faturalar ve tahsilat'!$R$2:$R$3001,'Girdi — Faturalar ve tahsilat'!$C$2:$C$3001,$A19,'Girdi — Faturalar ve tahsilat'!$T$2:$T$3001,$Z$5,'Girdi — Faturalar ve tahsilat'!$S$2:$S$3001,"31-60"))</f>
        <v>0</v>
      </c>
      <c r="L19" s="13" t="n">
        <f aca="false">IF(A19="","",SUMIFS('Girdi — Faturalar ve tahsilat'!$R$2:$R$3001,'Girdi — Faturalar ve tahsilat'!$C$2:$C$3001,$A19,'Girdi — Faturalar ve tahsilat'!$T$2:$T$3001,$Z$5,'Girdi — Faturalar ve tahsilat'!$S$2:$S$3001,"61-90"))</f>
        <v>0</v>
      </c>
      <c r="M19" s="13" t="n">
        <f aca="false">IF(A19="","",SUMIFS('Girdi — Faturalar ve tahsilat'!$R$2:$R$3001,'Girdi — Faturalar ve tahsilat'!$C$2:$C$3001,$A19,'Girdi — Faturalar ve tahsilat'!$T$2:$T$3001,$Z$5,'Girdi — Faturalar ve tahsilat'!$S$2:$S$3001,"90+"))</f>
        <v>0</v>
      </c>
      <c r="N19" s="21" t="n">
        <f aca="false">IF(F19="","",RANK(F19,$F$17:$F$216,0)+COUNTIF($F$17:F19,F19)-1)</f>
        <v>2</v>
      </c>
    </row>
    <row r="20" customFormat="false" ht="15" hidden="false" customHeight="false" outlineLevel="0" collapsed="false">
      <c r="A20" s="16" t="str">
        <f aca="false">IFERROR(INDEX('Girdi — Faturalar ve tahsilat'!$C$2:$C$3001,MATCH(4,'Girdi — Faturalar ve tahsilat'!$U$2:$U$3001,0)),"")</f>
        <v/>
      </c>
      <c r="B20" s="16" t="str">
        <f aca="false">IF(A20="","",INDEX('Girdi — Faturalar ve tahsilat'!$D$2:$D$3001,MATCH(4,'Girdi — Faturalar ve tahsilat'!$U$2:$U$3001,0)))</f>
        <v/>
      </c>
      <c r="C20" s="13" t="str">
        <f aca="false">IF(A20="","",SUMIFS('Girdi — Faturalar ve tahsilat'!$F$2:$F$3001,'Girdi — Faturalar ve tahsilat'!$C$2:$C$3001,$A20,'Girdi — Faturalar ve tahsilat'!$T$2:$T$3001,$Z$5))</f>
        <v/>
      </c>
      <c r="D20" s="15" t="str">
        <f aca="false">IF(OR(A20="",N(C20)=0),"",SUMIFS('Girdi — Faturalar ve tahsilat'!$P$2:$P$3001,'Girdi — Faturalar ve tahsilat'!$C$2:$C$3001,$A20,'Girdi — Faturalar ve tahsilat'!$T$2:$T$3001,$Z$5)/C20)</f>
        <v/>
      </c>
      <c r="E20" s="15" t="str">
        <f aca="false">IF(OR(A20="",N(C20)=0),"",SUMIFS('Girdi — Faturalar ve tahsilat'!$Q$2:$Q$3001,'Girdi — Faturalar ve tahsilat'!$C$2:$C$3001,$A20,'Girdi — Faturalar ve tahsilat'!$T$2:$T$3001,$Z$5)/C20)</f>
        <v/>
      </c>
      <c r="F20" s="20" t="str">
        <f aca="false">IF(D20="","",E20-D20)</f>
        <v/>
      </c>
      <c r="G20" s="13" t="str">
        <f aca="false">IF(F20="","",C20*$D$4*F20/365)</f>
        <v/>
      </c>
      <c r="H20" s="13" t="str">
        <f aca="false">IF(A20="","",SUMIFS('Girdi — Faturalar ve tahsilat'!$R$2:$R$3001,'Girdi — Faturalar ve tahsilat'!$C$2:$C$3001,$A20,'Girdi — Faturalar ve tahsilat'!$T$2:$T$3001,$Z$5))</f>
        <v/>
      </c>
      <c r="I20" s="13" t="str">
        <f aca="false">IF(A20="","",SUMIFS('Girdi — Faturalar ve tahsilat'!$R$2:$R$3001,'Girdi — Faturalar ve tahsilat'!$C$2:$C$3001,$A20,'Girdi — Faturalar ve tahsilat'!$T$2:$T$3001,$Z$5,'Girdi — Faturalar ve tahsilat'!$O$2:$O$3001,"&gt;0"))</f>
        <v/>
      </c>
      <c r="J20" s="13" t="str">
        <f aca="false">IF(A20="","",SUMIFS('Girdi — Faturalar ve tahsilat'!$R$2:$R$3001,'Girdi — Faturalar ve tahsilat'!$C$2:$C$3001,$A20,'Girdi — Faturalar ve tahsilat'!$T$2:$T$3001,$Z$5,'Girdi — Faturalar ve tahsilat'!$S$2:$S$3001,"1-30"))</f>
        <v/>
      </c>
      <c r="K20" s="13" t="str">
        <f aca="false">IF(A20="","",SUMIFS('Girdi — Faturalar ve tahsilat'!$R$2:$R$3001,'Girdi — Faturalar ve tahsilat'!$C$2:$C$3001,$A20,'Girdi — Faturalar ve tahsilat'!$T$2:$T$3001,$Z$5,'Girdi — Faturalar ve tahsilat'!$S$2:$S$3001,"31-60"))</f>
        <v/>
      </c>
      <c r="L20" s="13" t="str">
        <f aca="false">IF(A20="","",SUMIFS('Girdi — Faturalar ve tahsilat'!$R$2:$R$3001,'Girdi — Faturalar ve tahsilat'!$C$2:$C$3001,$A20,'Girdi — Faturalar ve tahsilat'!$T$2:$T$3001,$Z$5,'Girdi — Faturalar ve tahsilat'!$S$2:$S$3001,"61-90"))</f>
        <v/>
      </c>
      <c r="M20" s="13" t="str">
        <f aca="false">IF(A20="","",SUMIFS('Girdi — Faturalar ve tahsilat'!$R$2:$R$3001,'Girdi — Faturalar ve tahsilat'!$C$2:$C$3001,$A20,'Girdi — Faturalar ve tahsilat'!$T$2:$T$3001,$Z$5,'Girdi — Faturalar ve tahsilat'!$S$2:$S$3001,"90+"))</f>
        <v/>
      </c>
      <c r="N20" s="21" t="str">
        <f aca="false">IF(F20="","",RANK(F20,$F$17:$F$216,0)+COUNTIF($F$17:F20,F20)-1)</f>
        <v/>
      </c>
    </row>
    <row r="21" customFormat="false" ht="15" hidden="false" customHeight="false" outlineLevel="0" collapsed="false">
      <c r="A21" s="16" t="str">
        <f aca="false">IFERROR(INDEX('Girdi — Faturalar ve tahsilat'!$C$2:$C$3001,MATCH(5,'Girdi — Faturalar ve tahsilat'!$U$2:$U$3001,0)),"")</f>
        <v/>
      </c>
      <c r="B21" s="16" t="str">
        <f aca="false">IF(A21="","",INDEX('Girdi — Faturalar ve tahsilat'!$D$2:$D$3001,MATCH(5,'Girdi — Faturalar ve tahsilat'!$U$2:$U$3001,0)))</f>
        <v/>
      </c>
      <c r="C21" s="13" t="str">
        <f aca="false">IF(A21="","",SUMIFS('Girdi — Faturalar ve tahsilat'!$F$2:$F$3001,'Girdi — Faturalar ve tahsilat'!$C$2:$C$3001,$A21,'Girdi — Faturalar ve tahsilat'!$T$2:$T$3001,$Z$5))</f>
        <v/>
      </c>
      <c r="D21" s="15" t="str">
        <f aca="false">IF(OR(A21="",N(C21)=0),"",SUMIFS('Girdi — Faturalar ve tahsilat'!$P$2:$P$3001,'Girdi — Faturalar ve tahsilat'!$C$2:$C$3001,$A21,'Girdi — Faturalar ve tahsilat'!$T$2:$T$3001,$Z$5)/C21)</f>
        <v/>
      </c>
      <c r="E21" s="15" t="str">
        <f aca="false">IF(OR(A21="",N(C21)=0),"",SUMIFS('Girdi — Faturalar ve tahsilat'!$Q$2:$Q$3001,'Girdi — Faturalar ve tahsilat'!$C$2:$C$3001,$A21,'Girdi — Faturalar ve tahsilat'!$T$2:$T$3001,$Z$5)/C21)</f>
        <v/>
      </c>
      <c r="F21" s="20" t="str">
        <f aca="false">IF(D21="","",E21-D21)</f>
        <v/>
      </c>
      <c r="G21" s="13" t="str">
        <f aca="false">IF(F21="","",C21*$D$4*F21/365)</f>
        <v/>
      </c>
      <c r="H21" s="13" t="str">
        <f aca="false">IF(A21="","",SUMIFS('Girdi — Faturalar ve tahsilat'!$R$2:$R$3001,'Girdi — Faturalar ve tahsilat'!$C$2:$C$3001,$A21,'Girdi — Faturalar ve tahsilat'!$T$2:$T$3001,$Z$5))</f>
        <v/>
      </c>
      <c r="I21" s="13" t="str">
        <f aca="false">IF(A21="","",SUMIFS('Girdi — Faturalar ve tahsilat'!$R$2:$R$3001,'Girdi — Faturalar ve tahsilat'!$C$2:$C$3001,$A21,'Girdi — Faturalar ve tahsilat'!$T$2:$T$3001,$Z$5,'Girdi — Faturalar ve tahsilat'!$O$2:$O$3001,"&gt;0"))</f>
        <v/>
      </c>
      <c r="J21" s="13" t="str">
        <f aca="false">IF(A21="","",SUMIFS('Girdi — Faturalar ve tahsilat'!$R$2:$R$3001,'Girdi — Faturalar ve tahsilat'!$C$2:$C$3001,$A21,'Girdi — Faturalar ve tahsilat'!$T$2:$T$3001,$Z$5,'Girdi — Faturalar ve tahsilat'!$S$2:$S$3001,"1-30"))</f>
        <v/>
      </c>
      <c r="K21" s="13" t="str">
        <f aca="false">IF(A21="","",SUMIFS('Girdi — Faturalar ve tahsilat'!$R$2:$R$3001,'Girdi — Faturalar ve tahsilat'!$C$2:$C$3001,$A21,'Girdi — Faturalar ve tahsilat'!$T$2:$T$3001,$Z$5,'Girdi — Faturalar ve tahsilat'!$S$2:$S$3001,"31-60"))</f>
        <v/>
      </c>
      <c r="L21" s="13" t="str">
        <f aca="false">IF(A21="","",SUMIFS('Girdi — Faturalar ve tahsilat'!$R$2:$R$3001,'Girdi — Faturalar ve tahsilat'!$C$2:$C$3001,$A21,'Girdi — Faturalar ve tahsilat'!$T$2:$T$3001,$Z$5,'Girdi — Faturalar ve tahsilat'!$S$2:$S$3001,"61-90"))</f>
        <v/>
      </c>
      <c r="M21" s="13" t="str">
        <f aca="false">IF(A21="","",SUMIFS('Girdi — Faturalar ve tahsilat'!$R$2:$R$3001,'Girdi — Faturalar ve tahsilat'!$C$2:$C$3001,$A21,'Girdi — Faturalar ve tahsilat'!$T$2:$T$3001,$Z$5,'Girdi — Faturalar ve tahsilat'!$S$2:$S$3001,"90+"))</f>
        <v/>
      </c>
      <c r="N21" s="21" t="str">
        <f aca="false">IF(F21="","",RANK(F21,$F$17:$F$216,0)+COUNTIF($F$17:F21,F21)-1)</f>
        <v/>
      </c>
    </row>
    <row r="22" customFormat="false" ht="15" hidden="false" customHeight="false" outlineLevel="0" collapsed="false">
      <c r="A22" s="16" t="str">
        <f aca="false">IFERROR(INDEX('Girdi — Faturalar ve tahsilat'!$C$2:$C$3001,MATCH(6,'Girdi — Faturalar ve tahsilat'!$U$2:$U$3001,0)),"")</f>
        <v/>
      </c>
      <c r="B22" s="16" t="str">
        <f aca="false">IF(A22="","",INDEX('Girdi — Faturalar ve tahsilat'!$D$2:$D$3001,MATCH(6,'Girdi — Faturalar ve tahsilat'!$U$2:$U$3001,0)))</f>
        <v/>
      </c>
      <c r="C22" s="13" t="str">
        <f aca="false">IF(A22="","",SUMIFS('Girdi — Faturalar ve tahsilat'!$F$2:$F$3001,'Girdi — Faturalar ve tahsilat'!$C$2:$C$3001,$A22,'Girdi — Faturalar ve tahsilat'!$T$2:$T$3001,$Z$5))</f>
        <v/>
      </c>
      <c r="D22" s="15" t="str">
        <f aca="false">IF(OR(A22="",N(C22)=0),"",SUMIFS('Girdi — Faturalar ve tahsilat'!$P$2:$P$3001,'Girdi — Faturalar ve tahsilat'!$C$2:$C$3001,$A22,'Girdi — Faturalar ve tahsilat'!$T$2:$T$3001,$Z$5)/C22)</f>
        <v/>
      </c>
      <c r="E22" s="15" t="str">
        <f aca="false">IF(OR(A22="",N(C22)=0),"",SUMIFS('Girdi — Faturalar ve tahsilat'!$Q$2:$Q$3001,'Girdi — Faturalar ve tahsilat'!$C$2:$C$3001,$A22,'Girdi — Faturalar ve tahsilat'!$T$2:$T$3001,$Z$5)/C22)</f>
        <v/>
      </c>
      <c r="F22" s="20" t="str">
        <f aca="false">IF(D22="","",E22-D22)</f>
        <v/>
      </c>
      <c r="G22" s="13" t="str">
        <f aca="false">IF(F22="","",C22*$D$4*F22/365)</f>
        <v/>
      </c>
      <c r="H22" s="13" t="str">
        <f aca="false">IF(A22="","",SUMIFS('Girdi — Faturalar ve tahsilat'!$R$2:$R$3001,'Girdi — Faturalar ve tahsilat'!$C$2:$C$3001,$A22,'Girdi — Faturalar ve tahsilat'!$T$2:$T$3001,$Z$5))</f>
        <v/>
      </c>
      <c r="I22" s="13" t="str">
        <f aca="false">IF(A22="","",SUMIFS('Girdi — Faturalar ve tahsilat'!$R$2:$R$3001,'Girdi — Faturalar ve tahsilat'!$C$2:$C$3001,$A22,'Girdi — Faturalar ve tahsilat'!$T$2:$T$3001,$Z$5,'Girdi — Faturalar ve tahsilat'!$O$2:$O$3001,"&gt;0"))</f>
        <v/>
      </c>
      <c r="J22" s="13" t="str">
        <f aca="false">IF(A22="","",SUMIFS('Girdi — Faturalar ve tahsilat'!$R$2:$R$3001,'Girdi — Faturalar ve tahsilat'!$C$2:$C$3001,$A22,'Girdi — Faturalar ve tahsilat'!$T$2:$T$3001,$Z$5,'Girdi — Faturalar ve tahsilat'!$S$2:$S$3001,"1-30"))</f>
        <v/>
      </c>
      <c r="K22" s="13" t="str">
        <f aca="false">IF(A22="","",SUMIFS('Girdi — Faturalar ve tahsilat'!$R$2:$R$3001,'Girdi — Faturalar ve tahsilat'!$C$2:$C$3001,$A22,'Girdi — Faturalar ve tahsilat'!$T$2:$T$3001,$Z$5,'Girdi — Faturalar ve tahsilat'!$S$2:$S$3001,"31-60"))</f>
        <v/>
      </c>
      <c r="L22" s="13" t="str">
        <f aca="false">IF(A22="","",SUMIFS('Girdi — Faturalar ve tahsilat'!$R$2:$R$3001,'Girdi — Faturalar ve tahsilat'!$C$2:$C$3001,$A22,'Girdi — Faturalar ve tahsilat'!$T$2:$T$3001,$Z$5,'Girdi — Faturalar ve tahsilat'!$S$2:$S$3001,"61-90"))</f>
        <v/>
      </c>
      <c r="M22" s="13" t="str">
        <f aca="false">IF(A22="","",SUMIFS('Girdi — Faturalar ve tahsilat'!$R$2:$R$3001,'Girdi — Faturalar ve tahsilat'!$C$2:$C$3001,$A22,'Girdi — Faturalar ve tahsilat'!$T$2:$T$3001,$Z$5,'Girdi — Faturalar ve tahsilat'!$S$2:$S$3001,"90+"))</f>
        <v/>
      </c>
      <c r="N22" s="21" t="str">
        <f aca="false">IF(F22="","",RANK(F22,$F$17:$F$216,0)+COUNTIF($F$17:F22,F22)-1)</f>
        <v/>
      </c>
    </row>
    <row r="23" customFormat="false" ht="15" hidden="false" customHeight="false" outlineLevel="0" collapsed="false">
      <c r="A23" s="16" t="str">
        <f aca="false">IFERROR(INDEX('Girdi — Faturalar ve tahsilat'!$C$2:$C$3001,MATCH(7,'Girdi — Faturalar ve tahsilat'!$U$2:$U$3001,0)),"")</f>
        <v/>
      </c>
      <c r="B23" s="16" t="str">
        <f aca="false">IF(A23="","",INDEX('Girdi — Faturalar ve tahsilat'!$D$2:$D$3001,MATCH(7,'Girdi — Faturalar ve tahsilat'!$U$2:$U$3001,0)))</f>
        <v/>
      </c>
      <c r="C23" s="13" t="str">
        <f aca="false">IF(A23="","",SUMIFS('Girdi — Faturalar ve tahsilat'!$F$2:$F$3001,'Girdi — Faturalar ve tahsilat'!$C$2:$C$3001,$A23,'Girdi — Faturalar ve tahsilat'!$T$2:$T$3001,$Z$5))</f>
        <v/>
      </c>
      <c r="D23" s="15" t="str">
        <f aca="false">IF(OR(A23="",N(C23)=0),"",SUMIFS('Girdi — Faturalar ve tahsilat'!$P$2:$P$3001,'Girdi — Faturalar ve tahsilat'!$C$2:$C$3001,$A23,'Girdi — Faturalar ve tahsilat'!$T$2:$T$3001,$Z$5)/C23)</f>
        <v/>
      </c>
      <c r="E23" s="15" t="str">
        <f aca="false">IF(OR(A23="",N(C23)=0),"",SUMIFS('Girdi — Faturalar ve tahsilat'!$Q$2:$Q$3001,'Girdi — Faturalar ve tahsilat'!$C$2:$C$3001,$A23,'Girdi — Faturalar ve tahsilat'!$T$2:$T$3001,$Z$5)/C23)</f>
        <v/>
      </c>
      <c r="F23" s="20" t="str">
        <f aca="false">IF(D23="","",E23-D23)</f>
        <v/>
      </c>
      <c r="G23" s="13" t="str">
        <f aca="false">IF(F23="","",C23*$D$4*F23/365)</f>
        <v/>
      </c>
      <c r="H23" s="13" t="str">
        <f aca="false">IF(A23="","",SUMIFS('Girdi — Faturalar ve tahsilat'!$R$2:$R$3001,'Girdi — Faturalar ve tahsilat'!$C$2:$C$3001,$A23,'Girdi — Faturalar ve tahsilat'!$T$2:$T$3001,$Z$5))</f>
        <v/>
      </c>
      <c r="I23" s="13" t="str">
        <f aca="false">IF(A23="","",SUMIFS('Girdi — Faturalar ve tahsilat'!$R$2:$R$3001,'Girdi — Faturalar ve tahsilat'!$C$2:$C$3001,$A23,'Girdi — Faturalar ve tahsilat'!$T$2:$T$3001,$Z$5,'Girdi — Faturalar ve tahsilat'!$O$2:$O$3001,"&gt;0"))</f>
        <v/>
      </c>
      <c r="J23" s="13" t="str">
        <f aca="false">IF(A23="","",SUMIFS('Girdi — Faturalar ve tahsilat'!$R$2:$R$3001,'Girdi — Faturalar ve tahsilat'!$C$2:$C$3001,$A23,'Girdi — Faturalar ve tahsilat'!$T$2:$T$3001,$Z$5,'Girdi — Faturalar ve tahsilat'!$S$2:$S$3001,"1-30"))</f>
        <v/>
      </c>
      <c r="K23" s="13" t="str">
        <f aca="false">IF(A23="","",SUMIFS('Girdi — Faturalar ve tahsilat'!$R$2:$R$3001,'Girdi — Faturalar ve tahsilat'!$C$2:$C$3001,$A23,'Girdi — Faturalar ve tahsilat'!$T$2:$T$3001,$Z$5,'Girdi — Faturalar ve tahsilat'!$S$2:$S$3001,"31-60"))</f>
        <v/>
      </c>
      <c r="L23" s="13" t="str">
        <f aca="false">IF(A23="","",SUMIFS('Girdi — Faturalar ve tahsilat'!$R$2:$R$3001,'Girdi — Faturalar ve tahsilat'!$C$2:$C$3001,$A23,'Girdi — Faturalar ve tahsilat'!$T$2:$T$3001,$Z$5,'Girdi — Faturalar ve tahsilat'!$S$2:$S$3001,"61-90"))</f>
        <v/>
      </c>
      <c r="M23" s="13" t="str">
        <f aca="false">IF(A23="","",SUMIFS('Girdi — Faturalar ve tahsilat'!$R$2:$R$3001,'Girdi — Faturalar ve tahsilat'!$C$2:$C$3001,$A23,'Girdi — Faturalar ve tahsilat'!$T$2:$T$3001,$Z$5,'Girdi — Faturalar ve tahsilat'!$S$2:$S$3001,"90+"))</f>
        <v/>
      </c>
      <c r="N23" s="21" t="str">
        <f aca="false">IF(F23="","",RANK(F23,$F$17:$F$216,0)+COUNTIF($F$17:F23,F23)-1)</f>
        <v/>
      </c>
    </row>
    <row r="24" customFormat="false" ht="15" hidden="false" customHeight="false" outlineLevel="0" collapsed="false">
      <c r="A24" s="16" t="str">
        <f aca="false">IFERROR(INDEX('Girdi — Faturalar ve tahsilat'!$C$2:$C$3001,MATCH(8,'Girdi — Faturalar ve tahsilat'!$U$2:$U$3001,0)),"")</f>
        <v/>
      </c>
      <c r="B24" s="16" t="str">
        <f aca="false">IF(A24="","",INDEX('Girdi — Faturalar ve tahsilat'!$D$2:$D$3001,MATCH(8,'Girdi — Faturalar ve tahsilat'!$U$2:$U$3001,0)))</f>
        <v/>
      </c>
      <c r="C24" s="13" t="str">
        <f aca="false">IF(A24="","",SUMIFS('Girdi — Faturalar ve tahsilat'!$F$2:$F$3001,'Girdi — Faturalar ve tahsilat'!$C$2:$C$3001,$A24,'Girdi — Faturalar ve tahsilat'!$T$2:$T$3001,$Z$5))</f>
        <v/>
      </c>
      <c r="D24" s="15" t="str">
        <f aca="false">IF(OR(A24="",N(C24)=0),"",SUMIFS('Girdi — Faturalar ve tahsilat'!$P$2:$P$3001,'Girdi — Faturalar ve tahsilat'!$C$2:$C$3001,$A24,'Girdi — Faturalar ve tahsilat'!$T$2:$T$3001,$Z$5)/C24)</f>
        <v/>
      </c>
      <c r="E24" s="15" t="str">
        <f aca="false">IF(OR(A24="",N(C24)=0),"",SUMIFS('Girdi — Faturalar ve tahsilat'!$Q$2:$Q$3001,'Girdi — Faturalar ve tahsilat'!$C$2:$C$3001,$A24,'Girdi — Faturalar ve tahsilat'!$T$2:$T$3001,$Z$5)/C24)</f>
        <v/>
      </c>
      <c r="F24" s="20" t="str">
        <f aca="false">IF(D24="","",E24-D24)</f>
        <v/>
      </c>
      <c r="G24" s="13" t="str">
        <f aca="false">IF(F24="","",C24*$D$4*F24/365)</f>
        <v/>
      </c>
      <c r="H24" s="13" t="str">
        <f aca="false">IF(A24="","",SUMIFS('Girdi — Faturalar ve tahsilat'!$R$2:$R$3001,'Girdi — Faturalar ve tahsilat'!$C$2:$C$3001,$A24,'Girdi — Faturalar ve tahsilat'!$T$2:$T$3001,$Z$5))</f>
        <v/>
      </c>
      <c r="I24" s="13" t="str">
        <f aca="false">IF(A24="","",SUMIFS('Girdi — Faturalar ve tahsilat'!$R$2:$R$3001,'Girdi — Faturalar ve tahsilat'!$C$2:$C$3001,$A24,'Girdi — Faturalar ve tahsilat'!$T$2:$T$3001,$Z$5,'Girdi — Faturalar ve tahsilat'!$O$2:$O$3001,"&gt;0"))</f>
        <v/>
      </c>
      <c r="J24" s="13" t="str">
        <f aca="false">IF(A24="","",SUMIFS('Girdi — Faturalar ve tahsilat'!$R$2:$R$3001,'Girdi — Faturalar ve tahsilat'!$C$2:$C$3001,$A24,'Girdi — Faturalar ve tahsilat'!$T$2:$T$3001,$Z$5,'Girdi — Faturalar ve tahsilat'!$S$2:$S$3001,"1-30"))</f>
        <v/>
      </c>
      <c r="K24" s="13" t="str">
        <f aca="false">IF(A24="","",SUMIFS('Girdi — Faturalar ve tahsilat'!$R$2:$R$3001,'Girdi — Faturalar ve tahsilat'!$C$2:$C$3001,$A24,'Girdi — Faturalar ve tahsilat'!$T$2:$T$3001,$Z$5,'Girdi — Faturalar ve tahsilat'!$S$2:$S$3001,"31-60"))</f>
        <v/>
      </c>
      <c r="L24" s="13" t="str">
        <f aca="false">IF(A24="","",SUMIFS('Girdi — Faturalar ve tahsilat'!$R$2:$R$3001,'Girdi — Faturalar ve tahsilat'!$C$2:$C$3001,$A24,'Girdi — Faturalar ve tahsilat'!$T$2:$T$3001,$Z$5,'Girdi — Faturalar ve tahsilat'!$S$2:$S$3001,"61-90"))</f>
        <v/>
      </c>
      <c r="M24" s="13" t="str">
        <f aca="false">IF(A24="","",SUMIFS('Girdi — Faturalar ve tahsilat'!$R$2:$R$3001,'Girdi — Faturalar ve tahsilat'!$C$2:$C$3001,$A24,'Girdi — Faturalar ve tahsilat'!$T$2:$T$3001,$Z$5,'Girdi — Faturalar ve tahsilat'!$S$2:$S$3001,"90+"))</f>
        <v/>
      </c>
      <c r="N24" s="21" t="str">
        <f aca="false">IF(F24="","",RANK(F24,$F$17:$F$216,0)+COUNTIF($F$17:F24,F24)-1)</f>
        <v/>
      </c>
    </row>
    <row r="25" customFormat="false" ht="15" hidden="false" customHeight="false" outlineLevel="0" collapsed="false">
      <c r="A25" s="16" t="str">
        <f aca="false">IFERROR(INDEX('Girdi — Faturalar ve tahsilat'!$C$2:$C$3001,MATCH(9,'Girdi — Faturalar ve tahsilat'!$U$2:$U$3001,0)),"")</f>
        <v/>
      </c>
      <c r="B25" s="16" t="str">
        <f aca="false">IF(A25="","",INDEX('Girdi — Faturalar ve tahsilat'!$D$2:$D$3001,MATCH(9,'Girdi — Faturalar ve tahsilat'!$U$2:$U$3001,0)))</f>
        <v/>
      </c>
      <c r="C25" s="13" t="str">
        <f aca="false">IF(A25="","",SUMIFS('Girdi — Faturalar ve tahsilat'!$F$2:$F$3001,'Girdi — Faturalar ve tahsilat'!$C$2:$C$3001,$A25,'Girdi — Faturalar ve tahsilat'!$T$2:$T$3001,$Z$5))</f>
        <v/>
      </c>
      <c r="D25" s="15" t="str">
        <f aca="false">IF(OR(A25="",N(C25)=0),"",SUMIFS('Girdi — Faturalar ve tahsilat'!$P$2:$P$3001,'Girdi — Faturalar ve tahsilat'!$C$2:$C$3001,$A25,'Girdi — Faturalar ve tahsilat'!$T$2:$T$3001,$Z$5)/C25)</f>
        <v/>
      </c>
      <c r="E25" s="15" t="str">
        <f aca="false">IF(OR(A25="",N(C25)=0),"",SUMIFS('Girdi — Faturalar ve tahsilat'!$Q$2:$Q$3001,'Girdi — Faturalar ve tahsilat'!$C$2:$C$3001,$A25,'Girdi — Faturalar ve tahsilat'!$T$2:$T$3001,$Z$5)/C25)</f>
        <v/>
      </c>
      <c r="F25" s="20" t="str">
        <f aca="false">IF(D25="","",E25-D25)</f>
        <v/>
      </c>
      <c r="G25" s="13" t="str">
        <f aca="false">IF(F25="","",C25*$D$4*F25/365)</f>
        <v/>
      </c>
      <c r="H25" s="13" t="str">
        <f aca="false">IF(A25="","",SUMIFS('Girdi — Faturalar ve tahsilat'!$R$2:$R$3001,'Girdi — Faturalar ve tahsilat'!$C$2:$C$3001,$A25,'Girdi — Faturalar ve tahsilat'!$T$2:$T$3001,$Z$5))</f>
        <v/>
      </c>
      <c r="I25" s="13" t="str">
        <f aca="false">IF(A25="","",SUMIFS('Girdi — Faturalar ve tahsilat'!$R$2:$R$3001,'Girdi — Faturalar ve tahsilat'!$C$2:$C$3001,$A25,'Girdi — Faturalar ve tahsilat'!$T$2:$T$3001,$Z$5,'Girdi — Faturalar ve tahsilat'!$O$2:$O$3001,"&gt;0"))</f>
        <v/>
      </c>
      <c r="J25" s="13" t="str">
        <f aca="false">IF(A25="","",SUMIFS('Girdi — Faturalar ve tahsilat'!$R$2:$R$3001,'Girdi — Faturalar ve tahsilat'!$C$2:$C$3001,$A25,'Girdi — Faturalar ve tahsilat'!$T$2:$T$3001,$Z$5,'Girdi — Faturalar ve tahsilat'!$S$2:$S$3001,"1-30"))</f>
        <v/>
      </c>
      <c r="K25" s="13" t="str">
        <f aca="false">IF(A25="","",SUMIFS('Girdi — Faturalar ve tahsilat'!$R$2:$R$3001,'Girdi — Faturalar ve tahsilat'!$C$2:$C$3001,$A25,'Girdi — Faturalar ve tahsilat'!$T$2:$T$3001,$Z$5,'Girdi — Faturalar ve tahsilat'!$S$2:$S$3001,"31-60"))</f>
        <v/>
      </c>
      <c r="L25" s="13" t="str">
        <f aca="false">IF(A25="","",SUMIFS('Girdi — Faturalar ve tahsilat'!$R$2:$R$3001,'Girdi — Faturalar ve tahsilat'!$C$2:$C$3001,$A25,'Girdi — Faturalar ve tahsilat'!$T$2:$T$3001,$Z$5,'Girdi — Faturalar ve tahsilat'!$S$2:$S$3001,"61-90"))</f>
        <v/>
      </c>
      <c r="M25" s="13" t="str">
        <f aca="false">IF(A25="","",SUMIFS('Girdi — Faturalar ve tahsilat'!$R$2:$R$3001,'Girdi — Faturalar ve tahsilat'!$C$2:$C$3001,$A25,'Girdi — Faturalar ve tahsilat'!$T$2:$T$3001,$Z$5,'Girdi — Faturalar ve tahsilat'!$S$2:$S$3001,"90+"))</f>
        <v/>
      </c>
      <c r="N25" s="21" t="str">
        <f aca="false">IF(F25="","",RANK(F25,$F$17:$F$216,0)+COUNTIF($F$17:F25,F25)-1)</f>
        <v/>
      </c>
    </row>
    <row r="26" customFormat="false" ht="15" hidden="false" customHeight="false" outlineLevel="0" collapsed="false">
      <c r="A26" s="16" t="str">
        <f aca="false">IFERROR(INDEX('Girdi — Faturalar ve tahsilat'!$C$2:$C$3001,MATCH(10,'Girdi — Faturalar ve tahsilat'!$U$2:$U$3001,0)),"")</f>
        <v/>
      </c>
      <c r="B26" s="16" t="str">
        <f aca="false">IF(A26="","",INDEX('Girdi — Faturalar ve tahsilat'!$D$2:$D$3001,MATCH(10,'Girdi — Faturalar ve tahsilat'!$U$2:$U$3001,0)))</f>
        <v/>
      </c>
      <c r="C26" s="13" t="str">
        <f aca="false">IF(A26="","",SUMIFS('Girdi — Faturalar ve tahsilat'!$F$2:$F$3001,'Girdi — Faturalar ve tahsilat'!$C$2:$C$3001,$A26,'Girdi — Faturalar ve tahsilat'!$T$2:$T$3001,$Z$5))</f>
        <v/>
      </c>
      <c r="D26" s="15" t="str">
        <f aca="false">IF(OR(A26="",N(C26)=0),"",SUMIFS('Girdi — Faturalar ve tahsilat'!$P$2:$P$3001,'Girdi — Faturalar ve tahsilat'!$C$2:$C$3001,$A26,'Girdi — Faturalar ve tahsilat'!$T$2:$T$3001,$Z$5)/C26)</f>
        <v/>
      </c>
      <c r="E26" s="15" t="str">
        <f aca="false">IF(OR(A26="",N(C26)=0),"",SUMIFS('Girdi — Faturalar ve tahsilat'!$Q$2:$Q$3001,'Girdi — Faturalar ve tahsilat'!$C$2:$C$3001,$A26,'Girdi — Faturalar ve tahsilat'!$T$2:$T$3001,$Z$5)/C26)</f>
        <v/>
      </c>
      <c r="F26" s="20" t="str">
        <f aca="false">IF(D26="","",E26-D26)</f>
        <v/>
      </c>
      <c r="G26" s="13" t="str">
        <f aca="false">IF(F26="","",C26*$D$4*F26/365)</f>
        <v/>
      </c>
      <c r="H26" s="13" t="str">
        <f aca="false">IF(A26="","",SUMIFS('Girdi — Faturalar ve tahsilat'!$R$2:$R$3001,'Girdi — Faturalar ve tahsilat'!$C$2:$C$3001,$A26,'Girdi — Faturalar ve tahsilat'!$T$2:$T$3001,$Z$5))</f>
        <v/>
      </c>
      <c r="I26" s="13" t="str">
        <f aca="false">IF(A26="","",SUMIFS('Girdi — Faturalar ve tahsilat'!$R$2:$R$3001,'Girdi — Faturalar ve tahsilat'!$C$2:$C$3001,$A26,'Girdi — Faturalar ve tahsilat'!$T$2:$T$3001,$Z$5,'Girdi — Faturalar ve tahsilat'!$O$2:$O$3001,"&gt;0"))</f>
        <v/>
      </c>
      <c r="J26" s="13" t="str">
        <f aca="false">IF(A26="","",SUMIFS('Girdi — Faturalar ve tahsilat'!$R$2:$R$3001,'Girdi — Faturalar ve tahsilat'!$C$2:$C$3001,$A26,'Girdi — Faturalar ve tahsilat'!$T$2:$T$3001,$Z$5,'Girdi — Faturalar ve tahsilat'!$S$2:$S$3001,"1-30"))</f>
        <v/>
      </c>
      <c r="K26" s="13" t="str">
        <f aca="false">IF(A26="","",SUMIFS('Girdi — Faturalar ve tahsilat'!$R$2:$R$3001,'Girdi — Faturalar ve tahsilat'!$C$2:$C$3001,$A26,'Girdi — Faturalar ve tahsilat'!$T$2:$T$3001,$Z$5,'Girdi — Faturalar ve tahsilat'!$S$2:$S$3001,"31-60"))</f>
        <v/>
      </c>
      <c r="L26" s="13" t="str">
        <f aca="false">IF(A26="","",SUMIFS('Girdi — Faturalar ve tahsilat'!$R$2:$R$3001,'Girdi — Faturalar ve tahsilat'!$C$2:$C$3001,$A26,'Girdi — Faturalar ve tahsilat'!$T$2:$T$3001,$Z$5,'Girdi — Faturalar ve tahsilat'!$S$2:$S$3001,"61-90"))</f>
        <v/>
      </c>
      <c r="M26" s="13" t="str">
        <f aca="false">IF(A26="","",SUMIFS('Girdi — Faturalar ve tahsilat'!$R$2:$R$3001,'Girdi — Faturalar ve tahsilat'!$C$2:$C$3001,$A26,'Girdi — Faturalar ve tahsilat'!$T$2:$T$3001,$Z$5,'Girdi — Faturalar ve tahsilat'!$S$2:$S$3001,"90+"))</f>
        <v/>
      </c>
      <c r="N26" s="21" t="str">
        <f aca="false">IF(F26="","",RANK(F26,$F$17:$F$216,0)+COUNTIF($F$17:F26,F26)-1)</f>
        <v/>
      </c>
    </row>
    <row r="27" customFormat="false" ht="15" hidden="false" customHeight="false" outlineLevel="0" collapsed="false">
      <c r="A27" s="16" t="str">
        <f aca="false">IFERROR(INDEX('Girdi — Faturalar ve tahsilat'!$C$2:$C$3001,MATCH(11,'Girdi — Faturalar ve tahsilat'!$U$2:$U$3001,0)),"")</f>
        <v/>
      </c>
      <c r="B27" s="16" t="str">
        <f aca="false">IF(A27="","",INDEX('Girdi — Faturalar ve tahsilat'!$D$2:$D$3001,MATCH(11,'Girdi — Faturalar ve tahsilat'!$U$2:$U$3001,0)))</f>
        <v/>
      </c>
      <c r="C27" s="13" t="str">
        <f aca="false">IF(A27="","",SUMIFS('Girdi — Faturalar ve tahsilat'!$F$2:$F$3001,'Girdi — Faturalar ve tahsilat'!$C$2:$C$3001,$A27,'Girdi — Faturalar ve tahsilat'!$T$2:$T$3001,$Z$5))</f>
        <v/>
      </c>
      <c r="D27" s="15" t="str">
        <f aca="false">IF(OR(A27="",N(C27)=0),"",SUMIFS('Girdi — Faturalar ve tahsilat'!$P$2:$P$3001,'Girdi — Faturalar ve tahsilat'!$C$2:$C$3001,$A27,'Girdi — Faturalar ve tahsilat'!$T$2:$T$3001,$Z$5)/C27)</f>
        <v/>
      </c>
      <c r="E27" s="15" t="str">
        <f aca="false">IF(OR(A27="",N(C27)=0),"",SUMIFS('Girdi — Faturalar ve tahsilat'!$Q$2:$Q$3001,'Girdi — Faturalar ve tahsilat'!$C$2:$C$3001,$A27,'Girdi — Faturalar ve tahsilat'!$T$2:$T$3001,$Z$5)/C27)</f>
        <v/>
      </c>
      <c r="F27" s="20" t="str">
        <f aca="false">IF(D27="","",E27-D27)</f>
        <v/>
      </c>
      <c r="G27" s="13" t="str">
        <f aca="false">IF(F27="","",C27*$D$4*F27/365)</f>
        <v/>
      </c>
      <c r="H27" s="13" t="str">
        <f aca="false">IF(A27="","",SUMIFS('Girdi — Faturalar ve tahsilat'!$R$2:$R$3001,'Girdi — Faturalar ve tahsilat'!$C$2:$C$3001,$A27,'Girdi — Faturalar ve tahsilat'!$T$2:$T$3001,$Z$5))</f>
        <v/>
      </c>
      <c r="I27" s="13" t="str">
        <f aca="false">IF(A27="","",SUMIFS('Girdi — Faturalar ve tahsilat'!$R$2:$R$3001,'Girdi — Faturalar ve tahsilat'!$C$2:$C$3001,$A27,'Girdi — Faturalar ve tahsilat'!$T$2:$T$3001,$Z$5,'Girdi — Faturalar ve tahsilat'!$O$2:$O$3001,"&gt;0"))</f>
        <v/>
      </c>
      <c r="J27" s="13" t="str">
        <f aca="false">IF(A27="","",SUMIFS('Girdi — Faturalar ve tahsilat'!$R$2:$R$3001,'Girdi — Faturalar ve tahsilat'!$C$2:$C$3001,$A27,'Girdi — Faturalar ve tahsilat'!$T$2:$T$3001,$Z$5,'Girdi — Faturalar ve tahsilat'!$S$2:$S$3001,"1-30"))</f>
        <v/>
      </c>
      <c r="K27" s="13" t="str">
        <f aca="false">IF(A27="","",SUMIFS('Girdi — Faturalar ve tahsilat'!$R$2:$R$3001,'Girdi — Faturalar ve tahsilat'!$C$2:$C$3001,$A27,'Girdi — Faturalar ve tahsilat'!$T$2:$T$3001,$Z$5,'Girdi — Faturalar ve tahsilat'!$S$2:$S$3001,"31-60"))</f>
        <v/>
      </c>
      <c r="L27" s="13" t="str">
        <f aca="false">IF(A27="","",SUMIFS('Girdi — Faturalar ve tahsilat'!$R$2:$R$3001,'Girdi — Faturalar ve tahsilat'!$C$2:$C$3001,$A27,'Girdi — Faturalar ve tahsilat'!$T$2:$T$3001,$Z$5,'Girdi — Faturalar ve tahsilat'!$S$2:$S$3001,"61-90"))</f>
        <v/>
      </c>
      <c r="M27" s="13" t="str">
        <f aca="false">IF(A27="","",SUMIFS('Girdi — Faturalar ve tahsilat'!$R$2:$R$3001,'Girdi — Faturalar ve tahsilat'!$C$2:$C$3001,$A27,'Girdi — Faturalar ve tahsilat'!$T$2:$T$3001,$Z$5,'Girdi — Faturalar ve tahsilat'!$S$2:$S$3001,"90+"))</f>
        <v/>
      </c>
      <c r="N27" s="21" t="str">
        <f aca="false">IF(F27="","",RANK(F27,$F$17:$F$216,0)+COUNTIF($F$17:F27,F27)-1)</f>
        <v/>
      </c>
    </row>
    <row r="28" customFormat="false" ht="15" hidden="false" customHeight="false" outlineLevel="0" collapsed="false">
      <c r="A28" s="16" t="str">
        <f aca="false">IFERROR(INDEX('Girdi — Faturalar ve tahsilat'!$C$2:$C$3001,MATCH(12,'Girdi — Faturalar ve tahsilat'!$U$2:$U$3001,0)),"")</f>
        <v/>
      </c>
      <c r="B28" s="16" t="str">
        <f aca="false">IF(A28="","",INDEX('Girdi — Faturalar ve tahsilat'!$D$2:$D$3001,MATCH(12,'Girdi — Faturalar ve tahsilat'!$U$2:$U$3001,0)))</f>
        <v/>
      </c>
      <c r="C28" s="13" t="str">
        <f aca="false">IF(A28="","",SUMIFS('Girdi — Faturalar ve tahsilat'!$F$2:$F$3001,'Girdi — Faturalar ve tahsilat'!$C$2:$C$3001,$A28,'Girdi — Faturalar ve tahsilat'!$T$2:$T$3001,$Z$5))</f>
        <v/>
      </c>
      <c r="D28" s="15" t="str">
        <f aca="false">IF(OR(A28="",N(C28)=0),"",SUMIFS('Girdi — Faturalar ve tahsilat'!$P$2:$P$3001,'Girdi — Faturalar ve tahsilat'!$C$2:$C$3001,$A28,'Girdi — Faturalar ve tahsilat'!$T$2:$T$3001,$Z$5)/C28)</f>
        <v/>
      </c>
      <c r="E28" s="15" t="str">
        <f aca="false">IF(OR(A28="",N(C28)=0),"",SUMIFS('Girdi — Faturalar ve tahsilat'!$Q$2:$Q$3001,'Girdi — Faturalar ve tahsilat'!$C$2:$C$3001,$A28,'Girdi — Faturalar ve tahsilat'!$T$2:$T$3001,$Z$5)/C28)</f>
        <v/>
      </c>
      <c r="F28" s="20" t="str">
        <f aca="false">IF(D28="","",E28-D28)</f>
        <v/>
      </c>
      <c r="G28" s="13" t="str">
        <f aca="false">IF(F28="","",C28*$D$4*F28/365)</f>
        <v/>
      </c>
      <c r="H28" s="13" t="str">
        <f aca="false">IF(A28="","",SUMIFS('Girdi — Faturalar ve tahsilat'!$R$2:$R$3001,'Girdi — Faturalar ve tahsilat'!$C$2:$C$3001,$A28,'Girdi — Faturalar ve tahsilat'!$T$2:$T$3001,$Z$5))</f>
        <v/>
      </c>
      <c r="I28" s="13" t="str">
        <f aca="false">IF(A28="","",SUMIFS('Girdi — Faturalar ve tahsilat'!$R$2:$R$3001,'Girdi — Faturalar ve tahsilat'!$C$2:$C$3001,$A28,'Girdi — Faturalar ve tahsilat'!$T$2:$T$3001,$Z$5,'Girdi — Faturalar ve tahsilat'!$O$2:$O$3001,"&gt;0"))</f>
        <v/>
      </c>
      <c r="J28" s="13" t="str">
        <f aca="false">IF(A28="","",SUMIFS('Girdi — Faturalar ve tahsilat'!$R$2:$R$3001,'Girdi — Faturalar ve tahsilat'!$C$2:$C$3001,$A28,'Girdi — Faturalar ve tahsilat'!$T$2:$T$3001,$Z$5,'Girdi — Faturalar ve tahsilat'!$S$2:$S$3001,"1-30"))</f>
        <v/>
      </c>
      <c r="K28" s="13" t="str">
        <f aca="false">IF(A28="","",SUMIFS('Girdi — Faturalar ve tahsilat'!$R$2:$R$3001,'Girdi — Faturalar ve tahsilat'!$C$2:$C$3001,$A28,'Girdi — Faturalar ve tahsilat'!$T$2:$T$3001,$Z$5,'Girdi — Faturalar ve tahsilat'!$S$2:$S$3001,"31-60"))</f>
        <v/>
      </c>
      <c r="L28" s="13" t="str">
        <f aca="false">IF(A28="","",SUMIFS('Girdi — Faturalar ve tahsilat'!$R$2:$R$3001,'Girdi — Faturalar ve tahsilat'!$C$2:$C$3001,$A28,'Girdi — Faturalar ve tahsilat'!$T$2:$T$3001,$Z$5,'Girdi — Faturalar ve tahsilat'!$S$2:$S$3001,"61-90"))</f>
        <v/>
      </c>
      <c r="M28" s="13" t="str">
        <f aca="false">IF(A28="","",SUMIFS('Girdi — Faturalar ve tahsilat'!$R$2:$R$3001,'Girdi — Faturalar ve tahsilat'!$C$2:$C$3001,$A28,'Girdi — Faturalar ve tahsilat'!$T$2:$T$3001,$Z$5,'Girdi — Faturalar ve tahsilat'!$S$2:$S$3001,"90+"))</f>
        <v/>
      </c>
      <c r="N28" s="21" t="str">
        <f aca="false">IF(F28="","",RANK(F28,$F$17:$F$216,0)+COUNTIF($F$17:F28,F28)-1)</f>
        <v/>
      </c>
    </row>
    <row r="29" customFormat="false" ht="15" hidden="false" customHeight="false" outlineLevel="0" collapsed="false">
      <c r="A29" s="16" t="str">
        <f aca="false">IFERROR(INDEX('Girdi — Faturalar ve tahsilat'!$C$2:$C$3001,MATCH(13,'Girdi — Faturalar ve tahsilat'!$U$2:$U$3001,0)),"")</f>
        <v/>
      </c>
      <c r="B29" s="16" t="str">
        <f aca="false">IF(A29="","",INDEX('Girdi — Faturalar ve tahsilat'!$D$2:$D$3001,MATCH(13,'Girdi — Faturalar ve tahsilat'!$U$2:$U$3001,0)))</f>
        <v/>
      </c>
      <c r="C29" s="13" t="str">
        <f aca="false">IF(A29="","",SUMIFS('Girdi — Faturalar ve tahsilat'!$F$2:$F$3001,'Girdi — Faturalar ve tahsilat'!$C$2:$C$3001,$A29,'Girdi — Faturalar ve tahsilat'!$T$2:$T$3001,$Z$5))</f>
        <v/>
      </c>
      <c r="D29" s="15" t="str">
        <f aca="false">IF(OR(A29="",N(C29)=0),"",SUMIFS('Girdi — Faturalar ve tahsilat'!$P$2:$P$3001,'Girdi — Faturalar ve tahsilat'!$C$2:$C$3001,$A29,'Girdi — Faturalar ve tahsilat'!$T$2:$T$3001,$Z$5)/C29)</f>
        <v/>
      </c>
      <c r="E29" s="15" t="str">
        <f aca="false">IF(OR(A29="",N(C29)=0),"",SUMIFS('Girdi — Faturalar ve tahsilat'!$Q$2:$Q$3001,'Girdi — Faturalar ve tahsilat'!$C$2:$C$3001,$A29,'Girdi — Faturalar ve tahsilat'!$T$2:$T$3001,$Z$5)/C29)</f>
        <v/>
      </c>
      <c r="F29" s="20" t="str">
        <f aca="false">IF(D29="","",E29-D29)</f>
        <v/>
      </c>
      <c r="G29" s="13" t="str">
        <f aca="false">IF(F29="","",C29*$D$4*F29/365)</f>
        <v/>
      </c>
      <c r="H29" s="13" t="str">
        <f aca="false">IF(A29="","",SUMIFS('Girdi — Faturalar ve tahsilat'!$R$2:$R$3001,'Girdi — Faturalar ve tahsilat'!$C$2:$C$3001,$A29,'Girdi — Faturalar ve tahsilat'!$T$2:$T$3001,$Z$5))</f>
        <v/>
      </c>
      <c r="I29" s="13" t="str">
        <f aca="false">IF(A29="","",SUMIFS('Girdi — Faturalar ve tahsilat'!$R$2:$R$3001,'Girdi — Faturalar ve tahsilat'!$C$2:$C$3001,$A29,'Girdi — Faturalar ve tahsilat'!$T$2:$T$3001,$Z$5,'Girdi — Faturalar ve tahsilat'!$O$2:$O$3001,"&gt;0"))</f>
        <v/>
      </c>
      <c r="J29" s="13" t="str">
        <f aca="false">IF(A29="","",SUMIFS('Girdi — Faturalar ve tahsilat'!$R$2:$R$3001,'Girdi — Faturalar ve tahsilat'!$C$2:$C$3001,$A29,'Girdi — Faturalar ve tahsilat'!$T$2:$T$3001,$Z$5,'Girdi — Faturalar ve tahsilat'!$S$2:$S$3001,"1-30"))</f>
        <v/>
      </c>
      <c r="K29" s="13" t="str">
        <f aca="false">IF(A29="","",SUMIFS('Girdi — Faturalar ve tahsilat'!$R$2:$R$3001,'Girdi — Faturalar ve tahsilat'!$C$2:$C$3001,$A29,'Girdi — Faturalar ve tahsilat'!$T$2:$T$3001,$Z$5,'Girdi — Faturalar ve tahsilat'!$S$2:$S$3001,"31-60"))</f>
        <v/>
      </c>
      <c r="L29" s="13" t="str">
        <f aca="false">IF(A29="","",SUMIFS('Girdi — Faturalar ve tahsilat'!$R$2:$R$3001,'Girdi — Faturalar ve tahsilat'!$C$2:$C$3001,$A29,'Girdi — Faturalar ve tahsilat'!$T$2:$T$3001,$Z$5,'Girdi — Faturalar ve tahsilat'!$S$2:$S$3001,"61-90"))</f>
        <v/>
      </c>
      <c r="M29" s="13" t="str">
        <f aca="false">IF(A29="","",SUMIFS('Girdi — Faturalar ve tahsilat'!$R$2:$R$3001,'Girdi — Faturalar ve tahsilat'!$C$2:$C$3001,$A29,'Girdi — Faturalar ve tahsilat'!$T$2:$T$3001,$Z$5,'Girdi — Faturalar ve tahsilat'!$S$2:$S$3001,"90+"))</f>
        <v/>
      </c>
      <c r="N29" s="21" t="str">
        <f aca="false">IF(F29="","",RANK(F29,$F$17:$F$216,0)+COUNTIF($F$17:F29,F29)-1)</f>
        <v/>
      </c>
    </row>
    <row r="30" customFormat="false" ht="15" hidden="false" customHeight="false" outlineLevel="0" collapsed="false">
      <c r="A30" s="16" t="str">
        <f aca="false">IFERROR(INDEX('Girdi — Faturalar ve tahsilat'!$C$2:$C$3001,MATCH(14,'Girdi — Faturalar ve tahsilat'!$U$2:$U$3001,0)),"")</f>
        <v/>
      </c>
      <c r="B30" s="16" t="str">
        <f aca="false">IF(A30="","",INDEX('Girdi — Faturalar ve tahsilat'!$D$2:$D$3001,MATCH(14,'Girdi — Faturalar ve tahsilat'!$U$2:$U$3001,0)))</f>
        <v/>
      </c>
      <c r="C30" s="13" t="str">
        <f aca="false">IF(A30="","",SUMIFS('Girdi — Faturalar ve tahsilat'!$F$2:$F$3001,'Girdi — Faturalar ve tahsilat'!$C$2:$C$3001,$A30,'Girdi — Faturalar ve tahsilat'!$T$2:$T$3001,$Z$5))</f>
        <v/>
      </c>
      <c r="D30" s="15" t="str">
        <f aca="false">IF(OR(A30="",N(C30)=0),"",SUMIFS('Girdi — Faturalar ve tahsilat'!$P$2:$P$3001,'Girdi — Faturalar ve tahsilat'!$C$2:$C$3001,$A30,'Girdi — Faturalar ve tahsilat'!$T$2:$T$3001,$Z$5)/C30)</f>
        <v/>
      </c>
      <c r="E30" s="15" t="str">
        <f aca="false">IF(OR(A30="",N(C30)=0),"",SUMIFS('Girdi — Faturalar ve tahsilat'!$Q$2:$Q$3001,'Girdi — Faturalar ve tahsilat'!$C$2:$C$3001,$A30,'Girdi — Faturalar ve tahsilat'!$T$2:$T$3001,$Z$5)/C30)</f>
        <v/>
      </c>
      <c r="F30" s="20" t="str">
        <f aca="false">IF(D30="","",E30-D30)</f>
        <v/>
      </c>
      <c r="G30" s="13" t="str">
        <f aca="false">IF(F30="","",C30*$D$4*F30/365)</f>
        <v/>
      </c>
      <c r="H30" s="13" t="str">
        <f aca="false">IF(A30="","",SUMIFS('Girdi — Faturalar ve tahsilat'!$R$2:$R$3001,'Girdi — Faturalar ve tahsilat'!$C$2:$C$3001,$A30,'Girdi — Faturalar ve tahsilat'!$T$2:$T$3001,$Z$5))</f>
        <v/>
      </c>
      <c r="I30" s="13" t="str">
        <f aca="false">IF(A30="","",SUMIFS('Girdi — Faturalar ve tahsilat'!$R$2:$R$3001,'Girdi — Faturalar ve tahsilat'!$C$2:$C$3001,$A30,'Girdi — Faturalar ve tahsilat'!$T$2:$T$3001,$Z$5,'Girdi — Faturalar ve tahsilat'!$O$2:$O$3001,"&gt;0"))</f>
        <v/>
      </c>
      <c r="J30" s="13" t="str">
        <f aca="false">IF(A30="","",SUMIFS('Girdi — Faturalar ve tahsilat'!$R$2:$R$3001,'Girdi — Faturalar ve tahsilat'!$C$2:$C$3001,$A30,'Girdi — Faturalar ve tahsilat'!$T$2:$T$3001,$Z$5,'Girdi — Faturalar ve tahsilat'!$S$2:$S$3001,"1-30"))</f>
        <v/>
      </c>
      <c r="K30" s="13" t="str">
        <f aca="false">IF(A30="","",SUMIFS('Girdi — Faturalar ve tahsilat'!$R$2:$R$3001,'Girdi — Faturalar ve tahsilat'!$C$2:$C$3001,$A30,'Girdi — Faturalar ve tahsilat'!$T$2:$T$3001,$Z$5,'Girdi — Faturalar ve tahsilat'!$S$2:$S$3001,"31-60"))</f>
        <v/>
      </c>
      <c r="L30" s="13" t="str">
        <f aca="false">IF(A30="","",SUMIFS('Girdi — Faturalar ve tahsilat'!$R$2:$R$3001,'Girdi — Faturalar ve tahsilat'!$C$2:$C$3001,$A30,'Girdi — Faturalar ve tahsilat'!$T$2:$T$3001,$Z$5,'Girdi — Faturalar ve tahsilat'!$S$2:$S$3001,"61-90"))</f>
        <v/>
      </c>
      <c r="M30" s="13" t="str">
        <f aca="false">IF(A30="","",SUMIFS('Girdi — Faturalar ve tahsilat'!$R$2:$R$3001,'Girdi — Faturalar ve tahsilat'!$C$2:$C$3001,$A30,'Girdi — Faturalar ve tahsilat'!$T$2:$T$3001,$Z$5,'Girdi — Faturalar ve tahsilat'!$S$2:$S$3001,"90+"))</f>
        <v/>
      </c>
      <c r="N30" s="21" t="str">
        <f aca="false">IF(F30="","",RANK(F30,$F$17:$F$216,0)+COUNTIF($F$17:F30,F30)-1)</f>
        <v/>
      </c>
    </row>
    <row r="31" customFormat="false" ht="15" hidden="false" customHeight="false" outlineLevel="0" collapsed="false">
      <c r="A31" s="16" t="str">
        <f aca="false">IFERROR(INDEX('Girdi — Faturalar ve tahsilat'!$C$2:$C$3001,MATCH(15,'Girdi — Faturalar ve tahsilat'!$U$2:$U$3001,0)),"")</f>
        <v/>
      </c>
      <c r="B31" s="16" t="str">
        <f aca="false">IF(A31="","",INDEX('Girdi — Faturalar ve tahsilat'!$D$2:$D$3001,MATCH(15,'Girdi — Faturalar ve tahsilat'!$U$2:$U$3001,0)))</f>
        <v/>
      </c>
      <c r="C31" s="13" t="str">
        <f aca="false">IF(A31="","",SUMIFS('Girdi — Faturalar ve tahsilat'!$F$2:$F$3001,'Girdi — Faturalar ve tahsilat'!$C$2:$C$3001,$A31,'Girdi — Faturalar ve tahsilat'!$T$2:$T$3001,$Z$5))</f>
        <v/>
      </c>
      <c r="D31" s="15" t="str">
        <f aca="false">IF(OR(A31="",N(C31)=0),"",SUMIFS('Girdi — Faturalar ve tahsilat'!$P$2:$P$3001,'Girdi — Faturalar ve tahsilat'!$C$2:$C$3001,$A31,'Girdi — Faturalar ve tahsilat'!$T$2:$T$3001,$Z$5)/C31)</f>
        <v/>
      </c>
      <c r="E31" s="15" t="str">
        <f aca="false">IF(OR(A31="",N(C31)=0),"",SUMIFS('Girdi — Faturalar ve tahsilat'!$Q$2:$Q$3001,'Girdi — Faturalar ve tahsilat'!$C$2:$C$3001,$A31,'Girdi — Faturalar ve tahsilat'!$T$2:$T$3001,$Z$5)/C31)</f>
        <v/>
      </c>
      <c r="F31" s="20" t="str">
        <f aca="false">IF(D31="","",E31-D31)</f>
        <v/>
      </c>
      <c r="G31" s="13" t="str">
        <f aca="false">IF(F31="","",C31*$D$4*F31/365)</f>
        <v/>
      </c>
      <c r="H31" s="13" t="str">
        <f aca="false">IF(A31="","",SUMIFS('Girdi — Faturalar ve tahsilat'!$R$2:$R$3001,'Girdi — Faturalar ve tahsilat'!$C$2:$C$3001,$A31,'Girdi — Faturalar ve tahsilat'!$T$2:$T$3001,$Z$5))</f>
        <v/>
      </c>
      <c r="I31" s="13" t="str">
        <f aca="false">IF(A31="","",SUMIFS('Girdi — Faturalar ve tahsilat'!$R$2:$R$3001,'Girdi — Faturalar ve tahsilat'!$C$2:$C$3001,$A31,'Girdi — Faturalar ve tahsilat'!$T$2:$T$3001,$Z$5,'Girdi — Faturalar ve tahsilat'!$O$2:$O$3001,"&gt;0"))</f>
        <v/>
      </c>
      <c r="J31" s="13" t="str">
        <f aca="false">IF(A31="","",SUMIFS('Girdi — Faturalar ve tahsilat'!$R$2:$R$3001,'Girdi — Faturalar ve tahsilat'!$C$2:$C$3001,$A31,'Girdi — Faturalar ve tahsilat'!$T$2:$T$3001,$Z$5,'Girdi — Faturalar ve tahsilat'!$S$2:$S$3001,"1-30"))</f>
        <v/>
      </c>
      <c r="K31" s="13" t="str">
        <f aca="false">IF(A31="","",SUMIFS('Girdi — Faturalar ve tahsilat'!$R$2:$R$3001,'Girdi — Faturalar ve tahsilat'!$C$2:$C$3001,$A31,'Girdi — Faturalar ve tahsilat'!$T$2:$T$3001,$Z$5,'Girdi — Faturalar ve tahsilat'!$S$2:$S$3001,"31-60"))</f>
        <v/>
      </c>
      <c r="L31" s="13" t="str">
        <f aca="false">IF(A31="","",SUMIFS('Girdi — Faturalar ve tahsilat'!$R$2:$R$3001,'Girdi — Faturalar ve tahsilat'!$C$2:$C$3001,$A31,'Girdi — Faturalar ve tahsilat'!$T$2:$T$3001,$Z$5,'Girdi — Faturalar ve tahsilat'!$S$2:$S$3001,"61-90"))</f>
        <v/>
      </c>
      <c r="M31" s="13" t="str">
        <f aca="false">IF(A31="","",SUMIFS('Girdi — Faturalar ve tahsilat'!$R$2:$R$3001,'Girdi — Faturalar ve tahsilat'!$C$2:$C$3001,$A31,'Girdi — Faturalar ve tahsilat'!$T$2:$T$3001,$Z$5,'Girdi — Faturalar ve tahsilat'!$S$2:$S$3001,"90+"))</f>
        <v/>
      </c>
      <c r="N31" s="21" t="str">
        <f aca="false">IF(F31="","",RANK(F31,$F$17:$F$216,0)+COUNTIF($F$17:F31,F31)-1)</f>
        <v/>
      </c>
    </row>
    <row r="32" customFormat="false" ht="15" hidden="false" customHeight="false" outlineLevel="0" collapsed="false">
      <c r="A32" s="16" t="str">
        <f aca="false">IFERROR(INDEX('Girdi — Faturalar ve tahsilat'!$C$2:$C$3001,MATCH(16,'Girdi — Faturalar ve tahsilat'!$U$2:$U$3001,0)),"")</f>
        <v/>
      </c>
      <c r="B32" s="16" t="str">
        <f aca="false">IF(A32="","",INDEX('Girdi — Faturalar ve tahsilat'!$D$2:$D$3001,MATCH(16,'Girdi — Faturalar ve tahsilat'!$U$2:$U$3001,0)))</f>
        <v/>
      </c>
      <c r="C32" s="13" t="str">
        <f aca="false">IF(A32="","",SUMIFS('Girdi — Faturalar ve tahsilat'!$F$2:$F$3001,'Girdi — Faturalar ve tahsilat'!$C$2:$C$3001,$A32,'Girdi — Faturalar ve tahsilat'!$T$2:$T$3001,$Z$5))</f>
        <v/>
      </c>
      <c r="D32" s="15" t="str">
        <f aca="false">IF(OR(A32="",N(C32)=0),"",SUMIFS('Girdi — Faturalar ve tahsilat'!$P$2:$P$3001,'Girdi — Faturalar ve tahsilat'!$C$2:$C$3001,$A32,'Girdi — Faturalar ve tahsilat'!$T$2:$T$3001,$Z$5)/C32)</f>
        <v/>
      </c>
      <c r="E32" s="15" t="str">
        <f aca="false">IF(OR(A32="",N(C32)=0),"",SUMIFS('Girdi — Faturalar ve tahsilat'!$Q$2:$Q$3001,'Girdi — Faturalar ve tahsilat'!$C$2:$C$3001,$A32,'Girdi — Faturalar ve tahsilat'!$T$2:$T$3001,$Z$5)/C32)</f>
        <v/>
      </c>
      <c r="F32" s="20" t="str">
        <f aca="false">IF(D32="","",E32-D32)</f>
        <v/>
      </c>
      <c r="G32" s="13" t="str">
        <f aca="false">IF(F32="","",C32*$D$4*F32/365)</f>
        <v/>
      </c>
      <c r="H32" s="13" t="str">
        <f aca="false">IF(A32="","",SUMIFS('Girdi — Faturalar ve tahsilat'!$R$2:$R$3001,'Girdi — Faturalar ve tahsilat'!$C$2:$C$3001,$A32,'Girdi — Faturalar ve tahsilat'!$T$2:$T$3001,$Z$5))</f>
        <v/>
      </c>
      <c r="I32" s="13" t="str">
        <f aca="false">IF(A32="","",SUMIFS('Girdi — Faturalar ve tahsilat'!$R$2:$R$3001,'Girdi — Faturalar ve tahsilat'!$C$2:$C$3001,$A32,'Girdi — Faturalar ve tahsilat'!$T$2:$T$3001,$Z$5,'Girdi — Faturalar ve tahsilat'!$O$2:$O$3001,"&gt;0"))</f>
        <v/>
      </c>
      <c r="J32" s="13" t="str">
        <f aca="false">IF(A32="","",SUMIFS('Girdi — Faturalar ve tahsilat'!$R$2:$R$3001,'Girdi — Faturalar ve tahsilat'!$C$2:$C$3001,$A32,'Girdi — Faturalar ve tahsilat'!$T$2:$T$3001,$Z$5,'Girdi — Faturalar ve tahsilat'!$S$2:$S$3001,"1-30"))</f>
        <v/>
      </c>
      <c r="K32" s="13" t="str">
        <f aca="false">IF(A32="","",SUMIFS('Girdi — Faturalar ve tahsilat'!$R$2:$R$3001,'Girdi — Faturalar ve tahsilat'!$C$2:$C$3001,$A32,'Girdi — Faturalar ve tahsilat'!$T$2:$T$3001,$Z$5,'Girdi — Faturalar ve tahsilat'!$S$2:$S$3001,"31-60"))</f>
        <v/>
      </c>
      <c r="L32" s="13" t="str">
        <f aca="false">IF(A32="","",SUMIFS('Girdi — Faturalar ve tahsilat'!$R$2:$R$3001,'Girdi — Faturalar ve tahsilat'!$C$2:$C$3001,$A32,'Girdi — Faturalar ve tahsilat'!$T$2:$T$3001,$Z$5,'Girdi — Faturalar ve tahsilat'!$S$2:$S$3001,"61-90"))</f>
        <v/>
      </c>
      <c r="M32" s="13" t="str">
        <f aca="false">IF(A32="","",SUMIFS('Girdi — Faturalar ve tahsilat'!$R$2:$R$3001,'Girdi — Faturalar ve tahsilat'!$C$2:$C$3001,$A32,'Girdi — Faturalar ve tahsilat'!$T$2:$T$3001,$Z$5,'Girdi — Faturalar ve tahsilat'!$S$2:$S$3001,"90+"))</f>
        <v/>
      </c>
      <c r="N32" s="21" t="str">
        <f aca="false">IF(F32="","",RANK(F32,$F$17:$F$216,0)+COUNTIF($F$17:F32,F32)-1)</f>
        <v/>
      </c>
    </row>
    <row r="33" customFormat="false" ht="15" hidden="false" customHeight="false" outlineLevel="0" collapsed="false">
      <c r="A33" s="16" t="str">
        <f aca="false">IFERROR(INDEX('Girdi — Faturalar ve tahsilat'!$C$2:$C$3001,MATCH(17,'Girdi — Faturalar ve tahsilat'!$U$2:$U$3001,0)),"")</f>
        <v/>
      </c>
      <c r="B33" s="16" t="str">
        <f aca="false">IF(A33="","",INDEX('Girdi — Faturalar ve tahsilat'!$D$2:$D$3001,MATCH(17,'Girdi — Faturalar ve tahsilat'!$U$2:$U$3001,0)))</f>
        <v/>
      </c>
      <c r="C33" s="13" t="str">
        <f aca="false">IF(A33="","",SUMIFS('Girdi — Faturalar ve tahsilat'!$F$2:$F$3001,'Girdi — Faturalar ve tahsilat'!$C$2:$C$3001,$A33,'Girdi — Faturalar ve tahsilat'!$T$2:$T$3001,$Z$5))</f>
        <v/>
      </c>
      <c r="D33" s="15" t="str">
        <f aca="false">IF(OR(A33="",N(C33)=0),"",SUMIFS('Girdi — Faturalar ve tahsilat'!$P$2:$P$3001,'Girdi — Faturalar ve tahsilat'!$C$2:$C$3001,$A33,'Girdi — Faturalar ve tahsilat'!$T$2:$T$3001,$Z$5)/C33)</f>
        <v/>
      </c>
      <c r="E33" s="15" t="str">
        <f aca="false">IF(OR(A33="",N(C33)=0),"",SUMIFS('Girdi — Faturalar ve tahsilat'!$Q$2:$Q$3001,'Girdi — Faturalar ve tahsilat'!$C$2:$C$3001,$A33,'Girdi — Faturalar ve tahsilat'!$T$2:$T$3001,$Z$5)/C33)</f>
        <v/>
      </c>
      <c r="F33" s="20" t="str">
        <f aca="false">IF(D33="","",E33-D33)</f>
        <v/>
      </c>
      <c r="G33" s="13" t="str">
        <f aca="false">IF(F33="","",C33*$D$4*F33/365)</f>
        <v/>
      </c>
      <c r="H33" s="13" t="str">
        <f aca="false">IF(A33="","",SUMIFS('Girdi — Faturalar ve tahsilat'!$R$2:$R$3001,'Girdi — Faturalar ve tahsilat'!$C$2:$C$3001,$A33,'Girdi — Faturalar ve tahsilat'!$T$2:$T$3001,$Z$5))</f>
        <v/>
      </c>
      <c r="I33" s="13" t="str">
        <f aca="false">IF(A33="","",SUMIFS('Girdi — Faturalar ve tahsilat'!$R$2:$R$3001,'Girdi — Faturalar ve tahsilat'!$C$2:$C$3001,$A33,'Girdi — Faturalar ve tahsilat'!$T$2:$T$3001,$Z$5,'Girdi — Faturalar ve tahsilat'!$O$2:$O$3001,"&gt;0"))</f>
        <v/>
      </c>
      <c r="J33" s="13" t="str">
        <f aca="false">IF(A33="","",SUMIFS('Girdi — Faturalar ve tahsilat'!$R$2:$R$3001,'Girdi — Faturalar ve tahsilat'!$C$2:$C$3001,$A33,'Girdi — Faturalar ve tahsilat'!$T$2:$T$3001,$Z$5,'Girdi — Faturalar ve tahsilat'!$S$2:$S$3001,"1-30"))</f>
        <v/>
      </c>
      <c r="K33" s="13" t="str">
        <f aca="false">IF(A33="","",SUMIFS('Girdi — Faturalar ve tahsilat'!$R$2:$R$3001,'Girdi — Faturalar ve tahsilat'!$C$2:$C$3001,$A33,'Girdi — Faturalar ve tahsilat'!$T$2:$T$3001,$Z$5,'Girdi — Faturalar ve tahsilat'!$S$2:$S$3001,"31-60"))</f>
        <v/>
      </c>
      <c r="L33" s="13" t="str">
        <f aca="false">IF(A33="","",SUMIFS('Girdi — Faturalar ve tahsilat'!$R$2:$R$3001,'Girdi — Faturalar ve tahsilat'!$C$2:$C$3001,$A33,'Girdi — Faturalar ve tahsilat'!$T$2:$T$3001,$Z$5,'Girdi — Faturalar ve tahsilat'!$S$2:$S$3001,"61-90"))</f>
        <v/>
      </c>
      <c r="M33" s="13" t="str">
        <f aca="false">IF(A33="","",SUMIFS('Girdi — Faturalar ve tahsilat'!$R$2:$R$3001,'Girdi — Faturalar ve tahsilat'!$C$2:$C$3001,$A33,'Girdi — Faturalar ve tahsilat'!$T$2:$T$3001,$Z$5,'Girdi — Faturalar ve tahsilat'!$S$2:$S$3001,"90+"))</f>
        <v/>
      </c>
      <c r="N33" s="21" t="str">
        <f aca="false">IF(F33="","",RANK(F33,$F$17:$F$216,0)+COUNTIF($F$17:F33,F33)-1)</f>
        <v/>
      </c>
    </row>
    <row r="34" customFormat="false" ht="15" hidden="false" customHeight="false" outlineLevel="0" collapsed="false">
      <c r="A34" s="16" t="str">
        <f aca="false">IFERROR(INDEX('Girdi — Faturalar ve tahsilat'!$C$2:$C$3001,MATCH(18,'Girdi — Faturalar ve tahsilat'!$U$2:$U$3001,0)),"")</f>
        <v/>
      </c>
      <c r="B34" s="16" t="str">
        <f aca="false">IF(A34="","",INDEX('Girdi — Faturalar ve tahsilat'!$D$2:$D$3001,MATCH(18,'Girdi — Faturalar ve tahsilat'!$U$2:$U$3001,0)))</f>
        <v/>
      </c>
      <c r="C34" s="13" t="str">
        <f aca="false">IF(A34="","",SUMIFS('Girdi — Faturalar ve tahsilat'!$F$2:$F$3001,'Girdi — Faturalar ve tahsilat'!$C$2:$C$3001,$A34,'Girdi — Faturalar ve tahsilat'!$T$2:$T$3001,$Z$5))</f>
        <v/>
      </c>
      <c r="D34" s="15" t="str">
        <f aca="false">IF(OR(A34="",N(C34)=0),"",SUMIFS('Girdi — Faturalar ve tahsilat'!$P$2:$P$3001,'Girdi — Faturalar ve tahsilat'!$C$2:$C$3001,$A34,'Girdi — Faturalar ve tahsilat'!$T$2:$T$3001,$Z$5)/C34)</f>
        <v/>
      </c>
      <c r="E34" s="15" t="str">
        <f aca="false">IF(OR(A34="",N(C34)=0),"",SUMIFS('Girdi — Faturalar ve tahsilat'!$Q$2:$Q$3001,'Girdi — Faturalar ve tahsilat'!$C$2:$C$3001,$A34,'Girdi — Faturalar ve tahsilat'!$T$2:$T$3001,$Z$5)/C34)</f>
        <v/>
      </c>
      <c r="F34" s="20" t="str">
        <f aca="false">IF(D34="","",E34-D34)</f>
        <v/>
      </c>
      <c r="G34" s="13" t="str">
        <f aca="false">IF(F34="","",C34*$D$4*F34/365)</f>
        <v/>
      </c>
      <c r="H34" s="13" t="str">
        <f aca="false">IF(A34="","",SUMIFS('Girdi — Faturalar ve tahsilat'!$R$2:$R$3001,'Girdi — Faturalar ve tahsilat'!$C$2:$C$3001,$A34,'Girdi — Faturalar ve tahsilat'!$T$2:$T$3001,$Z$5))</f>
        <v/>
      </c>
      <c r="I34" s="13" t="str">
        <f aca="false">IF(A34="","",SUMIFS('Girdi — Faturalar ve tahsilat'!$R$2:$R$3001,'Girdi — Faturalar ve tahsilat'!$C$2:$C$3001,$A34,'Girdi — Faturalar ve tahsilat'!$T$2:$T$3001,$Z$5,'Girdi — Faturalar ve tahsilat'!$O$2:$O$3001,"&gt;0"))</f>
        <v/>
      </c>
      <c r="J34" s="13" t="str">
        <f aca="false">IF(A34="","",SUMIFS('Girdi — Faturalar ve tahsilat'!$R$2:$R$3001,'Girdi — Faturalar ve tahsilat'!$C$2:$C$3001,$A34,'Girdi — Faturalar ve tahsilat'!$T$2:$T$3001,$Z$5,'Girdi — Faturalar ve tahsilat'!$S$2:$S$3001,"1-30"))</f>
        <v/>
      </c>
      <c r="K34" s="13" t="str">
        <f aca="false">IF(A34="","",SUMIFS('Girdi — Faturalar ve tahsilat'!$R$2:$R$3001,'Girdi — Faturalar ve tahsilat'!$C$2:$C$3001,$A34,'Girdi — Faturalar ve tahsilat'!$T$2:$T$3001,$Z$5,'Girdi — Faturalar ve tahsilat'!$S$2:$S$3001,"31-60"))</f>
        <v/>
      </c>
      <c r="L34" s="13" t="str">
        <f aca="false">IF(A34="","",SUMIFS('Girdi — Faturalar ve tahsilat'!$R$2:$R$3001,'Girdi — Faturalar ve tahsilat'!$C$2:$C$3001,$A34,'Girdi — Faturalar ve tahsilat'!$T$2:$T$3001,$Z$5,'Girdi — Faturalar ve tahsilat'!$S$2:$S$3001,"61-90"))</f>
        <v/>
      </c>
      <c r="M34" s="13" t="str">
        <f aca="false">IF(A34="","",SUMIFS('Girdi — Faturalar ve tahsilat'!$R$2:$R$3001,'Girdi — Faturalar ve tahsilat'!$C$2:$C$3001,$A34,'Girdi — Faturalar ve tahsilat'!$T$2:$T$3001,$Z$5,'Girdi — Faturalar ve tahsilat'!$S$2:$S$3001,"90+"))</f>
        <v/>
      </c>
      <c r="N34" s="21" t="str">
        <f aca="false">IF(F34="","",RANK(F34,$F$17:$F$216,0)+COUNTIF($F$17:F34,F34)-1)</f>
        <v/>
      </c>
    </row>
    <row r="35" customFormat="false" ht="15" hidden="false" customHeight="false" outlineLevel="0" collapsed="false">
      <c r="A35" s="16" t="str">
        <f aca="false">IFERROR(INDEX('Girdi — Faturalar ve tahsilat'!$C$2:$C$3001,MATCH(19,'Girdi — Faturalar ve tahsilat'!$U$2:$U$3001,0)),"")</f>
        <v/>
      </c>
      <c r="B35" s="16" t="str">
        <f aca="false">IF(A35="","",INDEX('Girdi — Faturalar ve tahsilat'!$D$2:$D$3001,MATCH(19,'Girdi — Faturalar ve tahsilat'!$U$2:$U$3001,0)))</f>
        <v/>
      </c>
      <c r="C35" s="13" t="str">
        <f aca="false">IF(A35="","",SUMIFS('Girdi — Faturalar ve tahsilat'!$F$2:$F$3001,'Girdi — Faturalar ve tahsilat'!$C$2:$C$3001,$A35,'Girdi — Faturalar ve tahsilat'!$T$2:$T$3001,$Z$5))</f>
        <v/>
      </c>
      <c r="D35" s="15" t="str">
        <f aca="false">IF(OR(A35="",N(C35)=0),"",SUMIFS('Girdi — Faturalar ve tahsilat'!$P$2:$P$3001,'Girdi — Faturalar ve tahsilat'!$C$2:$C$3001,$A35,'Girdi — Faturalar ve tahsilat'!$T$2:$T$3001,$Z$5)/C35)</f>
        <v/>
      </c>
      <c r="E35" s="15" t="str">
        <f aca="false">IF(OR(A35="",N(C35)=0),"",SUMIFS('Girdi — Faturalar ve tahsilat'!$Q$2:$Q$3001,'Girdi — Faturalar ve tahsilat'!$C$2:$C$3001,$A35,'Girdi — Faturalar ve tahsilat'!$T$2:$T$3001,$Z$5)/C35)</f>
        <v/>
      </c>
      <c r="F35" s="20" t="str">
        <f aca="false">IF(D35="","",E35-D35)</f>
        <v/>
      </c>
      <c r="G35" s="13" t="str">
        <f aca="false">IF(F35="","",C35*$D$4*F35/365)</f>
        <v/>
      </c>
      <c r="H35" s="13" t="str">
        <f aca="false">IF(A35="","",SUMIFS('Girdi — Faturalar ve tahsilat'!$R$2:$R$3001,'Girdi — Faturalar ve tahsilat'!$C$2:$C$3001,$A35,'Girdi — Faturalar ve tahsilat'!$T$2:$T$3001,$Z$5))</f>
        <v/>
      </c>
      <c r="I35" s="13" t="str">
        <f aca="false">IF(A35="","",SUMIFS('Girdi — Faturalar ve tahsilat'!$R$2:$R$3001,'Girdi — Faturalar ve tahsilat'!$C$2:$C$3001,$A35,'Girdi — Faturalar ve tahsilat'!$T$2:$T$3001,$Z$5,'Girdi — Faturalar ve tahsilat'!$O$2:$O$3001,"&gt;0"))</f>
        <v/>
      </c>
      <c r="J35" s="13" t="str">
        <f aca="false">IF(A35="","",SUMIFS('Girdi — Faturalar ve tahsilat'!$R$2:$R$3001,'Girdi — Faturalar ve tahsilat'!$C$2:$C$3001,$A35,'Girdi — Faturalar ve tahsilat'!$T$2:$T$3001,$Z$5,'Girdi — Faturalar ve tahsilat'!$S$2:$S$3001,"1-30"))</f>
        <v/>
      </c>
      <c r="K35" s="13" t="str">
        <f aca="false">IF(A35="","",SUMIFS('Girdi — Faturalar ve tahsilat'!$R$2:$R$3001,'Girdi — Faturalar ve tahsilat'!$C$2:$C$3001,$A35,'Girdi — Faturalar ve tahsilat'!$T$2:$T$3001,$Z$5,'Girdi — Faturalar ve tahsilat'!$S$2:$S$3001,"31-60"))</f>
        <v/>
      </c>
      <c r="L35" s="13" t="str">
        <f aca="false">IF(A35="","",SUMIFS('Girdi — Faturalar ve tahsilat'!$R$2:$R$3001,'Girdi — Faturalar ve tahsilat'!$C$2:$C$3001,$A35,'Girdi — Faturalar ve tahsilat'!$T$2:$T$3001,$Z$5,'Girdi — Faturalar ve tahsilat'!$S$2:$S$3001,"61-90"))</f>
        <v/>
      </c>
      <c r="M35" s="13" t="str">
        <f aca="false">IF(A35="","",SUMIFS('Girdi — Faturalar ve tahsilat'!$R$2:$R$3001,'Girdi — Faturalar ve tahsilat'!$C$2:$C$3001,$A35,'Girdi — Faturalar ve tahsilat'!$T$2:$T$3001,$Z$5,'Girdi — Faturalar ve tahsilat'!$S$2:$S$3001,"90+"))</f>
        <v/>
      </c>
      <c r="N35" s="21" t="str">
        <f aca="false">IF(F35="","",RANK(F35,$F$17:$F$216,0)+COUNTIF($F$17:F35,F35)-1)</f>
        <v/>
      </c>
    </row>
    <row r="36" customFormat="false" ht="15" hidden="false" customHeight="false" outlineLevel="0" collapsed="false">
      <c r="A36" s="16" t="str">
        <f aca="false">IFERROR(INDEX('Girdi — Faturalar ve tahsilat'!$C$2:$C$3001,MATCH(20,'Girdi — Faturalar ve tahsilat'!$U$2:$U$3001,0)),"")</f>
        <v/>
      </c>
      <c r="B36" s="16" t="str">
        <f aca="false">IF(A36="","",INDEX('Girdi — Faturalar ve tahsilat'!$D$2:$D$3001,MATCH(20,'Girdi — Faturalar ve tahsilat'!$U$2:$U$3001,0)))</f>
        <v/>
      </c>
      <c r="C36" s="13" t="str">
        <f aca="false">IF(A36="","",SUMIFS('Girdi — Faturalar ve tahsilat'!$F$2:$F$3001,'Girdi — Faturalar ve tahsilat'!$C$2:$C$3001,$A36,'Girdi — Faturalar ve tahsilat'!$T$2:$T$3001,$Z$5))</f>
        <v/>
      </c>
      <c r="D36" s="15" t="str">
        <f aca="false">IF(OR(A36="",N(C36)=0),"",SUMIFS('Girdi — Faturalar ve tahsilat'!$P$2:$P$3001,'Girdi — Faturalar ve tahsilat'!$C$2:$C$3001,$A36,'Girdi — Faturalar ve tahsilat'!$T$2:$T$3001,$Z$5)/C36)</f>
        <v/>
      </c>
      <c r="E36" s="15" t="str">
        <f aca="false">IF(OR(A36="",N(C36)=0),"",SUMIFS('Girdi — Faturalar ve tahsilat'!$Q$2:$Q$3001,'Girdi — Faturalar ve tahsilat'!$C$2:$C$3001,$A36,'Girdi — Faturalar ve tahsilat'!$T$2:$T$3001,$Z$5)/C36)</f>
        <v/>
      </c>
      <c r="F36" s="20" t="str">
        <f aca="false">IF(D36="","",E36-D36)</f>
        <v/>
      </c>
      <c r="G36" s="13" t="str">
        <f aca="false">IF(F36="","",C36*$D$4*F36/365)</f>
        <v/>
      </c>
      <c r="H36" s="13" t="str">
        <f aca="false">IF(A36="","",SUMIFS('Girdi — Faturalar ve tahsilat'!$R$2:$R$3001,'Girdi — Faturalar ve tahsilat'!$C$2:$C$3001,$A36,'Girdi — Faturalar ve tahsilat'!$T$2:$T$3001,$Z$5))</f>
        <v/>
      </c>
      <c r="I36" s="13" t="str">
        <f aca="false">IF(A36="","",SUMIFS('Girdi — Faturalar ve tahsilat'!$R$2:$R$3001,'Girdi — Faturalar ve tahsilat'!$C$2:$C$3001,$A36,'Girdi — Faturalar ve tahsilat'!$T$2:$T$3001,$Z$5,'Girdi — Faturalar ve tahsilat'!$O$2:$O$3001,"&gt;0"))</f>
        <v/>
      </c>
      <c r="J36" s="13" t="str">
        <f aca="false">IF(A36="","",SUMIFS('Girdi — Faturalar ve tahsilat'!$R$2:$R$3001,'Girdi — Faturalar ve tahsilat'!$C$2:$C$3001,$A36,'Girdi — Faturalar ve tahsilat'!$T$2:$T$3001,$Z$5,'Girdi — Faturalar ve tahsilat'!$S$2:$S$3001,"1-30"))</f>
        <v/>
      </c>
      <c r="K36" s="13" t="str">
        <f aca="false">IF(A36="","",SUMIFS('Girdi — Faturalar ve tahsilat'!$R$2:$R$3001,'Girdi — Faturalar ve tahsilat'!$C$2:$C$3001,$A36,'Girdi — Faturalar ve tahsilat'!$T$2:$T$3001,$Z$5,'Girdi — Faturalar ve tahsilat'!$S$2:$S$3001,"31-60"))</f>
        <v/>
      </c>
      <c r="L36" s="13" t="str">
        <f aca="false">IF(A36="","",SUMIFS('Girdi — Faturalar ve tahsilat'!$R$2:$R$3001,'Girdi — Faturalar ve tahsilat'!$C$2:$C$3001,$A36,'Girdi — Faturalar ve tahsilat'!$T$2:$T$3001,$Z$5,'Girdi — Faturalar ve tahsilat'!$S$2:$S$3001,"61-90"))</f>
        <v/>
      </c>
      <c r="M36" s="13" t="str">
        <f aca="false">IF(A36="","",SUMIFS('Girdi — Faturalar ve tahsilat'!$R$2:$R$3001,'Girdi — Faturalar ve tahsilat'!$C$2:$C$3001,$A36,'Girdi — Faturalar ve tahsilat'!$T$2:$T$3001,$Z$5,'Girdi — Faturalar ve tahsilat'!$S$2:$S$3001,"90+"))</f>
        <v/>
      </c>
      <c r="N36" s="21" t="str">
        <f aca="false">IF(F36="","",RANK(F36,$F$17:$F$216,0)+COUNTIF($F$17:F36,F36)-1)</f>
        <v/>
      </c>
    </row>
    <row r="37" customFormat="false" ht="15" hidden="false" customHeight="false" outlineLevel="0" collapsed="false">
      <c r="A37" s="16" t="str">
        <f aca="false">IFERROR(INDEX('Girdi — Faturalar ve tahsilat'!$C$2:$C$3001,MATCH(21,'Girdi — Faturalar ve tahsilat'!$U$2:$U$3001,0)),"")</f>
        <v/>
      </c>
      <c r="B37" s="16" t="str">
        <f aca="false">IF(A37="","",INDEX('Girdi — Faturalar ve tahsilat'!$D$2:$D$3001,MATCH(21,'Girdi — Faturalar ve tahsilat'!$U$2:$U$3001,0)))</f>
        <v/>
      </c>
      <c r="C37" s="13" t="str">
        <f aca="false">IF(A37="","",SUMIFS('Girdi — Faturalar ve tahsilat'!$F$2:$F$3001,'Girdi — Faturalar ve tahsilat'!$C$2:$C$3001,$A37,'Girdi — Faturalar ve tahsilat'!$T$2:$T$3001,$Z$5))</f>
        <v/>
      </c>
      <c r="D37" s="15" t="str">
        <f aca="false">IF(OR(A37="",N(C37)=0),"",SUMIFS('Girdi — Faturalar ve tahsilat'!$P$2:$P$3001,'Girdi — Faturalar ve tahsilat'!$C$2:$C$3001,$A37,'Girdi — Faturalar ve tahsilat'!$T$2:$T$3001,$Z$5)/C37)</f>
        <v/>
      </c>
      <c r="E37" s="15" t="str">
        <f aca="false">IF(OR(A37="",N(C37)=0),"",SUMIFS('Girdi — Faturalar ve tahsilat'!$Q$2:$Q$3001,'Girdi — Faturalar ve tahsilat'!$C$2:$C$3001,$A37,'Girdi — Faturalar ve tahsilat'!$T$2:$T$3001,$Z$5)/C37)</f>
        <v/>
      </c>
      <c r="F37" s="20" t="str">
        <f aca="false">IF(D37="","",E37-D37)</f>
        <v/>
      </c>
      <c r="G37" s="13" t="str">
        <f aca="false">IF(F37="","",C37*$D$4*F37/365)</f>
        <v/>
      </c>
      <c r="H37" s="13" t="str">
        <f aca="false">IF(A37="","",SUMIFS('Girdi — Faturalar ve tahsilat'!$R$2:$R$3001,'Girdi — Faturalar ve tahsilat'!$C$2:$C$3001,$A37,'Girdi — Faturalar ve tahsilat'!$T$2:$T$3001,$Z$5))</f>
        <v/>
      </c>
      <c r="I37" s="13" t="str">
        <f aca="false">IF(A37="","",SUMIFS('Girdi — Faturalar ve tahsilat'!$R$2:$R$3001,'Girdi — Faturalar ve tahsilat'!$C$2:$C$3001,$A37,'Girdi — Faturalar ve tahsilat'!$T$2:$T$3001,$Z$5,'Girdi — Faturalar ve tahsilat'!$O$2:$O$3001,"&gt;0"))</f>
        <v/>
      </c>
      <c r="J37" s="13" t="str">
        <f aca="false">IF(A37="","",SUMIFS('Girdi — Faturalar ve tahsilat'!$R$2:$R$3001,'Girdi — Faturalar ve tahsilat'!$C$2:$C$3001,$A37,'Girdi — Faturalar ve tahsilat'!$T$2:$T$3001,$Z$5,'Girdi — Faturalar ve tahsilat'!$S$2:$S$3001,"1-30"))</f>
        <v/>
      </c>
      <c r="K37" s="13" t="str">
        <f aca="false">IF(A37="","",SUMIFS('Girdi — Faturalar ve tahsilat'!$R$2:$R$3001,'Girdi — Faturalar ve tahsilat'!$C$2:$C$3001,$A37,'Girdi — Faturalar ve tahsilat'!$T$2:$T$3001,$Z$5,'Girdi — Faturalar ve tahsilat'!$S$2:$S$3001,"31-60"))</f>
        <v/>
      </c>
      <c r="L37" s="13" t="str">
        <f aca="false">IF(A37="","",SUMIFS('Girdi — Faturalar ve tahsilat'!$R$2:$R$3001,'Girdi — Faturalar ve tahsilat'!$C$2:$C$3001,$A37,'Girdi — Faturalar ve tahsilat'!$T$2:$T$3001,$Z$5,'Girdi — Faturalar ve tahsilat'!$S$2:$S$3001,"61-90"))</f>
        <v/>
      </c>
      <c r="M37" s="13" t="str">
        <f aca="false">IF(A37="","",SUMIFS('Girdi — Faturalar ve tahsilat'!$R$2:$R$3001,'Girdi — Faturalar ve tahsilat'!$C$2:$C$3001,$A37,'Girdi — Faturalar ve tahsilat'!$T$2:$T$3001,$Z$5,'Girdi — Faturalar ve tahsilat'!$S$2:$S$3001,"90+"))</f>
        <v/>
      </c>
      <c r="N37" s="21" t="str">
        <f aca="false">IF(F37="","",RANK(F37,$F$17:$F$216,0)+COUNTIF($F$17:F37,F37)-1)</f>
        <v/>
      </c>
    </row>
    <row r="38" customFormat="false" ht="15" hidden="false" customHeight="false" outlineLevel="0" collapsed="false">
      <c r="A38" s="16" t="str">
        <f aca="false">IFERROR(INDEX('Girdi — Faturalar ve tahsilat'!$C$2:$C$3001,MATCH(22,'Girdi — Faturalar ve tahsilat'!$U$2:$U$3001,0)),"")</f>
        <v/>
      </c>
      <c r="B38" s="16" t="str">
        <f aca="false">IF(A38="","",INDEX('Girdi — Faturalar ve tahsilat'!$D$2:$D$3001,MATCH(22,'Girdi — Faturalar ve tahsilat'!$U$2:$U$3001,0)))</f>
        <v/>
      </c>
      <c r="C38" s="13" t="str">
        <f aca="false">IF(A38="","",SUMIFS('Girdi — Faturalar ve tahsilat'!$F$2:$F$3001,'Girdi — Faturalar ve tahsilat'!$C$2:$C$3001,$A38,'Girdi — Faturalar ve tahsilat'!$T$2:$T$3001,$Z$5))</f>
        <v/>
      </c>
      <c r="D38" s="15" t="str">
        <f aca="false">IF(OR(A38="",N(C38)=0),"",SUMIFS('Girdi — Faturalar ve tahsilat'!$P$2:$P$3001,'Girdi — Faturalar ve tahsilat'!$C$2:$C$3001,$A38,'Girdi — Faturalar ve tahsilat'!$T$2:$T$3001,$Z$5)/C38)</f>
        <v/>
      </c>
      <c r="E38" s="15" t="str">
        <f aca="false">IF(OR(A38="",N(C38)=0),"",SUMIFS('Girdi — Faturalar ve tahsilat'!$Q$2:$Q$3001,'Girdi — Faturalar ve tahsilat'!$C$2:$C$3001,$A38,'Girdi — Faturalar ve tahsilat'!$T$2:$T$3001,$Z$5)/C38)</f>
        <v/>
      </c>
      <c r="F38" s="20" t="str">
        <f aca="false">IF(D38="","",E38-D38)</f>
        <v/>
      </c>
      <c r="G38" s="13" t="str">
        <f aca="false">IF(F38="","",C38*$D$4*F38/365)</f>
        <v/>
      </c>
      <c r="H38" s="13" t="str">
        <f aca="false">IF(A38="","",SUMIFS('Girdi — Faturalar ve tahsilat'!$R$2:$R$3001,'Girdi — Faturalar ve tahsilat'!$C$2:$C$3001,$A38,'Girdi — Faturalar ve tahsilat'!$T$2:$T$3001,$Z$5))</f>
        <v/>
      </c>
      <c r="I38" s="13" t="str">
        <f aca="false">IF(A38="","",SUMIFS('Girdi — Faturalar ve tahsilat'!$R$2:$R$3001,'Girdi — Faturalar ve tahsilat'!$C$2:$C$3001,$A38,'Girdi — Faturalar ve tahsilat'!$T$2:$T$3001,$Z$5,'Girdi — Faturalar ve tahsilat'!$O$2:$O$3001,"&gt;0"))</f>
        <v/>
      </c>
      <c r="J38" s="13" t="str">
        <f aca="false">IF(A38="","",SUMIFS('Girdi — Faturalar ve tahsilat'!$R$2:$R$3001,'Girdi — Faturalar ve tahsilat'!$C$2:$C$3001,$A38,'Girdi — Faturalar ve tahsilat'!$T$2:$T$3001,$Z$5,'Girdi — Faturalar ve tahsilat'!$S$2:$S$3001,"1-30"))</f>
        <v/>
      </c>
      <c r="K38" s="13" t="str">
        <f aca="false">IF(A38="","",SUMIFS('Girdi — Faturalar ve tahsilat'!$R$2:$R$3001,'Girdi — Faturalar ve tahsilat'!$C$2:$C$3001,$A38,'Girdi — Faturalar ve tahsilat'!$T$2:$T$3001,$Z$5,'Girdi — Faturalar ve tahsilat'!$S$2:$S$3001,"31-60"))</f>
        <v/>
      </c>
      <c r="L38" s="13" t="str">
        <f aca="false">IF(A38="","",SUMIFS('Girdi — Faturalar ve tahsilat'!$R$2:$R$3001,'Girdi — Faturalar ve tahsilat'!$C$2:$C$3001,$A38,'Girdi — Faturalar ve tahsilat'!$T$2:$T$3001,$Z$5,'Girdi — Faturalar ve tahsilat'!$S$2:$S$3001,"61-90"))</f>
        <v/>
      </c>
      <c r="M38" s="13" t="str">
        <f aca="false">IF(A38="","",SUMIFS('Girdi — Faturalar ve tahsilat'!$R$2:$R$3001,'Girdi — Faturalar ve tahsilat'!$C$2:$C$3001,$A38,'Girdi — Faturalar ve tahsilat'!$T$2:$T$3001,$Z$5,'Girdi — Faturalar ve tahsilat'!$S$2:$S$3001,"90+"))</f>
        <v/>
      </c>
      <c r="N38" s="21" t="str">
        <f aca="false">IF(F38="","",RANK(F38,$F$17:$F$216,0)+COUNTIF($F$17:F38,F38)-1)</f>
        <v/>
      </c>
    </row>
    <row r="39" customFormat="false" ht="15" hidden="false" customHeight="false" outlineLevel="0" collapsed="false">
      <c r="A39" s="16" t="str">
        <f aca="false">IFERROR(INDEX('Girdi — Faturalar ve tahsilat'!$C$2:$C$3001,MATCH(23,'Girdi — Faturalar ve tahsilat'!$U$2:$U$3001,0)),"")</f>
        <v/>
      </c>
      <c r="B39" s="16" t="str">
        <f aca="false">IF(A39="","",INDEX('Girdi — Faturalar ve tahsilat'!$D$2:$D$3001,MATCH(23,'Girdi — Faturalar ve tahsilat'!$U$2:$U$3001,0)))</f>
        <v/>
      </c>
      <c r="C39" s="13" t="str">
        <f aca="false">IF(A39="","",SUMIFS('Girdi — Faturalar ve tahsilat'!$F$2:$F$3001,'Girdi — Faturalar ve tahsilat'!$C$2:$C$3001,$A39,'Girdi — Faturalar ve tahsilat'!$T$2:$T$3001,$Z$5))</f>
        <v/>
      </c>
      <c r="D39" s="15" t="str">
        <f aca="false">IF(OR(A39="",N(C39)=0),"",SUMIFS('Girdi — Faturalar ve tahsilat'!$P$2:$P$3001,'Girdi — Faturalar ve tahsilat'!$C$2:$C$3001,$A39,'Girdi — Faturalar ve tahsilat'!$T$2:$T$3001,$Z$5)/C39)</f>
        <v/>
      </c>
      <c r="E39" s="15" t="str">
        <f aca="false">IF(OR(A39="",N(C39)=0),"",SUMIFS('Girdi — Faturalar ve tahsilat'!$Q$2:$Q$3001,'Girdi — Faturalar ve tahsilat'!$C$2:$C$3001,$A39,'Girdi — Faturalar ve tahsilat'!$T$2:$T$3001,$Z$5)/C39)</f>
        <v/>
      </c>
      <c r="F39" s="20" t="str">
        <f aca="false">IF(D39="","",E39-D39)</f>
        <v/>
      </c>
      <c r="G39" s="13" t="str">
        <f aca="false">IF(F39="","",C39*$D$4*F39/365)</f>
        <v/>
      </c>
      <c r="H39" s="13" t="str">
        <f aca="false">IF(A39="","",SUMIFS('Girdi — Faturalar ve tahsilat'!$R$2:$R$3001,'Girdi — Faturalar ve tahsilat'!$C$2:$C$3001,$A39,'Girdi — Faturalar ve tahsilat'!$T$2:$T$3001,$Z$5))</f>
        <v/>
      </c>
      <c r="I39" s="13" t="str">
        <f aca="false">IF(A39="","",SUMIFS('Girdi — Faturalar ve tahsilat'!$R$2:$R$3001,'Girdi — Faturalar ve tahsilat'!$C$2:$C$3001,$A39,'Girdi — Faturalar ve tahsilat'!$T$2:$T$3001,$Z$5,'Girdi — Faturalar ve tahsilat'!$O$2:$O$3001,"&gt;0"))</f>
        <v/>
      </c>
      <c r="J39" s="13" t="str">
        <f aca="false">IF(A39="","",SUMIFS('Girdi — Faturalar ve tahsilat'!$R$2:$R$3001,'Girdi — Faturalar ve tahsilat'!$C$2:$C$3001,$A39,'Girdi — Faturalar ve tahsilat'!$T$2:$T$3001,$Z$5,'Girdi — Faturalar ve tahsilat'!$S$2:$S$3001,"1-30"))</f>
        <v/>
      </c>
      <c r="K39" s="13" t="str">
        <f aca="false">IF(A39="","",SUMIFS('Girdi — Faturalar ve tahsilat'!$R$2:$R$3001,'Girdi — Faturalar ve tahsilat'!$C$2:$C$3001,$A39,'Girdi — Faturalar ve tahsilat'!$T$2:$T$3001,$Z$5,'Girdi — Faturalar ve tahsilat'!$S$2:$S$3001,"31-60"))</f>
        <v/>
      </c>
      <c r="L39" s="13" t="str">
        <f aca="false">IF(A39="","",SUMIFS('Girdi — Faturalar ve tahsilat'!$R$2:$R$3001,'Girdi — Faturalar ve tahsilat'!$C$2:$C$3001,$A39,'Girdi — Faturalar ve tahsilat'!$T$2:$T$3001,$Z$5,'Girdi — Faturalar ve tahsilat'!$S$2:$S$3001,"61-90"))</f>
        <v/>
      </c>
      <c r="M39" s="13" t="str">
        <f aca="false">IF(A39="","",SUMIFS('Girdi — Faturalar ve tahsilat'!$R$2:$R$3001,'Girdi — Faturalar ve tahsilat'!$C$2:$C$3001,$A39,'Girdi — Faturalar ve tahsilat'!$T$2:$T$3001,$Z$5,'Girdi — Faturalar ve tahsilat'!$S$2:$S$3001,"90+"))</f>
        <v/>
      </c>
      <c r="N39" s="21" t="str">
        <f aca="false">IF(F39="","",RANK(F39,$F$17:$F$216,0)+COUNTIF($F$17:F39,F39)-1)</f>
        <v/>
      </c>
    </row>
    <row r="40" customFormat="false" ht="15" hidden="false" customHeight="false" outlineLevel="0" collapsed="false">
      <c r="A40" s="16" t="str">
        <f aca="false">IFERROR(INDEX('Girdi — Faturalar ve tahsilat'!$C$2:$C$3001,MATCH(24,'Girdi — Faturalar ve tahsilat'!$U$2:$U$3001,0)),"")</f>
        <v/>
      </c>
      <c r="B40" s="16" t="str">
        <f aca="false">IF(A40="","",INDEX('Girdi — Faturalar ve tahsilat'!$D$2:$D$3001,MATCH(24,'Girdi — Faturalar ve tahsilat'!$U$2:$U$3001,0)))</f>
        <v/>
      </c>
      <c r="C40" s="13" t="str">
        <f aca="false">IF(A40="","",SUMIFS('Girdi — Faturalar ve tahsilat'!$F$2:$F$3001,'Girdi — Faturalar ve tahsilat'!$C$2:$C$3001,$A40,'Girdi — Faturalar ve tahsilat'!$T$2:$T$3001,$Z$5))</f>
        <v/>
      </c>
      <c r="D40" s="15" t="str">
        <f aca="false">IF(OR(A40="",N(C40)=0),"",SUMIFS('Girdi — Faturalar ve tahsilat'!$P$2:$P$3001,'Girdi — Faturalar ve tahsilat'!$C$2:$C$3001,$A40,'Girdi — Faturalar ve tahsilat'!$T$2:$T$3001,$Z$5)/C40)</f>
        <v/>
      </c>
      <c r="E40" s="15" t="str">
        <f aca="false">IF(OR(A40="",N(C40)=0),"",SUMIFS('Girdi — Faturalar ve tahsilat'!$Q$2:$Q$3001,'Girdi — Faturalar ve tahsilat'!$C$2:$C$3001,$A40,'Girdi — Faturalar ve tahsilat'!$T$2:$T$3001,$Z$5)/C40)</f>
        <v/>
      </c>
      <c r="F40" s="20" t="str">
        <f aca="false">IF(D40="","",E40-D40)</f>
        <v/>
      </c>
      <c r="G40" s="13" t="str">
        <f aca="false">IF(F40="","",C40*$D$4*F40/365)</f>
        <v/>
      </c>
      <c r="H40" s="13" t="str">
        <f aca="false">IF(A40="","",SUMIFS('Girdi — Faturalar ve tahsilat'!$R$2:$R$3001,'Girdi — Faturalar ve tahsilat'!$C$2:$C$3001,$A40,'Girdi — Faturalar ve tahsilat'!$T$2:$T$3001,$Z$5))</f>
        <v/>
      </c>
      <c r="I40" s="13" t="str">
        <f aca="false">IF(A40="","",SUMIFS('Girdi — Faturalar ve tahsilat'!$R$2:$R$3001,'Girdi — Faturalar ve tahsilat'!$C$2:$C$3001,$A40,'Girdi — Faturalar ve tahsilat'!$T$2:$T$3001,$Z$5,'Girdi — Faturalar ve tahsilat'!$O$2:$O$3001,"&gt;0"))</f>
        <v/>
      </c>
      <c r="J40" s="13" t="str">
        <f aca="false">IF(A40="","",SUMIFS('Girdi — Faturalar ve tahsilat'!$R$2:$R$3001,'Girdi — Faturalar ve tahsilat'!$C$2:$C$3001,$A40,'Girdi — Faturalar ve tahsilat'!$T$2:$T$3001,$Z$5,'Girdi — Faturalar ve tahsilat'!$S$2:$S$3001,"1-30"))</f>
        <v/>
      </c>
      <c r="K40" s="13" t="str">
        <f aca="false">IF(A40="","",SUMIFS('Girdi — Faturalar ve tahsilat'!$R$2:$R$3001,'Girdi — Faturalar ve tahsilat'!$C$2:$C$3001,$A40,'Girdi — Faturalar ve tahsilat'!$T$2:$T$3001,$Z$5,'Girdi — Faturalar ve tahsilat'!$S$2:$S$3001,"31-60"))</f>
        <v/>
      </c>
      <c r="L40" s="13" t="str">
        <f aca="false">IF(A40="","",SUMIFS('Girdi — Faturalar ve tahsilat'!$R$2:$R$3001,'Girdi — Faturalar ve tahsilat'!$C$2:$C$3001,$A40,'Girdi — Faturalar ve tahsilat'!$T$2:$T$3001,$Z$5,'Girdi — Faturalar ve tahsilat'!$S$2:$S$3001,"61-90"))</f>
        <v/>
      </c>
      <c r="M40" s="13" t="str">
        <f aca="false">IF(A40="","",SUMIFS('Girdi — Faturalar ve tahsilat'!$R$2:$R$3001,'Girdi — Faturalar ve tahsilat'!$C$2:$C$3001,$A40,'Girdi — Faturalar ve tahsilat'!$T$2:$T$3001,$Z$5,'Girdi — Faturalar ve tahsilat'!$S$2:$S$3001,"90+"))</f>
        <v/>
      </c>
      <c r="N40" s="21" t="str">
        <f aca="false">IF(F40="","",RANK(F40,$F$17:$F$216,0)+COUNTIF($F$17:F40,F40)-1)</f>
        <v/>
      </c>
    </row>
    <row r="41" customFormat="false" ht="15" hidden="false" customHeight="false" outlineLevel="0" collapsed="false">
      <c r="A41" s="16" t="str">
        <f aca="false">IFERROR(INDEX('Girdi — Faturalar ve tahsilat'!$C$2:$C$3001,MATCH(25,'Girdi — Faturalar ve tahsilat'!$U$2:$U$3001,0)),"")</f>
        <v/>
      </c>
      <c r="B41" s="16" t="str">
        <f aca="false">IF(A41="","",INDEX('Girdi — Faturalar ve tahsilat'!$D$2:$D$3001,MATCH(25,'Girdi — Faturalar ve tahsilat'!$U$2:$U$3001,0)))</f>
        <v/>
      </c>
      <c r="C41" s="13" t="str">
        <f aca="false">IF(A41="","",SUMIFS('Girdi — Faturalar ve tahsilat'!$F$2:$F$3001,'Girdi — Faturalar ve tahsilat'!$C$2:$C$3001,$A41,'Girdi — Faturalar ve tahsilat'!$T$2:$T$3001,$Z$5))</f>
        <v/>
      </c>
      <c r="D41" s="15" t="str">
        <f aca="false">IF(OR(A41="",N(C41)=0),"",SUMIFS('Girdi — Faturalar ve tahsilat'!$P$2:$P$3001,'Girdi — Faturalar ve tahsilat'!$C$2:$C$3001,$A41,'Girdi — Faturalar ve tahsilat'!$T$2:$T$3001,$Z$5)/C41)</f>
        <v/>
      </c>
      <c r="E41" s="15" t="str">
        <f aca="false">IF(OR(A41="",N(C41)=0),"",SUMIFS('Girdi — Faturalar ve tahsilat'!$Q$2:$Q$3001,'Girdi — Faturalar ve tahsilat'!$C$2:$C$3001,$A41,'Girdi — Faturalar ve tahsilat'!$T$2:$T$3001,$Z$5)/C41)</f>
        <v/>
      </c>
      <c r="F41" s="20" t="str">
        <f aca="false">IF(D41="","",E41-D41)</f>
        <v/>
      </c>
      <c r="G41" s="13" t="str">
        <f aca="false">IF(F41="","",C41*$D$4*F41/365)</f>
        <v/>
      </c>
      <c r="H41" s="13" t="str">
        <f aca="false">IF(A41="","",SUMIFS('Girdi — Faturalar ve tahsilat'!$R$2:$R$3001,'Girdi — Faturalar ve tahsilat'!$C$2:$C$3001,$A41,'Girdi — Faturalar ve tahsilat'!$T$2:$T$3001,$Z$5))</f>
        <v/>
      </c>
      <c r="I41" s="13" t="str">
        <f aca="false">IF(A41="","",SUMIFS('Girdi — Faturalar ve tahsilat'!$R$2:$R$3001,'Girdi — Faturalar ve tahsilat'!$C$2:$C$3001,$A41,'Girdi — Faturalar ve tahsilat'!$T$2:$T$3001,$Z$5,'Girdi — Faturalar ve tahsilat'!$O$2:$O$3001,"&gt;0"))</f>
        <v/>
      </c>
      <c r="J41" s="13" t="str">
        <f aca="false">IF(A41="","",SUMIFS('Girdi — Faturalar ve tahsilat'!$R$2:$R$3001,'Girdi — Faturalar ve tahsilat'!$C$2:$C$3001,$A41,'Girdi — Faturalar ve tahsilat'!$T$2:$T$3001,$Z$5,'Girdi — Faturalar ve tahsilat'!$S$2:$S$3001,"1-30"))</f>
        <v/>
      </c>
      <c r="K41" s="13" t="str">
        <f aca="false">IF(A41="","",SUMIFS('Girdi — Faturalar ve tahsilat'!$R$2:$R$3001,'Girdi — Faturalar ve tahsilat'!$C$2:$C$3001,$A41,'Girdi — Faturalar ve tahsilat'!$T$2:$T$3001,$Z$5,'Girdi — Faturalar ve tahsilat'!$S$2:$S$3001,"31-60"))</f>
        <v/>
      </c>
      <c r="L41" s="13" t="str">
        <f aca="false">IF(A41="","",SUMIFS('Girdi — Faturalar ve tahsilat'!$R$2:$R$3001,'Girdi — Faturalar ve tahsilat'!$C$2:$C$3001,$A41,'Girdi — Faturalar ve tahsilat'!$T$2:$T$3001,$Z$5,'Girdi — Faturalar ve tahsilat'!$S$2:$S$3001,"61-90"))</f>
        <v/>
      </c>
      <c r="M41" s="13" t="str">
        <f aca="false">IF(A41="","",SUMIFS('Girdi — Faturalar ve tahsilat'!$R$2:$R$3001,'Girdi — Faturalar ve tahsilat'!$C$2:$C$3001,$A41,'Girdi — Faturalar ve tahsilat'!$T$2:$T$3001,$Z$5,'Girdi — Faturalar ve tahsilat'!$S$2:$S$3001,"90+"))</f>
        <v/>
      </c>
      <c r="N41" s="21" t="str">
        <f aca="false">IF(F41="","",RANK(F41,$F$17:$F$216,0)+COUNTIF($F$17:F41,F41)-1)</f>
        <v/>
      </c>
    </row>
    <row r="42" customFormat="false" ht="15" hidden="false" customHeight="false" outlineLevel="0" collapsed="false">
      <c r="A42" s="16" t="str">
        <f aca="false">IFERROR(INDEX('Girdi — Faturalar ve tahsilat'!$C$2:$C$3001,MATCH(26,'Girdi — Faturalar ve tahsilat'!$U$2:$U$3001,0)),"")</f>
        <v/>
      </c>
      <c r="B42" s="16" t="str">
        <f aca="false">IF(A42="","",INDEX('Girdi — Faturalar ve tahsilat'!$D$2:$D$3001,MATCH(26,'Girdi — Faturalar ve tahsilat'!$U$2:$U$3001,0)))</f>
        <v/>
      </c>
      <c r="C42" s="13" t="str">
        <f aca="false">IF(A42="","",SUMIFS('Girdi — Faturalar ve tahsilat'!$F$2:$F$3001,'Girdi — Faturalar ve tahsilat'!$C$2:$C$3001,$A42,'Girdi — Faturalar ve tahsilat'!$T$2:$T$3001,$Z$5))</f>
        <v/>
      </c>
      <c r="D42" s="15" t="str">
        <f aca="false">IF(OR(A42="",N(C42)=0),"",SUMIFS('Girdi — Faturalar ve tahsilat'!$P$2:$P$3001,'Girdi — Faturalar ve tahsilat'!$C$2:$C$3001,$A42,'Girdi — Faturalar ve tahsilat'!$T$2:$T$3001,$Z$5)/C42)</f>
        <v/>
      </c>
      <c r="E42" s="15" t="str">
        <f aca="false">IF(OR(A42="",N(C42)=0),"",SUMIFS('Girdi — Faturalar ve tahsilat'!$Q$2:$Q$3001,'Girdi — Faturalar ve tahsilat'!$C$2:$C$3001,$A42,'Girdi — Faturalar ve tahsilat'!$T$2:$T$3001,$Z$5)/C42)</f>
        <v/>
      </c>
      <c r="F42" s="20" t="str">
        <f aca="false">IF(D42="","",E42-D42)</f>
        <v/>
      </c>
      <c r="G42" s="13" t="str">
        <f aca="false">IF(F42="","",C42*$D$4*F42/365)</f>
        <v/>
      </c>
      <c r="H42" s="13" t="str">
        <f aca="false">IF(A42="","",SUMIFS('Girdi — Faturalar ve tahsilat'!$R$2:$R$3001,'Girdi — Faturalar ve tahsilat'!$C$2:$C$3001,$A42,'Girdi — Faturalar ve tahsilat'!$T$2:$T$3001,$Z$5))</f>
        <v/>
      </c>
      <c r="I42" s="13" t="str">
        <f aca="false">IF(A42="","",SUMIFS('Girdi — Faturalar ve tahsilat'!$R$2:$R$3001,'Girdi — Faturalar ve tahsilat'!$C$2:$C$3001,$A42,'Girdi — Faturalar ve tahsilat'!$T$2:$T$3001,$Z$5,'Girdi — Faturalar ve tahsilat'!$O$2:$O$3001,"&gt;0"))</f>
        <v/>
      </c>
      <c r="J42" s="13" t="str">
        <f aca="false">IF(A42="","",SUMIFS('Girdi — Faturalar ve tahsilat'!$R$2:$R$3001,'Girdi — Faturalar ve tahsilat'!$C$2:$C$3001,$A42,'Girdi — Faturalar ve tahsilat'!$T$2:$T$3001,$Z$5,'Girdi — Faturalar ve tahsilat'!$S$2:$S$3001,"1-30"))</f>
        <v/>
      </c>
      <c r="K42" s="13" t="str">
        <f aca="false">IF(A42="","",SUMIFS('Girdi — Faturalar ve tahsilat'!$R$2:$R$3001,'Girdi — Faturalar ve tahsilat'!$C$2:$C$3001,$A42,'Girdi — Faturalar ve tahsilat'!$T$2:$T$3001,$Z$5,'Girdi — Faturalar ve tahsilat'!$S$2:$S$3001,"31-60"))</f>
        <v/>
      </c>
      <c r="L42" s="13" t="str">
        <f aca="false">IF(A42="","",SUMIFS('Girdi — Faturalar ve tahsilat'!$R$2:$R$3001,'Girdi — Faturalar ve tahsilat'!$C$2:$C$3001,$A42,'Girdi — Faturalar ve tahsilat'!$T$2:$T$3001,$Z$5,'Girdi — Faturalar ve tahsilat'!$S$2:$S$3001,"61-90"))</f>
        <v/>
      </c>
      <c r="M42" s="13" t="str">
        <f aca="false">IF(A42="","",SUMIFS('Girdi — Faturalar ve tahsilat'!$R$2:$R$3001,'Girdi — Faturalar ve tahsilat'!$C$2:$C$3001,$A42,'Girdi — Faturalar ve tahsilat'!$T$2:$T$3001,$Z$5,'Girdi — Faturalar ve tahsilat'!$S$2:$S$3001,"90+"))</f>
        <v/>
      </c>
      <c r="N42" s="21" t="str">
        <f aca="false">IF(F42="","",RANK(F42,$F$17:$F$216,0)+COUNTIF($F$17:F42,F42)-1)</f>
        <v/>
      </c>
    </row>
    <row r="43" customFormat="false" ht="15" hidden="false" customHeight="false" outlineLevel="0" collapsed="false">
      <c r="A43" s="16" t="str">
        <f aca="false">IFERROR(INDEX('Girdi — Faturalar ve tahsilat'!$C$2:$C$3001,MATCH(27,'Girdi — Faturalar ve tahsilat'!$U$2:$U$3001,0)),"")</f>
        <v/>
      </c>
      <c r="B43" s="16" t="str">
        <f aca="false">IF(A43="","",INDEX('Girdi — Faturalar ve tahsilat'!$D$2:$D$3001,MATCH(27,'Girdi — Faturalar ve tahsilat'!$U$2:$U$3001,0)))</f>
        <v/>
      </c>
      <c r="C43" s="13" t="str">
        <f aca="false">IF(A43="","",SUMIFS('Girdi — Faturalar ve tahsilat'!$F$2:$F$3001,'Girdi — Faturalar ve tahsilat'!$C$2:$C$3001,$A43,'Girdi — Faturalar ve tahsilat'!$T$2:$T$3001,$Z$5))</f>
        <v/>
      </c>
      <c r="D43" s="15" t="str">
        <f aca="false">IF(OR(A43="",N(C43)=0),"",SUMIFS('Girdi — Faturalar ve tahsilat'!$P$2:$P$3001,'Girdi — Faturalar ve tahsilat'!$C$2:$C$3001,$A43,'Girdi — Faturalar ve tahsilat'!$T$2:$T$3001,$Z$5)/C43)</f>
        <v/>
      </c>
      <c r="E43" s="15" t="str">
        <f aca="false">IF(OR(A43="",N(C43)=0),"",SUMIFS('Girdi — Faturalar ve tahsilat'!$Q$2:$Q$3001,'Girdi — Faturalar ve tahsilat'!$C$2:$C$3001,$A43,'Girdi — Faturalar ve tahsilat'!$T$2:$T$3001,$Z$5)/C43)</f>
        <v/>
      </c>
      <c r="F43" s="20" t="str">
        <f aca="false">IF(D43="","",E43-D43)</f>
        <v/>
      </c>
      <c r="G43" s="13" t="str">
        <f aca="false">IF(F43="","",C43*$D$4*F43/365)</f>
        <v/>
      </c>
      <c r="H43" s="13" t="str">
        <f aca="false">IF(A43="","",SUMIFS('Girdi — Faturalar ve tahsilat'!$R$2:$R$3001,'Girdi — Faturalar ve tahsilat'!$C$2:$C$3001,$A43,'Girdi — Faturalar ve tahsilat'!$T$2:$T$3001,$Z$5))</f>
        <v/>
      </c>
      <c r="I43" s="13" t="str">
        <f aca="false">IF(A43="","",SUMIFS('Girdi — Faturalar ve tahsilat'!$R$2:$R$3001,'Girdi — Faturalar ve tahsilat'!$C$2:$C$3001,$A43,'Girdi — Faturalar ve tahsilat'!$T$2:$T$3001,$Z$5,'Girdi — Faturalar ve tahsilat'!$O$2:$O$3001,"&gt;0"))</f>
        <v/>
      </c>
      <c r="J43" s="13" t="str">
        <f aca="false">IF(A43="","",SUMIFS('Girdi — Faturalar ve tahsilat'!$R$2:$R$3001,'Girdi — Faturalar ve tahsilat'!$C$2:$C$3001,$A43,'Girdi — Faturalar ve tahsilat'!$T$2:$T$3001,$Z$5,'Girdi — Faturalar ve tahsilat'!$S$2:$S$3001,"1-30"))</f>
        <v/>
      </c>
      <c r="K43" s="13" t="str">
        <f aca="false">IF(A43="","",SUMIFS('Girdi — Faturalar ve tahsilat'!$R$2:$R$3001,'Girdi — Faturalar ve tahsilat'!$C$2:$C$3001,$A43,'Girdi — Faturalar ve tahsilat'!$T$2:$T$3001,$Z$5,'Girdi — Faturalar ve tahsilat'!$S$2:$S$3001,"31-60"))</f>
        <v/>
      </c>
      <c r="L43" s="13" t="str">
        <f aca="false">IF(A43="","",SUMIFS('Girdi — Faturalar ve tahsilat'!$R$2:$R$3001,'Girdi — Faturalar ve tahsilat'!$C$2:$C$3001,$A43,'Girdi — Faturalar ve tahsilat'!$T$2:$T$3001,$Z$5,'Girdi — Faturalar ve tahsilat'!$S$2:$S$3001,"61-90"))</f>
        <v/>
      </c>
      <c r="M43" s="13" t="str">
        <f aca="false">IF(A43="","",SUMIFS('Girdi — Faturalar ve tahsilat'!$R$2:$R$3001,'Girdi — Faturalar ve tahsilat'!$C$2:$C$3001,$A43,'Girdi — Faturalar ve tahsilat'!$T$2:$T$3001,$Z$5,'Girdi — Faturalar ve tahsilat'!$S$2:$S$3001,"90+"))</f>
        <v/>
      </c>
      <c r="N43" s="21" t="str">
        <f aca="false">IF(F43="","",RANK(F43,$F$17:$F$216,0)+COUNTIF($F$17:F43,F43)-1)</f>
        <v/>
      </c>
    </row>
    <row r="44" customFormat="false" ht="15" hidden="false" customHeight="false" outlineLevel="0" collapsed="false">
      <c r="A44" s="16" t="str">
        <f aca="false">IFERROR(INDEX('Girdi — Faturalar ve tahsilat'!$C$2:$C$3001,MATCH(28,'Girdi — Faturalar ve tahsilat'!$U$2:$U$3001,0)),"")</f>
        <v/>
      </c>
      <c r="B44" s="16" t="str">
        <f aca="false">IF(A44="","",INDEX('Girdi — Faturalar ve tahsilat'!$D$2:$D$3001,MATCH(28,'Girdi — Faturalar ve tahsilat'!$U$2:$U$3001,0)))</f>
        <v/>
      </c>
      <c r="C44" s="13" t="str">
        <f aca="false">IF(A44="","",SUMIFS('Girdi — Faturalar ve tahsilat'!$F$2:$F$3001,'Girdi — Faturalar ve tahsilat'!$C$2:$C$3001,$A44,'Girdi — Faturalar ve tahsilat'!$T$2:$T$3001,$Z$5))</f>
        <v/>
      </c>
      <c r="D44" s="15" t="str">
        <f aca="false">IF(OR(A44="",N(C44)=0),"",SUMIFS('Girdi — Faturalar ve tahsilat'!$P$2:$P$3001,'Girdi — Faturalar ve tahsilat'!$C$2:$C$3001,$A44,'Girdi — Faturalar ve tahsilat'!$T$2:$T$3001,$Z$5)/C44)</f>
        <v/>
      </c>
      <c r="E44" s="15" t="str">
        <f aca="false">IF(OR(A44="",N(C44)=0),"",SUMIFS('Girdi — Faturalar ve tahsilat'!$Q$2:$Q$3001,'Girdi — Faturalar ve tahsilat'!$C$2:$C$3001,$A44,'Girdi — Faturalar ve tahsilat'!$T$2:$T$3001,$Z$5)/C44)</f>
        <v/>
      </c>
      <c r="F44" s="20" t="str">
        <f aca="false">IF(D44="","",E44-D44)</f>
        <v/>
      </c>
      <c r="G44" s="13" t="str">
        <f aca="false">IF(F44="","",C44*$D$4*F44/365)</f>
        <v/>
      </c>
      <c r="H44" s="13" t="str">
        <f aca="false">IF(A44="","",SUMIFS('Girdi — Faturalar ve tahsilat'!$R$2:$R$3001,'Girdi — Faturalar ve tahsilat'!$C$2:$C$3001,$A44,'Girdi — Faturalar ve tahsilat'!$T$2:$T$3001,$Z$5))</f>
        <v/>
      </c>
      <c r="I44" s="13" t="str">
        <f aca="false">IF(A44="","",SUMIFS('Girdi — Faturalar ve tahsilat'!$R$2:$R$3001,'Girdi — Faturalar ve tahsilat'!$C$2:$C$3001,$A44,'Girdi — Faturalar ve tahsilat'!$T$2:$T$3001,$Z$5,'Girdi — Faturalar ve tahsilat'!$O$2:$O$3001,"&gt;0"))</f>
        <v/>
      </c>
      <c r="J44" s="13" t="str">
        <f aca="false">IF(A44="","",SUMIFS('Girdi — Faturalar ve tahsilat'!$R$2:$R$3001,'Girdi — Faturalar ve tahsilat'!$C$2:$C$3001,$A44,'Girdi — Faturalar ve tahsilat'!$T$2:$T$3001,$Z$5,'Girdi — Faturalar ve tahsilat'!$S$2:$S$3001,"1-30"))</f>
        <v/>
      </c>
      <c r="K44" s="13" t="str">
        <f aca="false">IF(A44="","",SUMIFS('Girdi — Faturalar ve tahsilat'!$R$2:$R$3001,'Girdi — Faturalar ve tahsilat'!$C$2:$C$3001,$A44,'Girdi — Faturalar ve tahsilat'!$T$2:$T$3001,$Z$5,'Girdi — Faturalar ve tahsilat'!$S$2:$S$3001,"31-60"))</f>
        <v/>
      </c>
      <c r="L44" s="13" t="str">
        <f aca="false">IF(A44="","",SUMIFS('Girdi — Faturalar ve tahsilat'!$R$2:$R$3001,'Girdi — Faturalar ve tahsilat'!$C$2:$C$3001,$A44,'Girdi — Faturalar ve tahsilat'!$T$2:$T$3001,$Z$5,'Girdi — Faturalar ve tahsilat'!$S$2:$S$3001,"61-90"))</f>
        <v/>
      </c>
      <c r="M44" s="13" t="str">
        <f aca="false">IF(A44="","",SUMIFS('Girdi — Faturalar ve tahsilat'!$R$2:$R$3001,'Girdi — Faturalar ve tahsilat'!$C$2:$C$3001,$A44,'Girdi — Faturalar ve tahsilat'!$T$2:$T$3001,$Z$5,'Girdi — Faturalar ve tahsilat'!$S$2:$S$3001,"90+"))</f>
        <v/>
      </c>
      <c r="N44" s="21" t="str">
        <f aca="false">IF(F44="","",RANK(F44,$F$17:$F$216,0)+COUNTIF($F$17:F44,F44)-1)</f>
        <v/>
      </c>
    </row>
    <row r="45" customFormat="false" ht="15" hidden="false" customHeight="false" outlineLevel="0" collapsed="false">
      <c r="A45" s="16" t="str">
        <f aca="false">IFERROR(INDEX('Girdi — Faturalar ve tahsilat'!$C$2:$C$3001,MATCH(29,'Girdi — Faturalar ve tahsilat'!$U$2:$U$3001,0)),"")</f>
        <v/>
      </c>
      <c r="B45" s="16" t="str">
        <f aca="false">IF(A45="","",INDEX('Girdi — Faturalar ve tahsilat'!$D$2:$D$3001,MATCH(29,'Girdi — Faturalar ve tahsilat'!$U$2:$U$3001,0)))</f>
        <v/>
      </c>
      <c r="C45" s="13" t="str">
        <f aca="false">IF(A45="","",SUMIFS('Girdi — Faturalar ve tahsilat'!$F$2:$F$3001,'Girdi — Faturalar ve tahsilat'!$C$2:$C$3001,$A45,'Girdi — Faturalar ve tahsilat'!$T$2:$T$3001,$Z$5))</f>
        <v/>
      </c>
      <c r="D45" s="15" t="str">
        <f aca="false">IF(OR(A45="",N(C45)=0),"",SUMIFS('Girdi — Faturalar ve tahsilat'!$P$2:$P$3001,'Girdi — Faturalar ve tahsilat'!$C$2:$C$3001,$A45,'Girdi — Faturalar ve tahsilat'!$T$2:$T$3001,$Z$5)/C45)</f>
        <v/>
      </c>
      <c r="E45" s="15" t="str">
        <f aca="false">IF(OR(A45="",N(C45)=0),"",SUMIFS('Girdi — Faturalar ve tahsilat'!$Q$2:$Q$3001,'Girdi — Faturalar ve tahsilat'!$C$2:$C$3001,$A45,'Girdi — Faturalar ve tahsilat'!$T$2:$T$3001,$Z$5)/C45)</f>
        <v/>
      </c>
      <c r="F45" s="20" t="str">
        <f aca="false">IF(D45="","",E45-D45)</f>
        <v/>
      </c>
      <c r="G45" s="13" t="str">
        <f aca="false">IF(F45="","",C45*$D$4*F45/365)</f>
        <v/>
      </c>
      <c r="H45" s="13" t="str">
        <f aca="false">IF(A45="","",SUMIFS('Girdi — Faturalar ve tahsilat'!$R$2:$R$3001,'Girdi — Faturalar ve tahsilat'!$C$2:$C$3001,$A45,'Girdi — Faturalar ve tahsilat'!$T$2:$T$3001,$Z$5))</f>
        <v/>
      </c>
      <c r="I45" s="13" t="str">
        <f aca="false">IF(A45="","",SUMIFS('Girdi — Faturalar ve tahsilat'!$R$2:$R$3001,'Girdi — Faturalar ve tahsilat'!$C$2:$C$3001,$A45,'Girdi — Faturalar ve tahsilat'!$T$2:$T$3001,$Z$5,'Girdi — Faturalar ve tahsilat'!$O$2:$O$3001,"&gt;0"))</f>
        <v/>
      </c>
      <c r="J45" s="13" t="str">
        <f aca="false">IF(A45="","",SUMIFS('Girdi — Faturalar ve tahsilat'!$R$2:$R$3001,'Girdi — Faturalar ve tahsilat'!$C$2:$C$3001,$A45,'Girdi — Faturalar ve tahsilat'!$T$2:$T$3001,$Z$5,'Girdi — Faturalar ve tahsilat'!$S$2:$S$3001,"1-30"))</f>
        <v/>
      </c>
      <c r="K45" s="13" t="str">
        <f aca="false">IF(A45="","",SUMIFS('Girdi — Faturalar ve tahsilat'!$R$2:$R$3001,'Girdi — Faturalar ve tahsilat'!$C$2:$C$3001,$A45,'Girdi — Faturalar ve tahsilat'!$T$2:$T$3001,$Z$5,'Girdi — Faturalar ve tahsilat'!$S$2:$S$3001,"31-60"))</f>
        <v/>
      </c>
      <c r="L45" s="13" t="str">
        <f aca="false">IF(A45="","",SUMIFS('Girdi — Faturalar ve tahsilat'!$R$2:$R$3001,'Girdi — Faturalar ve tahsilat'!$C$2:$C$3001,$A45,'Girdi — Faturalar ve tahsilat'!$T$2:$T$3001,$Z$5,'Girdi — Faturalar ve tahsilat'!$S$2:$S$3001,"61-90"))</f>
        <v/>
      </c>
      <c r="M45" s="13" t="str">
        <f aca="false">IF(A45="","",SUMIFS('Girdi — Faturalar ve tahsilat'!$R$2:$R$3001,'Girdi — Faturalar ve tahsilat'!$C$2:$C$3001,$A45,'Girdi — Faturalar ve tahsilat'!$T$2:$T$3001,$Z$5,'Girdi — Faturalar ve tahsilat'!$S$2:$S$3001,"90+"))</f>
        <v/>
      </c>
      <c r="N45" s="21" t="str">
        <f aca="false">IF(F45="","",RANK(F45,$F$17:$F$216,0)+COUNTIF($F$17:F45,F45)-1)</f>
        <v/>
      </c>
    </row>
    <row r="46" customFormat="false" ht="15" hidden="false" customHeight="false" outlineLevel="0" collapsed="false">
      <c r="A46" s="16" t="str">
        <f aca="false">IFERROR(INDEX('Girdi — Faturalar ve tahsilat'!$C$2:$C$3001,MATCH(30,'Girdi — Faturalar ve tahsilat'!$U$2:$U$3001,0)),"")</f>
        <v/>
      </c>
      <c r="B46" s="16" t="str">
        <f aca="false">IF(A46="","",INDEX('Girdi — Faturalar ve tahsilat'!$D$2:$D$3001,MATCH(30,'Girdi — Faturalar ve tahsilat'!$U$2:$U$3001,0)))</f>
        <v/>
      </c>
      <c r="C46" s="13" t="str">
        <f aca="false">IF(A46="","",SUMIFS('Girdi — Faturalar ve tahsilat'!$F$2:$F$3001,'Girdi — Faturalar ve tahsilat'!$C$2:$C$3001,$A46,'Girdi — Faturalar ve tahsilat'!$T$2:$T$3001,$Z$5))</f>
        <v/>
      </c>
      <c r="D46" s="15" t="str">
        <f aca="false">IF(OR(A46="",N(C46)=0),"",SUMIFS('Girdi — Faturalar ve tahsilat'!$P$2:$P$3001,'Girdi — Faturalar ve tahsilat'!$C$2:$C$3001,$A46,'Girdi — Faturalar ve tahsilat'!$T$2:$T$3001,$Z$5)/C46)</f>
        <v/>
      </c>
      <c r="E46" s="15" t="str">
        <f aca="false">IF(OR(A46="",N(C46)=0),"",SUMIFS('Girdi — Faturalar ve tahsilat'!$Q$2:$Q$3001,'Girdi — Faturalar ve tahsilat'!$C$2:$C$3001,$A46,'Girdi — Faturalar ve tahsilat'!$T$2:$T$3001,$Z$5)/C46)</f>
        <v/>
      </c>
      <c r="F46" s="20" t="str">
        <f aca="false">IF(D46="","",E46-D46)</f>
        <v/>
      </c>
      <c r="G46" s="13" t="str">
        <f aca="false">IF(F46="","",C46*$D$4*F46/365)</f>
        <v/>
      </c>
      <c r="H46" s="13" t="str">
        <f aca="false">IF(A46="","",SUMIFS('Girdi — Faturalar ve tahsilat'!$R$2:$R$3001,'Girdi — Faturalar ve tahsilat'!$C$2:$C$3001,$A46,'Girdi — Faturalar ve tahsilat'!$T$2:$T$3001,$Z$5))</f>
        <v/>
      </c>
      <c r="I46" s="13" t="str">
        <f aca="false">IF(A46="","",SUMIFS('Girdi — Faturalar ve tahsilat'!$R$2:$R$3001,'Girdi — Faturalar ve tahsilat'!$C$2:$C$3001,$A46,'Girdi — Faturalar ve tahsilat'!$T$2:$T$3001,$Z$5,'Girdi — Faturalar ve tahsilat'!$O$2:$O$3001,"&gt;0"))</f>
        <v/>
      </c>
      <c r="J46" s="13" t="str">
        <f aca="false">IF(A46="","",SUMIFS('Girdi — Faturalar ve tahsilat'!$R$2:$R$3001,'Girdi — Faturalar ve tahsilat'!$C$2:$C$3001,$A46,'Girdi — Faturalar ve tahsilat'!$T$2:$T$3001,$Z$5,'Girdi — Faturalar ve tahsilat'!$S$2:$S$3001,"1-30"))</f>
        <v/>
      </c>
      <c r="K46" s="13" t="str">
        <f aca="false">IF(A46="","",SUMIFS('Girdi — Faturalar ve tahsilat'!$R$2:$R$3001,'Girdi — Faturalar ve tahsilat'!$C$2:$C$3001,$A46,'Girdi — Faturalar ve tahsilat'!$T$2:$T$3001,$Z$5,'Girdi — Faturalar ve tahsilat'!$S$2:$S$3001,"31-60"))</f>
        <v/>
      </c>
      <c r="L46" s="13" t="str">
        <f aca="false">IF(A46="","",SUMIFS('Girdi — Faturalar ve tahsilat'!$R$2:$R$3001,'Girdi — Faturalar ve tahsilat'!$C$2:$C$3001,$A46,'Girdi — Faturalar ve tahsilat'!$T$2:$T$3001,$Z$5,'Girdi — Faturalar ve tahsilat'!$S$2:$S$3001,"61-90"))</f>
        <v/>
      </c>
      <c r="M46" s="13" t="str">
        <f aca="false">IF(A46="","",SUMIFS('Girdi — Faturalar ve tahsilat'!$R$2:$R$3001,'Girdi — Faturalar ve tahsilat'!$C$2:$C$3001,$A46,'Girdi — Faturalar ve tahsilat'!$T$2:$T$3001,$Z$5,'Girdi — Faturalar ve tahsilat'!$S$2:$S$3001,"90+"))</f>
        <v/>
      </c>
      <c r="N46" s="21" t="str">
        <f aca="false">IF(F46="","",RANK(F46,$F$17:$F$216,0)+COUNTIF($F$17:F46,F46)-1)</f>
        <v/>
      </c>
    </row>
    <row r="47" customFormat="false" ht="15" hidden="false" customHeight="false" outlineLevel="0" collapsed="false">
      <c r="A47" s="16" t="str">
        <f aca="false">IFERROR(INDEX('Girdi — Faturalar ve tahsilat'!$C$2:$C$3001,MATCH(31,'Girdi — Faturalar ve tahsilat'!$U$2:$U$3001,0)),"")</f>
        <v/>
      </c>
      <c r="B47" s="16" t="str">
        <f aca="false">IF(A47="","",INDEX('Girdi — Faturalar ve tahsilat'!$D$2:$D$3001,MATCH(31,'Girdi — Faturalar ve tahsilat'!$U$2:$U$3001,0)))</f>
        <v/>
      </c>
      <c r="C47" s="13" t="str">
        <f aca="false">IF(A47="","",SUMIFS('Girdi — Faturalar ve tahsilat'!$F$2:$F$3001,'Girdi — Faturalar ve tahsilat'!$C$2:$C$3001,$A47,'Girdi — Faturalar ve tahsilat'!$T$2:$T$3001,$Z$5))</f>
        <v/>
      </c>
      <c r="D47" s="15" t="str">
        <f aca="false">IF(OR(A47="",N(C47)=0),"",SUMIFS('Girdi — Faturalar ve tahsilat'!$P$2:$P$3001,'Girdi — Faturalar ve tahsilat'!$C$2:$C$3001,$A47,'Girdi — Faturalar ve tahsilat'!$T$2:$T$3001,$Z$5)/C47)</f>
        <v/>
      </c>
      <c r="E47" s="15" t="str">
        <f aca="false">IF(OR(A47="",N(C47)=0),"",SUMIFS('Girdi — Faturalar ve tahsilat'!$Q$2:$Q$3001,'Girdi — Faturalar ve tahsilat'!$C$2:$C$3001,$A47,'Girdi — Faturalar ve tahsilat'!$T$2:$T$3001,$Z$5)/C47)</f>
        <v/>
      </c>
      <c r="F47" s="20" t="str">
        <f aca="false">IF(D47="","",E47-D47)</f>
        <v/>
      </c>
      <c r="G47" s="13" t="str">
        <f aca="false">IF(F47="","",C47*$D$4*F47/365)</f>
        <v/>
      </c>
      <c r="H47" s="13" t="str">
        <f aca="false">IF(A47="","",SUMIFS('Girdi — Faturalar ve tahsilat'!$R$2:$R$3001,'Girdi — Faturalar ve tahsilat'!$C$2:$C$3001,$A47,'Girdi — Faturalar ve tahsilat'!$T$2:$T$3001,$Z$5))</f>
        <v/>
      </c>
      <c r="I47" s="13" t="str">
        <f aca="false">IF(A47="","",SUMIFS('Girdi — Faturalar ve tahsilat'!$R$2:$R$3001,'Girdi — Faturalar ve tahsilat'!$C$2:$C$3001,$A47,'Girdi — Faturalar ve tahsilat'!$T$2:$T$3001,$Z$5,'Girdi — Faturalar ve tahsilat'!$O$2:$O$3001,"&gt;0"))</f>
        <v/>
      </c>
      <c r="J47" s="13" t="str">
        <f aca="false">IF(A47="","",SUMIFS('Girdi — Faturalar ve tahsilat'!$R$2:$R$3001,'Girdi — Faturalar ve tahsilat'!$C$2:$C$3001,$A47,'Girdi — Faturalar ve tahsilat'!$T$2:$T$3001,$Z$5,'Girdi — Faturalar ve tahsilat'!$S$2:$S$3001,"1-30"))</f>
        <v/>
      </c>
      <c r="K47" s="13" t="str">
        <f aca="false">IF(A47="","",SUMIFS('Girdi — Faturalar ve tahsilat'!$R$2:$R$3001,'Girdi — Faturalar ve tahsilat'!$C$2:$C$3001,$A47,'Girdi — Faturalar ve tahsilat'!$T$2:$T$3001,$Z$5,'Girdi — Faturalar ve tahsilat'!$S$2:$S$3001,"31-60"))</f>
        <v/>
      </c>
      <c r="L47" s="13" t="str">
        <f aca="false">IF(A47="","",SUMIFS('Girdi — Faturalar ve tahsilat'!$R$2:$R$3001,'Girdi — Faturalar ve tahsilat'!$C$2:$C$3001,$A47,'Girdi — Faturalar ve tahsilat'!$T$2:$T$3001,$Z$5,'Girdi — Faturalar ve tahsilat'!$S$2:$S$3001,"61-90"))</f>
        <v/>
      </c>
      <c r="M47" s="13" t="str">
        <f aca="false">IF(A47="","",SUMIFS('Girdi — Faturalar ve tahsilat'!$R$2:$R$3001,'Girdi — Faturalar ve tahsilat'!$C$2:$C$3001,$A47,'Girdi — Faturalar ve tahsilat'!$T$2:$T$3001,$Z$5,'Girdi — Faturalar ve tahsilat'!$S$2:$S$3001,"90+"))</f>
        <v/>
      </c>
      <c r="N47" s="21" t="str">
        <f aca="false">IF(F47="","",RANK(F47,$F$17:$F$216,0)+COUNTIF($F$17:F47,F47)-1)</f>
        <v/>
      </c>
    </row>
    <row r="48" customFormat="false" ht="15" hidden="false" customHeight="false" outlineLevel="0" collapsed="false">
      <c r="A48" s="16" t="str">
        <f aca="false">IFERROR(INDEX('Girdi — Faturalar ve tahsilat'!$C$2:$C$3001,MATCH(32,'Girdi — Faturalar ve tahsilat'!$U$2:$U$3001,0)),"")</f>
        <v/>
      </c>
      <c r="B48" s="16" t="str">
        <f aca="false">IF(A48="","",INDEX('Girdi — Faturalar ve tahsilat'!$D$2:$D$3001,MATCH(32,'Girdi — Faturalar ve tahsilat'!$U$2:$U$3001,0)))</f>
        <v/>
      </c>
      <c r="C48" s="13" t="str">
        <f aca="false">IF(A48="","",SUMIFS('Girdi — Faturalar ve tahsilat'!$F$2:$F$3001,'Girdi — Faturalar ve tahsilat'!$C$2:$C$3001,$A48,'Girdi — Faturalar ve tahsilat'!$T$2:$T$3001,$Z$5))</f>
        <v/>
      </c>
      <c r="D48" s="15" t="str">
        <f aca="false">IF(OR(A48="",N(C48)=0),"",SUMIFS('Girdi — Faturalar ve tahsilat'!$P$2:$P$3001,'Girdi — Faturalar ve tahsilat'!$C$2:$C$3001,$A48,'Girdi — Faturalar ve tahsilat'!$T$2:$T$3001,$Z$5)/C48)</f>
        <v/>
      </c>
      <c r="E48" s="15" t="str">
        <f aca="false">IF(OR(A48="",N(C48)=0),"",SUMIFS('Girdi — Faturalar ve tahsilat'!$Q$2:$Q$3001,'Girdi — Faturalar ve tahsilat'!$C$2:$C$3001,$A48,'Girdi — Faturalar ve tahsilat'!$T$2:$T$3001,$Z$5)/C48)</f>
        <v/>
      </c>
      <c r="F48" s="20" t="str">
        <f aca="false">IF(D48="","",E48-D48)</f>
        <v/>
      </c>
      <c r="G48" s="13" t="str">
        <f aca="false">IF(F48="","",C48*$D$4*F48/365)</f>
        <v/>
      </c>
      <c r="H48" s="13" t="str">
        <f aca="false">IF(A48="","",SUMIFS('Girdi — Faturalar ve tahsilat'!$R$2:$R$3001,'Girdi — Faturalar ve tahsilat'!$C$2:$C$3001,$A48,'Girdi — Faturalar ve tahsilat'!$T$2:$T$3001,$Z$5))</f>
        <v/>
      </c>
      <c r="I48" s="13" t="str">
        <f aca="false">IF(A48="","",SUMIFS('Girdi — Faturalar ve tahsilat'!$R$2:$R$3001,'Girdi — Faturalar ve tahsilat'!$C$2:$C$3001,$A48,'Girdi — Faturalar ve tahsilat'!$T$2:$T$3001,$Z$5,'Girdi — Faturalar ve tahsilat'!$O$2:$O$3001,"&gt;0"))</f>
        <v/>
      </c>
      <c r="J48" s="13" t="str">
        <f aca="false">IF(A48="","",SUMIFS('Girdi — Faturalar ve tahsilat'!$R$2:$R$3001,'Girdi — Faturalar ve tahsilat'!$C$2:$C$3001,$A48,'Girdi — Faturalar ve tahsilat'!$T$2:$T$3001,$Z$5,'Girdi — Faturalar ve tahsilat'!$S$2:$S$3001,"1-30"))</f>
        <v/>
      </c>
      <c r="K48" s="13" t="str">
        <f aca="false">IF(A48="","",SUMIFS('Girdi — Faturalar ve tahsilat'!$R$2:$R$3001,'Girdi — Faturalar ve tahsilat'!$C$2:$C$3001,$A48,'Girdi — Faturalar ve tahsilat'!$T$2:$T$3001,$Z$5,'Girdi — Faturalar ve tahsilat'!$S$2:$S$3001,"31-60"))</f>
        <v/>
      </c>
      <c r="L48" s="13" t="str">
        <f aca="false">IF(A48="","",SUMIFS('Girdi — Faturalar ve tahsilat'!$R$2:$R$3001,'Girdi — Faturalar ve tahsilat'!$C$2:$C$3001,$A48,'Girdi — Faturalar ve tahsilat'!$T$2:$T$3001,$Z$5,'Girdi — Faturalar ve tahsilat'!$S$2:$S$3001,"61-90"))</f>
        <v/>
      </c>
      <c r="M48" s="13" t="str">
        <f aca="false">IF(A48="","",SUMIFS('Girdi — Faturalar ve tahsilat'!$R$2:$R$3001,'Girdi — Faturalar ve tahsilat'!$C$2:$C$3001,$A48,'Girdi — Faturalar ve tahsilat'!$T$2:$T$3001,$Z$5,'Girdi — Faturalar ve tahsilat'!$S$2:$S$3001,"90+"))</f>
        <v/>
      </c>
      <c r="N48" s="21" t="str">
        <f aca="false">IF(F48="","",RANK(F48,$F$17:$F$216,0)+COUNTIF($F$17:F48,F48)-1)</f>
        <v/>
      </c>
    </row>
    <row r="49" customFormat="false" ht="15" hidden="false" customHeight="false" outlineLevel="0" collapsed="false">
      <c r="A49" s="16" t="str">
        <f aca="false">IFERROR(INDEX('Girdi — Faturalar ve tahsilat'!$C$2:$C$3001,MATCH(33,'Girdi — Faturalar ve tahsilat'!$U$2:$U$3001,0)),"")</f>
        <v/>
      </c>
      <c r="B49" s="16" t="str">
        <f aca="false">IF(A49="","",INDEX('Girdi — Faturalar ve tahsilat'!$D$2:$D$3001,MATCH(33,'Girdi — Faturalar ve tahsilat'!$U$2:$U$3001,0)))</f>
        <v/>
      </c>
      <c r="C49" s="13" t="str">
        <f aca="false">IF(A49="","",SUMIFS('Girdi — Faturalar ve tahsilat'!$F$2:$F$3001,'Girdi — Faturalar ve tahsilat'!$C$2:$C$3001,$A49,'Girdi — Faturalar ve tahsilat'!$T$2:$T$3001,$Z$5))</f>
        <v/>
      </c>
      <c r="D49" s="15" t="str">
        <f aca="false">IF(OR(A49="",N(C49)=0),"",SUMIFS('Girdi — Faturalar ve tahsilat'!$P$2:$P$3001,'Girdi — Faturalar ve tahsilat'!$C$2:$C$3001,$A49,'Girdi — Faturalar ve tahsilat'!$T$2:$T$3001,$Z$5)/C49)</f>
        <v/>
      </c>
      <c r="E49" s="15" t="str">
        <f aca="false">IF(OR(A49="",N(C49)=0),"",SUMIFS('Girdi — Faturalar ve tahsilat'!$Q$2:$Q$3001,'Girdi — Faturalar ve tahsilat'!$C$2:$C$3001,$A49,'Girdi — Faturalar ve tahsilat'!$T$2:$T$3001,$Z$5)/C49)</f>
        <v/>
      </c>
      <c r="F49" s="20" t="str">
        <f aca="false">IF(D49="","",E49-D49)</f>
        <v/>
      </c>
      <c r="G49" s="13" t="str">
        <f aca="false">IF(F49="","",C49*$D$4*F49/365)</f>
        <v/>
      </c>
      <c r="H49" s="13" t="str">
        <f aca="false">IF(A49="","",SUMIFS('Girdi — Faturalar ve tahsilat'!$R$2:$R$3001,'Girdi — Faturalar ve tahsilat'!$C$2:$C$3001,$A49,'Girdi — Faturalar ve tahsilat'!$T$2:$T$3001,$Z$5))</f>
        <v/>
      </c>
      <c r="I49" s="13" t="str">
        <f aca="false">IF(A49="","",SUMIFS('Girdi — Faturalar ve tahsilat'!$R$2:$R$3001,'Girdi — Faturalar ve tahsilat'!$C$2:$C$3001,$A49,'Girdi — Faturalar ve tahsilat'!$T$2:$T$3001,$Z$5,'Girdi — Faturalar ve tahsilat'!$O$2:$O$3001,"&gt;0"))</f>
        <v/>
      </c>
      <c r="J49" s="13" t="str">
        <f aca="false">IF(A49="","",SUMIFS('Girdi — Faturalar ve tahsilat'!$R$2:$R$3001,'Girdi — Faturalar ve tahsilat'!$C$2:$C$3001,$A49,'Girdi — Faturalar ve tahsilat'!$T$2:$T$3001,$Z$5,'Girdi — Faturalar ve tahsilat'!$S$2:$S$3001,"1-30"))</f>
        <v/>
      </c>
      <c r="K49" s="13" t="str">
        <f aca="false">IF(A49="","",SUMIFS('Girdi — Faturalar ve tahsilat'!$R$2:$R$3001,'Girdi — Faturalar ve tahsilat'!$C$2:$C$3001,$A49,'Girdi — Faturalar ve tahsilat'!$T$2:$T$3001,$Z$5,'Girdi — Faturalar ve tahsilat'!$S$2:$S$3001,"31-60"))</f>
        <v/>
      </c>
      <c r="L49" s="13" t="str">
        <f aca="false">IF(A49="","",SUMIFS('Girdi — Faturalar ve tahsilat'!$R$2:$R$3001,'Girdi — Faturalar ve tahsilat'!$C$2:$C$3001,$A49,'Girdi — Faturalar ve tahsilat'!$T$2:$T$3001,$Z$5,'Girdi — Faturalar ve tahsilat'!$S$2:$S$3001,"61-90"))</f>
        <v/>
      </c>
      <c r="M49" s="13" t="str">
        <f aca="false">IF(A49="","",SUMIFS('Girdi — Faturalar ve tahsilat'!$R$2:$R$3001,'Girdi — Faturalar ve tahsilat'!$C$2:$C$3001,$A49,'Girdi — Faturalar ve tahsilat'!$T$2:$T$3001,$Z$5,'Girdi — Faturalar ve tahsilat'!$S$2:$S$3001,"90+"))</f>
        <v/>
      </c>
      <c r="N49" s="21" t="str">
        <f aca="false">IF(F49="","",RANK(F49,$F$17:$F$216,0)+COUNTIF($F$17:F49,F49)-1)</f>
        <v/>
      </c>
    </row>
    <row r="50" customFormat="false" ht="15" hidden="false" customHeight="false" outlineLevel="0" collapsed="false">
      <c r="A50" s="16" t="str">
        <f aca="false">IFERROR(INDEX('Girdi — Faturalar ve tahsilat'!$C$2:$C$3001,MATCH(34,'Girdi — Faturalar ve tahsilat'!$U$2:$U$3001,0)),"")</f>
        <v/>
      </c>
      <c r="B50" s="16" t="str">
        <f aca="false">IF(A50="","",INDEX('Girdi — Faturalar ve tahsilat'!$D$2:$D$3001,MATCH(34,'Girdi — Faturalar ve tahsilat'!$U$2:$U$3001,0)))</f>
        <v/>
      </c>
      <c r="C50" s="13" t="str">
        <f aca="false">IF(A50="","",SUMIFS('Girdi — Faturalar ve tahsilat'!$F$2:$F$3001,'Girdi — Faturalar ve tahsilat'!$C$2:$C$3001,$A50,'Girdi — Faturalar ve tahsilat'!$T$2:$T$3001,$Z$5))</f>
        <v/>
      </c>
      <c r="D50" s="15" t="str">
        <f aca="false">IF(OR(A50="",N(C50)=0),"",SUMIFS('Girdi — Faturalar ve tahsilat'!$P$2:$P$3001,'Girdi — Faturalar ve tahsilat'!$C$2:$C$3001,$A50,'Girdi — Faturalar ve tahsilat'!$T$2:$T$3001,$Z$5)/C50)</f>
        <v/>
      </c>
      <c r="E50" s="15" t="str">
        <f aca="false">IF(OR(A50="",N(C50)=0),"",SUMIFS('Girdi — Faturalar ve tahsilat'!$Q$2:$Q$3001,'Girdi — Faturalar ve tahsilat'!$C$2:$C$3001,$A50,'Girdi — Faturalar ve tahsilat'!$T$2:$T$3001,$Z$5)/C50)</f>
        <v/>
      </c>
      <c r="F50" s="20" t="str">
        <f aca="false">IF(D50="","",E50-D50)</f>
        <v/>
      </c>
      <c r="G50" s="13" t="str">
        <f aca="false">IF(F50="","",C50*$D$4*F50/365)</f>
        <v/>
      </c>
      <c r="H50" s="13" t="str">
        <f aca="false">IF(A50="","",SUMIFS('Girdi — Faturalar ve tahsilat'!$R$2:$R$3001,'Girdi — Faturalar ve tahsilat'!$C$2:$C$3001,$A50,'Girdi — Faturalar ve tahsilat'!$T$2:$T$3001,$Z$5))</f>
        <v/>
      </c>
      <c r="I50" s="13" t="str">
        <f aca="false">IF(A50="","",SUMIFS('Girdi — Faturalar ve tahsilat'!$R$2:$R$3001,'Girdi — Faturalar ve tahsilat'!$C$2:$C$3001,$A50,'Girdi — Faturalar ve tahsilat'!$T$2:$T$3001,$Z$5,'Girdi — Faturalar ve tahsilat'!$O$2:$O$3001,"&gt;0"))</f>
        <v/>
      </c>
      <c r="J50" s="13" t="str">
        <f aca="false">IF(A50="","",SUMIFS('Girdi — Faturalar ve tahsilat'!$R$2:$R$3001,'Girdi — Faturalar ve tahsilat'!$C$2:$C$3001,$A50,'Girdi — Faturalar ve tahsilat'!$T$2:$T$3001,$Z$5,'Girdi — Faturalar ve tahsilat'!$S$2:$S$3001,"1-30"))</f>
        <v/>
      </c>
      <c r="K50" s="13" t="str">
        <f aca="false">IF(A50="","",SUMIFS('Girdi — Faturalar ve tahsilat'!$R$2:$R$3001,'Girdi — Faturalar ve tahsilat'!$C$2:$C$3001,$A50,'Girdi — Faturalar ve tahsilat'!$T$2:$T$3001,$Z$5,'Girdi — Faturalar ve tahsilat'!$S$2:$S$3001,"31-60"))</f>
        <v/>
      </c>
      <c r="L50" s="13" t="str">
        <f aca="false">IF(A50="","",SUMIFS('Girdi — Faturalar ve tahsilat'!$R$2:$R$3001,'Girdi — Faturalar ve tahsilat'!$C$2:$C$3001,$A50,'Girdi — Faturalar ve tahsilat'!$T$2:$T$3001,$Z$5,'Girdi — Faturalar ve tahsilat'!$S$2:$S$3001,"61-90"))</f>
        <v/>
      </c>
      <c r="M50" s="13" t="str">
        <f aca="false">IF(A50="","",SUMIFS('Girdi — Faturalar ve tahsilat'!$R$2:$R$3001,'Girdi — Faturalar ve tahsilat'!$C$2:$C$3001,$A50,'Girdi — Faturalar ve tahsilat'!$T$2:$T$3001,$Z$5,'Girdi — Faturalar ve tahsilat'!$S$2:$S$3001,"90+"))</f>
        <v/>
      </c>
      <c r="N50" s="21" t="str">
        <f aca="false">IF(F50="","",RANK(F50,$F$17:$F$216,0)+COUNTIF($F$17:F50,F50)-1)</f>
        <v/>
      </c>
    </row>
    <row r="51" customFormat="false" ht="15" hidden="false" customHeight="false" outlineLevel="0" collapsed="false">
      <c r="A51" s="16" t="str">
        <f aca="false">IFERROR(INDEX('Girdi — Faturalar ve tahsilat'!$C$2:$C$3001,MATCH(35,'Girdi — Faturalar ve tahsilat'!$U$2:$U$3001,0)),"")</f>
        <v/>
      </c>
      <c r="B51" s="16" t="str">
        <f aca="false">IF(A51="","",INDEX('Girdi — Faturalar ve tahsilat'!$D$2:$D$3001,MATCH(35,'Girdi — Faturalar ve tahsilat'!$U$2:$U$3001,0)))</f>
        <v/>
      </c>
      <c r="C51" s="13" t="str">
        <f aca="false">IF(A51="","",SUMIFS('Girdi — Faturalar ve tahsilat'!$F$2:$F$3001,'Girdi — Faturalar ve tahsilat'!$C$2:$C$3001,$A51,'Girdi — Faturalar ve tahsilat'!$T$2:$T$3001,$Z$5))</f>
        <v/>
      </c>
      <c r="D51" s="15" t="str">
        <f aca="false">IF(OR(A51="",N(C51)=0),"",SUMIFS('Girdi — Faturalar ve tahsilat'!$P$2:$P$3001,'Girdi — Faturalar ve tahsilat'!$C$2:$C$3001,$A51,'Girdi — Faturalar ve tahsilat'!$T$2:$T$3001,$Z$5)/C51)</f>
        <v/>
      </c>
      <c r="E51" s="15" t="str">
        <f aca="false">IF(OR(A51="",N(C51)=0),"",SUMIFS('Girdi — Faturalar ve tahsilat'!$Q$2:$Q$3001,'Girdi — Faturalar ve tahsilat'!$C$2:$C$3001,$A51,'Girdi — Faturalar ve tahsilat'!$T$2:$T$3001,$Z$5)/C51)</f>
        <v/>
      </c>
      <c r="F51" s="20" t="str">
        <f aca="false">IF(D51="","",E51-D51)</f>
        <v/>
      </c>
      <c r="G51" s="13" t="str">
        <f aca="false">IF(F51="","",C51*$D$4*F51/365)</f>
        <v/>
      </c>
      <c r="H51" s="13" t="str">
        <f aca="false">IF(A51="","",SUMIFS('Girdi — Faturalar ve tahsilat'!$R$2:$R$3001,'Girdi — Faturalar ve tahsilat'!$C$2:$C$3001,$A51,'Girdi — Faturalar ve tahsilat'!$T$2:$T$3001,$Z$5))</f>
        <v/>
      </c>
      <c r="I51" s="13" t="str">
        <f aca="false">IF(A51="","",SUMIFS('Girdi — Faturalar ve tahsilat'!$R$2:$R$3001,'Girdi — Faturalar ve tahsilat'!$C$2:$C$3001,$A51,'Girdi — Faturalar ve tahsilat'!$T$2:$T$3001,$Z$5,'Girdi — Faturalar ve tahsilat'!$O$2:$O$3001,"&gt;0"))</f>
        <v/>
      </c>
      <c r="J51" s="13" t="str">
        <f aca="false">IF(A51="","",SUMIFS('Girdi — Faturalar ve tahsilat'!$R$2:$R$3001,'Girdi — Faturalar ve tahsilat'!$C$2:$C$3001,$A51,'Girdi — Faturalar ve tahsilat'!$T$2:$T$3001,$Z$5,'Girdi — Faturalar ve tahsilat'!$S$2:$S$3001,"1-30"))</f>
        <v/>
      </c>
      <c r="K51" s="13" t="str">
        <f aca="false">IF(A51="","",SUMIFS('Girdi — Faturalar ve tahsilat'!$R$2:$R$3001,'Girdi — Faturalar ve tahsilat'!$C$2:$C$3001,$A51,'Girdi — Faturalar ve tahsilat'!$T$2:$T$3001,$Z$5,'Girdi — Faturalar ve tahsilat'!$S$2:$S$3001,"31-60"))</f>
        <v/>
      </c>
      <c r="L51" s="13" t="str">
        <f aca="false">IF(A51="","",SUMIFS('Girdi — Faturalar ve tahsilat'!$R$2:$R$3001,'Girdi — Faturalar ve tahsilat'!$C$2:$C$3001,$A51,'Girdi — Faturalar ve tahsilat'!$T$2:$T$3001,$Z$5,'Girdi — Faturalar ve tahsilat'!$S$2:$S$3001,"61-90"))</f>
        <v/>
      </c>
      <c r="M51" s="13" t="str">
        <f aca="false">IF(A51="","",SUMIFS('Girdi — Faturalar ve tahsilat'!$R$2:$R$3001,'Girdi — Faturalar ve tahsilat'!$C$2:$C$3001,$A51,'Girdi — Faturalar ve tahsilat'!$T$2:$T$3001,$Z$5,'Girdi — Faturalar ve tahsilat'!$S$2:$S$3001,"90+"))</f>
        <v/>
      </c>
      <c r="N51" s="21" t="str">
        <f aca="false">IF(F51="","",RANK(F51,$F$17:$F$216,0)+COUNTIF($F$17:F51,F51)-1)</f>
        <v/>
      </c>
    </row>
    <row r="52" customFormat="false" ht="15" hidden="false" customHeight="false" outlineLevel="0" collapsed="false">
      <c r="A52" s="16" t="str">
        <f aca="false">IFERROR(INDEX('Girdi — Faturalar ve tahsilat'!$C$2:$C$3001,MATCH(36,'Girdi — Faturalar ve tahsilat'!$U$2:$U$3001,0)),"")</f>
        <v/>
      </c>
      <c r="B52" s="16" t="str">
        <f aca="false">IF(A52="","",INDEX('Girdi — Faturalar ve tahsilat'!$D$2:$D$3001,MATCH(36,'Girdi — Faturalar ve tahsilat'!$U$2:$U$3001,0)))</f>
        <v/>
      </c>
      <c r="C52" s="13" t="str">
        <f aca="false">IF(A52="","",SUMIFS('Girdi — Faturalar ve tahsilat'!$F$2:$F$3001,'Girdi — Faturalar ve tahsilat'!$C$2:$C$3001,$A52,'Girdi — Faturalar ve tahsilat'!$T$2:$T$3001,$Z$5))</f>
        <v/>
      </c>
      <c r="D52" s="15" t="str">
        <f aca="false">IF(OR(A52="",N(C52)=0),"",SUMIFS('Girdi — Faturalar ve tahsilat'!$P$2:$P$3001,'Girdi — Faturalar ve tahsilat'!$C$2:$C$3001,$A52,'Girdi — Faturalar ve tahsilat'!$T$2:$T$3001,$Z$5)/C52)</f>
        <v/>
      </c>
      <c r="E52" s="15" t="str">
        <f aca="false">IF(OR(A52="",N(C52)=0),"",SUMIFS('Girdi — Faturalar ve tahsilat'!$Q$2:$Q$3001,'Girdi — Faturalar ve tahsilat'!$C$2:$C$3001,$A52,'Girdi — Faturalar ve tahsilat'!$T$2:$T$3001,$Z$5)/C52)</f>
        <v/>
      </c>
      <c r="F52" s="20" t="str">
        <f aca="false">IF(D52="","",E52-D52)</f>
        <v/>
      </c>
      <c r="G52" s="13" t="str">
        <f aca="false">IF(F52="","",C52*$D$4*F52/365)</f>
        <v/>
      </c>
      <c r="H52" s="13" t="str">
        <f aca="false">IF(A52="","",SUMIFS('Girdi — Faturalar ve tahsilat'!$R$2:$R$3001,'Girdi — Faturalar ve tahsilat'!$C$2:$C$3001,$A52,'Girdi — Faturalar ve tahsilat'!$T$2:$T$3001,$Z$5))</f>
        <v/>
      </c>
      <c r="I52" s="13" t="str">
        <f aca="false">IF(A52="","",SUMIFS('Girdi — Faturalar ve tahsilat'!$R$2:$R$3001,'Girdi — Faturalar ve tahsilat'!$C$2:$C$3001,$A52,'Girdi — Faturalar ve tahsilat'!$T$2:$T$3001,$Z$5,'Girdi — Faturalar ve tahsilat'!$O$2:$O$3001,"&gt;0"))</f>
        <v/>
      </c>
      <c r="J52" s="13" t="str">
        <f aca="false">IF(A52="","",SUMIFS('Girdi — Faturalar ve tahsilat'!$R$2:$R$3001,'Girdi — Faturalar ve tahsilat'!$C$2:$C$3001,$A52,'Girdi — Faturalar ve tahsilat'!$T$2:$T$3001,$Z$5,'Girdi — Faturalar ve tahsilat'!$S$2:$S$3001,"1-30"))</f>
        <v/>
      </c>
      <c r="K52" s="13" t="str">
        <f aca="false">IF(A52="","",SUMIFS('Girdi — Faturalar ve tahsilat'!$R$2:$R$3001,'Girdi — Faturalar ve tahsilat'!$C$2:$C$3001,$A52,'Girdi — Faturalar ve tahsilat'!$T$2:$T$3001,$Z$5,'Girdi — Faturalar ve tahsilat'!$S$2:$S$3001,"31-60"))</f>
        <v/>
      </c>
      <c r="L52" s="13" t="str">
        <f aca="false">IF(A52="","",SUMIFS('Girdi — Faturalar ve tahsilat'!$R$2:$R$3001,'Girdi — Faturalar ve tahsilat'!$C$2:$C$3001,$A52,'Girdi — Faturalar ve tahsilat'!$T$2:$T$3001,$Z$5,'Girdi — Faturalar ve tahsilat'!$S$2:$S$3001,"61-90"))</f>
        <v/>
      </c>
      <c r="M52" s="13" t="str">
        <f aca="false">IF(A52="","",SUMIFS('Girdi — Faturalar ve tahsilat'!$R$2:$R$3001,'Girdi — Faturalar ve tahsilat'!$C$2:$C$3001,$A52,'Girdi — Faturalar ve tahsilat'!$T$2:$T$3001,$Z$5,'Girdi — Faturalar ve tahsilat'!$S$2:$S$3001,"90+"))</f>
        <v/>
      </c>
      <c r="N52" s="21" t="str">
        <f aca="false">IF(F52="","",RANK(F52,$F$17:$F$216,0)+COUNTIF($F$17:F52,F52)-1)</f>
        <v/>
      </c>
    </row>
    <row r="53" customFormat="false" ht="15" hidden="false" customHeight="false" outlineLevel="0" collapsed="false">
      <c r="A53" s="16" t="str">
        <f aca="false">IFERROR(INDEX('Girdi — Faturalar ve tahsilat'!$C$2:$C$3001,MATCH(37,'Girdi — Faturalar ve tahsilat'!$U$2:$U$3001,0)),"")</f>
        <v/>
      </c>
      <c r="B53" s="16" t="str">
        <f aca="false">IF(A53="","",INDEX('Girdi — Faturalar ve tahsilat'!$D$2:$D$3001,MATCH(37,'Girdi — Faturalar ve tahsilat'!$U$2:$U$3001,0)))</f>
        <v/>
      </c>
      <c r="C53" s="13" t="str">
        <f aca="false">IF(A53="","",SUMIFS('Girdi — Faturalar ve tahsilat'!$F$2:$F$3001,'Girdi — Faturalar ve tahsilat'!$C$2:$C$3001,$A53,'Girdi — Faturalar ve tahsilat'!$T$2:$T$3001,$Z$5))</f>
        <v/>
      </c>
      <c r="D53" s="15" t="str">
        <f aca="false">IF(OR(A53="",N(C53)=0),"",SUMIFS('Girdi — Faturalar ve tahsilat'!$P$2:$P$3001,'Girdi — Faturalar ve tahsilat'!$C$2:$C$3001,$A53,'Girdi — Faturalar ve tahsilat'!$T$2:$T$3001,$Z$5)/C53)</f>
        <v/>
      </c>
      <c r="E53" s="15" t="str">
        <f aca="false">IF(OR(A53="",N(C53)=0),"",SUMIFS('Girdi — Faturalar ve tahsilat'!$Q$2:$Q$3001,'Girdi — Faturalar ve tahsilat'!$C$2:$C$3001,$A53,'Girdi — Faturalar ve tahsilat'!$T$2:$T$3001,$Z$5)/C53)</f>
        <v/>
      </c>
      <c r="F53" s="20" t="str">
        <f aca="false">IF(D53="","",E53-D53)</f>
        <v/>
      </c>
      <c r="G53" s="13" t="str">
        <f aca="false">IF(F53="","",C53*$D$4*F53/365)</f>
        <v/>
      </c>
      <c r="H53" s="13" t="str">
        <f aca="false">IF(A53="","",SUMIFS('Girdi — Faturalar ve tahsilat'!$R$2:$R$3001,'Girdi — Faturalar ve tahsilat'!$C$2:$C$3001,$A53,'Girdi — Faturalar ve tahsilat'!$T$2:$T$3001,$Z$5))</f>
        <v/>
      </c>
      <c r="I53" s="13" t="str">
        <f aca="false">IF(A53="","",SUMIFS('Girdi — Faturalar ve tahsilat'!$R$2:$R$3001,'Girdi — Faturalar ve tahsilat'!$C$2:$C$3001,$A53,'Girdi — Faturalar ve tahsilat'!$T$2:$T$3001,$Z$5,'Girdi — Faturalar ve tahsilat'!$O$2:$O$3001,"&gt;0"))</f>
        <v/>
      </c>
      <c r="J53" s="13" t="str">
        <f aca="false">IF(A53="","",SUMIFS('Girdi — Faturalar ve tahsilat'!$R$2:$R$3001,'Girdi — Faturalar ve tahsilat'!$C$2:$C$3001,$A53,'Girdi — Faturalar ve tahsilat'!$T$2:$T$3001,$Z$5,'Girdi — Faturalar ve tahsilat'!$S$2:$S$3001,"1-30"))</f>
        <v/>
      </c>
      <c r="K53" s="13" t="str">
        <f aca="false">IF(A53="","",SUMIFS('Girdi — Faturalar ve tahsilat'!$R$2:$R$3001,'Girdi — Faturalar ve tahsilat'!$C$2:$C$3001,$A53,'Girdi — Faturalar ve tahsilat'!$T$2:$T$3001,$Z$5,'Girdi — Faturalar ve tahsilat'!$S$2:$S$3001,"31-60"))</f>
        <v/>
      </c>
      <c r="L53" s="13" t="str">
        <f aca="false">IF(A53="","",SUMIFS('Girdi — Faturalar ve tahsilat'!$R$2:$R$3001,'Girdi — Faturalar ve tahsilat'!$C$2:$C$3001,$A53,'Girdi — Faturalar ve tahsilat'!$T$2:$T$3001,$Z$5,'Girdi — Faturalar ve tahsilat'!$S$2:$S$3001,"61-90"))</f>
        <v/>
      </c>
      <c r="M53" s="13" t="str">
        <f aca="false">IF(A53="","",SUMIFS('Girdi — Faturalar ve tahsilat'!$R$2:$R$3001,'Girdi — Faturalar ve tahsilat'!$C$2:$C$3001,$A53,'Girdi — Faturalar ve tahsilat'!$T$2:$T$3001,$Z$5,'Girdi — Faturalar ve tahsilat'!$S$2:$S$3001,"90+"))</f>
        <v/>
      </c>
      <c r="N53" s="21" t="str">
        <f aca="false">IF(F53="","",RANK(F53,$F$17:$F$216,0)+COUNTIF($F$17:F53,F53)-1)</f>
        <v/>
      </c>
    </row>
    <row r="54" customFormat="false" ht="15" hidden="false" customHeight="false" outlineLevel="0" collapsed="false">
      <c r="A54" s="16" t="str">
        <f aca="false">IFERROR(INDEX('Girdi — Faturalar ve tahsilat'!$C$2:$C$3001,MATCH(38,'Girdi — Faturalar ve tahsilat'!$U$2:$U$3001,0)),"")</f>
        <v/>
      </c>
      <c r="B54" s="16" t="str">
        <f aca="false">IF(A54="","",INDEX('Girdi — Faturalar ve tahsilat'!$D$2:$D$3001,MATCH(38,'Girdi — Faturalar ve tahsilat'!$U$2:$U$3001,0)))</f>
        <v/>
      </c>
      <c r="C54" s="13" t="str">
        <f aca="false">IF(A54="","",SUMIFS('Girdi — Faturalar ve tahsilat'!$F$2:$F$3001,'Girdi — Faturalar ve tahsilat'!$C$2:$C$3001,$A54,'Girdi — Faturalar ve tahsilat'!$T$2:$T$3001,$Z$5))</f>
        <v/>
      </c>
      <c r="D54" s="15" t="str">
        <f aca="false">IF(OR(A54="",N(C54)=0),"",SUMIFS('Girdi — Faturalar ve tahsilat'!$P$2:$P$3001,'Girdi — Faturalar ve tahsilat'!$C$2:$C$3001,$A54,'Girdi — Faturalar ve tahsilat'!$T$2:$T$3001,$Z$5)/C54)</f>
        <v/>
      </c>
      <c r="E54" s="15" t="str">
        <f aca="false">IF(OR(A54="",N(C54)=0),"",SUMIFS('Girdi — Faturalar ve tahsilat'!$Q$2:$Q$3001,'Girdi — Faturalar ve tahsilat'!$C$2:$C$3001,$A54,'Girdi — Faturalar ve tahsilat'!$T$2:$T$3001,$Z$5)/C54)</f>
        <v/>
      </c>
      <c r="F54" s="20" t="str">
        <f aca="false">IF(D54="","",E54-D54)</f>
        <v/>
      </c>
      <c r="G54" s="13" t="str">
        <f aca="false">IF(F54="","",C54*$D$4*F54/365)</f>
        <v/>
      </c>
      <c r="H54" s="13" t="str">
        <f aca="false">IF(A54="","",SUMIFS('Girdi — Faturalar ve tahsilat'!$R$2:$R$3001,'Girdi — Faturalar ve tahsilat'!$C$2:$C$3001,$A54,'Girdi — Faturalar ve tahsilat'!$T$2:$T$3001,$Z$5))</f>
        <v/>
      </c>
      <c r="I54" s="13" t="str">
        <f aca="false">IF(A54="","",SUMIFS('Girdi — Faturalar ve tahsilat'!$R$2:$R$3001,'Girdi — Faturalar ve tahsilat'!$C$2:$C$3001,$A54,'Girdi — Faturalar ve tahsilat'!$T$2:$T$3001,$Z$5,'Girdi — Faturalar ve tahsilat'!$O$2:$O$3001,"&gt;0"))</f>
        <v/>
      </c>
      <c r="J54" s="13" t="str">
        <f aca="false">IF(A54="","",SUMIFS('Girdi — Faturalar ve tahsilat'!$R$2:$R$3001,'Girdi — Faturalar ve tahsilat'!$C$2:$C$3001,$A54,'Girdi — Faturalar ve tahsilat'!$T$2:$T$3001,$Z$5,'Girdi — Faturalar ve tahsilat'!$S$2:$S$3001,"1-30"))</f>
        <v/>
      </c>
      <c r="K54" s="13" t="str">
        <f aca="false">IF(A54="","",SUMIFS('Girdi — Faturalar ve tahsilat'!$R$2:$R$3001,'Girdi — Faturalar ve tahsilat'!$C$2:$C$3001,$A54,'Girdi — Faturalar ve tahsilat'!$T$2:$T$3001,$Z$5,'Girdi — Faturalar ve tahsilat'!$S$2:$S$3001,"31-60"))</f>
        <v/>
      </c>
      <c r="L54" s="13" t="str">
        <f aca="false">IF(A54="","",SUMIFS('Girdi — Faturalar ve tahsilat'!$R$2:$R$3001,'Girdi — Faturalar ve tahsilat'!$C$2:$C$3001,$A54,'Girdi — Faturalar ve tahsilat'!$T$2:$T$3001,$Z$5,'Girdi — Faturalar ve tahsilat'!$S$2:$S$3001,"61-90"))</f>
        <v/>
      </c>
      <c r="M54" s="13" t="str">
        <f aca="false">IF(A54="","",SUMIFS('Girdi — Faturalar ve tahsilat'!$R$2:$R$3001,'Girdi — Faturalar ve tahsilat'!$C$2:$C$3001,$A54,'Girdi — Faturalar ve tahsilat'!$T$2:$T$3001,$Z$5,'Girdi — Faturalar ve tahsilat'!$S$2:$S$3001,"90+"))</f>
        <v/>
      </c>
      <c r="N54" s="21" t="str">
        <f aca="false">IF(F54="","",RANK(F54,$F$17:$F$216,0)+COUNTIF($F$17:F54,F54)-1)</f>
        <v/>
      </c>
    </row>
    <row r="55" customFormat="false" ht="15" hidden="false" customHeight="false" outlineLevel="0" collapsed="false">
      <c r="A55" s="16" t="str">
        <f aca="false">IFERROR(INDEX('Girdi — Faturalar ve tahsilat'!$C$2:$C$3001,MATCH(39,'Girdi — Faturalar ve tahsilat'!$U$2:$U$3001,0)),"")</f>
        <v/>
      </c>
      <c r="B55" s="16" t="str">
        <f aca="false">IF(A55="","",INDEX('Girdi — Faturalar ve tahsilat'!$D$2:$D$3001,MATCH(39,'Girdi — Faturalar ve tahsilat'!$U$2:$U$3001,0)))</f>
        <v/>
      </c>
      <c r="C55" s="13" t="str">
        <f aca="false">IF(A55="","",SUMIFS('Girdi — Faturalar ve tahsilat'!$F$2:$F$3001,'Girdi — Faturalar ve tahsilat'!$C$2:$C$3001,$A55,'Girdi — Faturalar ve tahsilat'!$T$2:$T$3001,$Z$5))</f>
        <v/>
      </c>
      <c r="D55" s="15" t="str">
        <f aca="false">IF(OR(A55="",N(C55)=0),"",SUMIFS('Girdi — Faturalar ve tahsilat'!$P$2:$P$3001,'Girdi — Faturalar ve tahsilat'!$C$2:$C$3001,$A55,'Girdi — Faturalar ve tahsilat'!$T$2:$T$3001,$Z$5)/C55)</f>
        <v/>
      </c>
      <c r="E55" s="15" t="str">
        <f aca="false">IF(OR(A55="",N(C55)=0),"",SUMIFS('Girdi — Faturalar ve tahsilat'!$Q$2:$Q$3001,'Girdi — Faturalar ve tahsilat'!$C$2:$C$3001,$A55,'Girdi — Faturalar ve tahsilat'!$T$2:$T$3001,$Z$5)/C55)</f>
        <v/>
      </c>
      <c r="F55" s="20" t="str">
        <f aca="false">IF(D55="","",E55-D55)</f>
        <v/>
      </c>
      <c r="G55" s="13" t="str">
        <f aca="false">IF(F55="","",C55*$D$4*F55/365)</f>
        <v/>
      </c>
      <c r="H55" s="13" t="str">
        <f aca="false">IF(A55="","",SUMIFS('Girdi — Faturalar ve tahsilat'!$R$2:$R$3001,'Girdi — Faturalar ve tahsilat'!$C$2:$C$3001,$A55,'Girdi — Faturalar ve tahsilat'!$T$2:$T$3001,$Z$5))</f>
        <v/>
      </c>
      <c r="I55" s="13" t="str">
        <f aca="false">IF(A55="","",SUMIFS('Girdi — Faturalar ve tahsilat'!$R$2:$R$3001,'Girdi — Faturalar ve tahsilat'!$C$2:$C$3001,$A55,'Girdi — Faturalar ve tahsilat'!$T$2:$T$3001,$Z$5,'Girdi — Faturalar ve tahsilat'!$O$2:$O$3001,"&gt;0"))</f>
        <v/>
      </c>
      <c r="J55" s="13" t="str">
        <f aca="false">IF(A55="","",SUMIFS('Girdi — Faturalar ve tahsilat'!$R$2:$R$3001,'Girdi — Faturalar ve tahsilat'!$C$2:$C$3001,$A55,'Girdi — Faturalar ve tahsilat'!$T$2:$T$3001,$Z$5,'Girdi — Faturalar ve tahsilat'!$S$2:$S$3001,"1-30"))</f>
        <v/>
      </c>
      <c r="K55" s="13" t="str">
        <f aca="false">IF(A55="","",SUMIFS('Girdi — Faturalar ve tahsilat'!$R$2:$R$3001,'Girdi — Faturalar ve tahsilat'!$C$2:$C$3001,$A55,'Girdi — Faturalar ve tahsilat'!$T$2:$T$3001,$Z$5,'Girdi — Faturalar ve tahsilat'!$S$2:$S$3001,"31-60"))</f>
        <v/>
      </c>
      <c r="L55" s="13" t="str">
        <f aca="false">IF(A55="","",SUMIFS('Girdi — Faturalar ve tahsilat'!$R$2:$R$3001,'Girdi — Faturalar ve tahsilat'!$C$2:$C$3001,$A55,'Girdi — Faturalar ve tahsilat'!$T$2:$T$3001,$Z$5,'Girdi — Faturalar ve tahsilat'!$S$2:$S$3001,"61-90"))</f>
        <v/>
      </c>
      <c r="M55" s="13" t="str">
        <f aca="false">IF(A55="","",SUMIFS('Girdi — Faturalar ve tahsilat'!$R$2:$R$3001,'Girdi — Faturalar ve tahsilat'!$C$2:$C$3001,$A55,'Girdi — Faturalar ve tahsilat'!$T$2:$T$3001,$Z$5,'Girdi — Faturalar ve tahsilat'!$S$2:$S$3001,"90+"))</f>
        <v/>
      </c>
      <c r="N55" s="21" t="str">
        <f aca="false">IF(F55="","",RANK(F55,$F$17:$F$216,0)+COUNTIF($F$17:F55,F55)-1)</f>
        <v/>
      </c>
    </row>
    <row r="56" customFormat="false" ht="15" hidden="false" customHeight="false" outlineLevel="0" collapsed="false">
      <c r="A56" s="16" t="str">
        <f aca="false">IFERROR(INDEX('Girdi — Faturalar ve tahsilat'!$C$2:$C$3001,MATCH(40,'Girdi — Faturalar ve tahsilat'!$U$2:$U$3001,0)),"")</f>
        <v/>
      </c>
      <c r="B56" s="16" t="str">
        <f aca="false">IF(A56="","",INDEX('Girdi — Faturalar ve tahsilat'!$D$2:$D$3001,MATCH(40,'Girdi — Faturalar ve tahsilat'!$U$2:$U$3001,0)))</f>
        <v/>
      </c>
      <c r="C56" s="13" t="str">
        <f aca="false">IF(A56="","",SUMIFS('Girdi — Faturalar ve tahsilat'!$F$2:$F$3001,'Girdi — Faturalar ve tahsilat'!$C$2:$C$3001,$A56,'Girdi — Faturalar ve tahsilat'!$T$2:$T$3001,$Z$5))</f>
        <v/>
      </c>
      <c r="D56" s="15" t="str">
        <f aca="false">IF(OR(A56="",N(C56)=0),"",SUMIFS('Girdi — Faturalar ve tahsilat'!$P$2:$P$3001,'Girdi — Faturalar ve tahsilat'!$C$2:$C$3001,$A56,'Girdi — Faturalar ve tahsilat'!$T$2:$T$3001,$Z$5)/C56)</f>
        <v/>
      </c>
      <c r="E56" s="15" t="str">
        <f aca="false">IF(OR(A56="",N(C56)=0),"",SUMIFS('Girdi — Faturalar ve tahsilat'!$Q$2:$Q$3001,'Girdi — Faturalar ve tahsilat'!$C$2:$C$3001,$A56,'Girdi — Faturalar ve tahsilat'!$T$2:$T$3001,$Z$5)/C56)</f>
        <v/>
      </c>
      <c r="F56" s="20" t="str">
        <f aca="false">IF(D56="","",E56-D56)</f>
        <v/>
      </c>
      <c r="G56" s="13" t="str">
        <f aca="false">IF(F56="","",C56*$D$4*F56/365)</f>
        <v/>
      </c>
      <c r="H56" s="13" t="str">
        <f aca="false">IF(A56="","",SUMIFS('Girdi — Faturalar ve tahsilat'!$R$2:$R$3001,'Girdi — Faturalar ve tahsilat'!$C$2:$C$3001,$A56,'Girdi — Faturalar ve tahsilat'!$T$2:$T$3001,$Z$5))</f>
        <v/>
      </c>
      <c r="I56" s="13" t="str">
        <f aca="false">IF(A56="","",SUMIFS('Girdi — Faturalar ve tahsilat'!$R$2:$R$3001,'Girdi — Faturalar ve tahsilat'!$C$2:$C$3001,$A56,'Girdi — Faturalar ve tahsilat'!$T$2:$T$3001,$Z$5,'Girdi — Faturalar ve tahsilat'!$O$2:$O$3001,"&gt;0"))</f>
        <v/>
      </c>
      <c r="J56" s="13" t="str">
        <f aca="false">IF(A56="","",SUMIFS('Girdi — Faturalar ve tahsilat'!$R$2:$R$3001,'Girdi — Faturalar ve tahsilat'!$C$2:$C$3001,$A56,'Girdi — Faturalar ve tahsilat'!$T$2:$T$3001,$Z$5,'Girdi — Faturalar ve tahsilat'!$S$2:$S$3001,"1-30"))</f>
        <v/>
      </c>
      <c r="K56" s="13" t="str">
        <f aca="false">IF(A56="","",SUMIFS('Girdi — Faturalar ve tahsilat'!$R$2:$R$3001,'Girdi — Faturalar ve tahsilat'!$C$2:$C$3001,$A56,'Girdi — Faturalar ve tahsilat'!$T$2:$T$3001,$Z$5,'Girdi — Faturalar ve tahsilat'!$S$2:$S$3001,"31-60"))</f>
        <v/>
      </c>
      <c r="L56" s="13" t="str">
        <f aca="false">IF(A56="","",SUMIFS('Girdi — Faturalar ve tahsilat'!$R$2:$R$3001,'Girdi — Faturalar ve tahsilat'!$C$2:$C$3001,$A56,'Girdi — Faturalar ve tahsilat'!$T$2:$T$3001,$Z$5,'Girdi — Faturalar ve tahsilat'!$S$2:$S$3001,"61-90"))</f>
        <v/>
      </c>
      <c r="M56" s="13" t="str">
        <f aca="false">IF(A56="","",SUMIFS('Girdi — Faturalar ve tahsilat'!$R$2:$R$3001,'Girdi — Faturalar ve tahsilat'!$C$2:$C$3001,$A56,'Girdi — Faturalar ve tahsilat'!$T$2:$T$3001,$Z$5,'Girdi — Faturalar ve tahsilat'!$S$2:$S$3001,"90+"))</f>
        <v/>
      </c>
      <c r="N56" s="21" t="str">
        <f aca="false">IF(F56="","",RANK(F56,$F$17:$F$216,0)+COUNTIF($F$17:F56,F56)-1)</f>
        <v/>
      </c>
    </row>
    <row r="57" customFormat="false" ht="15" hidden="false" customHeight="false" outlineLevel="0" collapsed="false">
      <c r="A57" s="16" t="str">
        <f aca="false">IFERROR(INDEX('Girdi — Faturalar ve tahsilat'!$C$2:$C$3001,MATCH(41,'Girdi — Faturalar ve tahsilat'!$U$2:$U$3001,0)),"")</f>
        <v/>
      </c>
      <c r="B57" s="16" t="str">
        <f aca="false">IF(A57="","",INDEX('Girdi — Faturalar ve tahsilat'!$D$2:$D$3001,MATCH(41,'Girdi — Faturalar ve tahsilat'!$U$2:$U$3001,0)))</f>
        <v/>
      </c>
      <c r="C57" s="13" t="str">
        <f aca="false">IF(A57="","",SUMIFS('Girdi — Faturalar ve tahsilat'!$F$2:$F$3001,'Girdi — Faturalar ve tahsilat'!$C$2:$C$3001,$A57,'Girdi — Faturalar ve tahsilat'!$T$2:$T$3001,$Z$5))</f>
        <v/>
      </c>
      <c r="D57" s="15" t="str">
        <f aca="false">IF(OR(A57="",N(C57)=0),"",SUMIFS('Girdi — Faturalar ve tahsilat'!$P$2:$P$3001,'Girdi — Faturalar ve tahsilat'!$C$2:$C$3001,$A57,'Girdi — Faturalar ve tahsilat'!$T$2:$T$3001,$Z$5)/C57)</f>
        <v/>
      </c>
      <c r="E57" s="15" t="str">
        <f aca="false">IF(OR(A57="",N(C57)=0),"",SUMIFS('Girdi — Faturalar ve tahsilat'!$Q$2:$Q$3001,'Girdi — Faturalar ve tahsilat'!$C$2:$C$3001,$A57,'Girdi — Faturalar ve tahsilat'!$T$2:$T$3001,$Z$5)/C57)</f>
        <v/>
      </c>
      <c r="F57" s="20" t="str">
        <f aca="false">IF(D57="","",E57-D57)</f>
        <v/>
      </c>
      <c r="G57" s="13" t="str">
        <f aca="false">IF(F57="","",C57*$D$4*F57/365)</f>
        <v/>
      </c>
      <c r="H57" s="13" t="str">
        <f aca="false">IF(A57="","",SUMIFS('Girdi — Faturalar ve tahsilat'!$R$2:$R$3001,'Girdi — Faturalar ve tahsilat'!$C$2:$C$3001,$A57,'Girdi — Faturalar ve tahsilat'!$T$2:$T$3001,$Z$5))</f>
        <v/>
      </c>
      <c r="I57" s="13" t="str">
        <f aca="false">IF(A57="","",SUMIFS('Girdi — Faturalar ve tahsilat'!$R$2:$R$3001,'Girdi — Faturalar ve tahsilat'!$C$2:$C$3001,$A57,'Girdi — Faturalar ve tahsilat'!$T$2:$T$3001,$Z$5,'Girdi — Faturalar ve tahsilat'!$O$2:$O$3001,"&gt;0"))</f>
        <v/>
      </c>
      <c r="J57" s="13" t="str">
        <f aca="false">IF(A57="","",SUMIFS('Girdi — Faturalar ve tahsilat'!$R$2:$R$3001,'Girdi — Faturalar ve tahsilat'!$C$2:$C$3001,$A57,'Girdi — Faturalar ve tahsilat'!$T$2:$T$3001,$Z$5,'Girdi — Faturalar ve tahsilat'!$S$2:$S$3001,"1-30"))</f>
        <v/>
      </c>
      <c r="K57" s="13" t="str">
        <f aca="false">IF(A57="","",SUMIFS('Girdi — Faturalar ve tahsilat'!$R$2:$R$3001,'Girdi — Faturalar ve tahsilat'!$C$2:$C$3001,$A57,'Girdi — Faturalar ve tahsilat'!$T$2:$T$3001,$Z$5,'Girdi — Faturalar ve tahsilat'!$S$2:$S$3001,"31-60"))</f>
        <v/>
      </c>
      <c r="L57" s="13" t="str">
        <f aca="false">IF(A57="","",SUMIFS('Girdi — Faturalar ve tahsilat'!$R$2:$R$3001,'Girdi — Faturalar ve tahsilat'!$C$2:$C$3001,$A57,'Girdi — Faturalar ve tahsilat'!$T$2:$T$3001,$Z$5,'Girdi — Faturalar ve tahsilat'!$S$2:$S$3001,"61-90"))</f>
        <v/>
      </c>
      <c r="M57" s="13" t="str">
        <f aca="false">IF(A57="","",SUMIFS('Girdi — Faturalar ve tahsilat'!$R$2:$R$3001,'Girdi — Faturalar ve tahsilat'!$C$2:$C$3001,$A57,'Girdi — Faturalar ve tahsilat'!$T$2:$T$3001,$Z$5,'Girdi — Faturalar ve tahsilat'!$S$2:$S$3001,"90+"))</f>
        <v/>
      </c>
      <c r="N57" s="21" t="str">
        <f aca="false">IF(F57="","",RANK(F57,$F$17:$F$216,0)+COUNTIF($F$17:F57,F57)-1)</f>
        <v/>
      </c>
    </row>
    <row r="58" customFormat="false" ht="15" hidden="false" customHeight="false" outlineLevel="0" collapsed="false">
      <c r="A58" s="16" t="str">
        <f aca="false">IFERROR(INDEX('Girdi — Faturalar ve tahsilat'!$C$2:$C$3001,MATCH(42,'Girdi — Faturalar ve tahsilat'!$U$2:$U$3001,0)),"")</f>
        <v/>
      </c>
      <c r="B58" s="16" t="str">
        <f aca="false">IF(A58="","",INDEX('Girdi — Faturalar ve tahsilat'!$D$2:$D$3001,MATCH(42,'Girdi — Faturalar ve tahsilat'!$U$2:$U$3001,0)))</f>
        <v/>
      </c>
      <c r="C58" s="13" t="str">
        <f aca="false">IF(A58="","",SUMIFS('Girdi — Faturalar ve tahsilat'!$F$2:$F$3001,'Girdi — Faturalar ve tahsilat'!$C$2:$C$3001,$A58,'Girdi — Faturalar ve tahsilat'!$T$2:$T$3001,$Z$5))</f>
        <v/>
      </c>
      <c r="D58" s="15" t="str">
        <f aca="false">IF(OR(A58="",N(C58)=0),"",SUMIFS('Girdi — Faturalar ve tahsilat'!$P$2:$P$3001,'Girdi — Faturalar ve tahsilat'!$C$2:$C$3001,$A58,'Girdi — Faturalar ve tahsilat'!$T$2:$T$3001,$Z$5)/C58)</f>
        <v/>
      </c>
      <c r="E58" s="15" t="str">
        <f aca="false">IF(OR(A58="",N(C58)=0),"",SUMIFS('Girdi — Faturalar ve tahsilat'!$Q$2:$Q$3001,'Girdi — Faturalar ve tahsilat'!$C$2:$C$3001,$A58,'Girdi — Faturalar ve tahsilat'!$T$2:$T$3001,$Z$5)/C58)</f>
        <v/>
      </c>
      <c r="F58" s="20" t="str">
        <f aca="false">IF(D58="","",E58-D58)</f>
        <v/>
      </c>
      <c r="G58" s="13" t="str">
        <f aca="false">IF(F58="","",C58*$D$4*F58/365)</f>
        <v/>
      </c>
      <c r="H58" s="13" t="str">
        <f aca="false">IF(A58="","",SUMIFS('Girdi — Faturalar ve tahsilat'!$R$2:$R$3001,'Girdi — Faturalar ve tahsilat'!$C$2:$C$3001,$A58,'Girdi — Faturalar ve tahsilat'!$T$2:$T$3001,$Z$5))</f>
        <v/>
      </c>
      <c r="I58" s="13" t="str">
        <f aca="false">IF(A58="","",SUMIFS('Girdi — Faturalar ve tahsilat'!$R$2:$R$3001,'Girdi — Faturalar ve tahsilat'!$C$2:$C$3001,$A58,'Girdi — Faturalar ve tahsilat'!$T$2:$T$3001,$Z$5,'Girdi — Faturalar ve tahsilat'!$O$2:$O$3001,"&gt;0"))</f>
        <v/>
      </c>
      <c r="J58" s="13" t="str">
        <f aca="false">IF(A58="","",SUMIFS('Girdi — Faturalar ve tahsilat'!$R$2:$R$3001,'Girdi — Faturalar ve tahsilat'!$C$2:$C$3001,$A58,'Girdi — Faturalar ve tahsilat'!$T$2:$T$3001,$Z$5,'Girdi — Faturalar ve tahsilat'!$S$2:$S$3001,"1-30"))</f>
        <v/>
      </c>
      <c r="K58" s="13" t="str">
        <f aca="false">IF(A58="","",SUMIFS('Girdi — Faturalar ve tahsilat'!$R$2:$R$3001,'Girdi — Faturalar ve tahsilat'!$C$2:$C$3001,$A58,'Girdi — Faturalar ve tahsilat'!$T$2:$T$3001,$Z$5,'Girdi — Faturalar ve tahsilat'!$S$2:$S$3001,"31-60"))</f>
        <v/>
      </c>
      <c r="L58" s="13" t="str">
        <f aca="false">IF(A58="","",SUMIFS('Girdi — Faturalar ve tahsilat'!$R$2:$R$3001,'Girdi — Faturalar ve tahsilat'!$C$2:$C$3001,$A58,'Girdi — Faturalar ve tahsilat'!$T$2:$T$3001,$Z$5,'Girdi — Faturalar ve tahsilat'!$S$2:$S$3001,"61-90"))</f>
        <v/>
      </c>
      <c r="M58" s="13" t="str">
        <f aca="false">IF(A58="","",SUMIFS('Girdi — Faturalar ve tahsilat'!$R$2:$R$3001,'Girdi — Faturalar ve tahsilat'!$C$2:$C$3001,$A58,'Girdi — Faturalar ve tahsilat'!$T$2:$T$3001,$Z$5,'Girdi — Faturalar ve tahsilat'!$S$2:$S$3001,"90+"))</f>
        <v/>
      </c>
      <c r="N58" s="21" t="str">
        <f aca="false">IF(F58="","",RANK(F58,$F$17:$F$216,0)+COUNTIF($F$17:F58,F58)-1)</f>
        <v/>
      </c>
    </row>
    <row r="59" customFormat="false" ht="15" hidden="false" customHeight="false" outlineLevel="0" collapsed="false">
      <c r="A59" s="16" t="str">
        <f aca="false">IFERROR(INDEX('Girdi — Faturalar ve tahsilat'!$C$2:$C$3001,MATCH(43,'Girdi — Faturalar ve tahsilat'!$U$2:$U$3001,0)),"")</f>
        <v/>
      </c>
      <c r="B59" s="16" t="str">
        <f aca="false">IF(A59="","",INDEX('Girdi — Faturalar ve tahsilat'!$D$2:$D$3001,MATCH(43,'Girdi — Faturalar ve tahsilat'!$U$2:$U$3001,0)))</f>
        <v/>
      </c>
      <c r="C59" s="13" t="str">
        <f aca="false">IF(A59="","",SUMIFS('Girdi — Faturalar ve tahsilat'!$F$2:$F$3001,'Girdi — Faturalar ve tahsilat'!$C$2:$C$3001,$A59,'Girdi — Faturalar ve tahsilat'!$T$2:$T$3001,$Z$5))</f>
        <v/>
      </c>
      <c r="D59" s="15" t="str">
        <f aca="false">IF(OR(A59="",N(C59)=0),"",SUMIFS('Girdi — Faturalar ve tahsilat'!$P$2:$P$3001,'Girdi — Faturalar ve tahsilat'!$C$2:$C$3001,$A59,'Girdi — Faturalar ve tahsilat'!$T$2:$T$3001,$Z$5)/C59)</f>
        <v/>
      </c>
      <c r="E59" s="15" t="str">
        <f aca="false">IF(OR(A59="",N(C59)=0),"",SUMIFS('Girdi — Faturalar ve tahsilat'!$Q$2:$Q$3001,'Girdi — Faturalar ve tahsilat'!$C$2:$C$3001,$A59,'Girdi — Faturalar ve tahsilat'!$T$2:$T$3001,$Z$5)/C59)</f>
        <v/>
      </c>
      <c r="F59" s="20" t="str">
        <f aca="false">IF(D59="","",E59-D59)</f>
        <v/>
      </c>
      <c r="G59" s="13" t="str">
        <f aca="false">IF(F59="","",C59*$D$4*F59/365)</f>
        <v/>
      </c>
      <c r="H59" s="13" t="str">
        <f aca="false">IF(A59="","",SUMIFS('Girdi — Faturalar ve tahsilat'!$R$2:$R$3001,'Girdi — Faturalar ve tahsilat'!$C$2:$C$3001,$A59,'Girdi — Faturalar ve tahsilat'!$T$2:$T$3001,$Z$5))</f>
        <v/>
      </c>
      <c r="I59" s="13" t="str">
        <f aca="false">IF(A59="","",SUMIFS('Girdi — Faturalar ve tahsilat'!$R$2:$R$3001,'Girdi — Faturalar ve tahsilat'!$C$2:$C$3001,$A59,'Girdi — Faturalar ve tahsilat'!$T$2:$T$3001,$Z$5,'Girdi — Faturalar ve tahsilat'!$O$2:$O$3001,"&gt;0"))</f>
        <v/>
      </c>
      <c r="J59" s="13" t="str">
        <f aca="false">IF(A59="","",SUMIFS('Girdi — Faturalar ve tahsilat'!$R$2:$R$3001,'Girdi — Faturalar ve tahsilat'!$C$2:$C$3001,$A59,'Girdi — Faturalar ve tahsilat'!$T$2:$T$3001,$Z$5,'Girdi — Faturalar ve tahsilat'!$S$2:$S$3001,"1-30"))</f>
        <v/>
      </c>
      <c r="K59" s="13" t="str">
        <f aca="false">IF(A59="","",SUMIFS('Girdi — Faturalar ve tahsilat'!$R$2:$R$3001,'Girdi — Faturalar ve tahsilat'!$C$2:$C$3001,$A59,'Girdi — Faturalar ve tahsilat'!$T$2:$T$3001,$Z$5,'Girdi — Faturalar ve tahsilat'!$S$2:$S$3001,"31-60"))</f>
        <v/>
      </c>
      <c r="L59" s="13" t="str">
        <f aca="false">IF(A59="","",SUMIFS('Girdi — Faturalar ve tahsilat'!$R$2:$R$3001,'Girdi — Faturalar ve tahsilat'!$C$2:$C$3001,$A59,'Girdi — Faturalar ve tahsilat'!$T$2:$T$3001,$Z$5,'Girdi — Faturalar ve tahsilat'!$S$2:$S$3001,"61-90"))</f>
        <v/>
      </c>
      <c r="M59" s="13" t="str">
        <f aca="false">IF(A59="","",SUMIFS('Girdi — Faturalar ve tahsilat'!$R$2:$R$3001,'Girdi — Faturalar ve tahsilat'!$C$2:$C$3001,$A59,'Girdi — Faturalar ve tahsilat'!$T$2:$T$3001,$Z$5,'Girdi — Faturalar ve tahsilat'!$S$2:$S$3001,"90+"))</f>
        <v/>
      </c>
      <c r="N59" s="21" t="str">
        <f aca="false">IF(F59="","",RANK(F59,$F$17:$F$216,0)+COUNTIF($F$17:F59,F59)-1)</f>
        <v/>
      </c>
    </row>
    <row r="60" customFormat="false" ht="15" hidden="false" customHeight="false" outlineLevel="0" collapsed="false">
      <c r="A60" s="16" t="str">
        <f aca="false">IFERROR(INDEX('Girdi — Faturalar ve tahsilat'!$C$2:$C$3001,MATCH(44,'Girdi — Faturalar ve tahsilat'!$U$2:$U$3001,0)),"")</f>
        <v/>
      </c>
      <c r="B60" s="16" t="str">
        <f aca="false">IF(A60="","",INDEX('Girdi — Faturalar ve tahsilat'!$D$2:$D$3001,MATCH(44,'Girdi — Faturalar ve tahsilat'!$U$2:$U$3001,0)))</f>
        <v/>
      </c>
      <c r="C60" s="13" t="str">
        <f aca="false">IF(A60="","",SUMIFS('Girdi — Faturalar ve tahsilat'!$F$2:$F$3001,'Girdi — Faturalar ve tahsilat'!$C$2:$C$3001,$A60,'Girdi — Faturalar ve tahsilat'!$T$2:$T$3001,$Z$5))</f>
        <v/>
      </c>
      <c r="D60" s="15" t="str">
        <f aca="false">IF(OR(A60="",N(C60)=0),"",SUMIFS('Girdi — Faturalar ve tahsilat'!$P$2:$P$3001,'Girdi — Faturalar ve tahsilat'!$C$2:$C$3001,$A60,'Girdi — Faturalar ve tahsilat'!$T$2:$T$3001,$Z$5)/C60)</f>
        <v/>
      </c>
      <c r="E60" s="15" t="str">
        <f aca="false">IF(OR(A60="",N(C60)=0),"",SUMIFS('Girdi — Faturalar ve tahsilat'!$Q$2:$Q$3001,'Girdi — Faturalar ve tahsilat'!$C$2:$C$3001,$A60,'Girdi — Faturalar ve tahsilat'!$T$2:$T$3001,$Z$5)/C60)</f>
        <v/>
      </c>
      <c r="F60" s="20" t="str">
        <f aca="false">IF(D60="","",E60-D60)</f>
        <v/>
      </c>
      <c r="G60" s="13" t="str">
        <f aca="false">IF(F60="","",C60*$D$4*F60/365)</f>
        <v/>
      </c>
      <c r="H60" s="13" t="str">
        <f aca="false">IF(A60="","",SUMIFS('Girdi — Faturalar ve tahsilat'!$R$2:$R$3001,'Girdi — Faturalar ve tahsilat'!$C$2:$C$3001,$A60,'Girdi — Faturalar ve tahsilat'!$T$2:$T$3001,$Z$5))</f>
        <v/>
      </c>
      <c r="I60" s="13" t="str">
        <f aca="false">IF(A60="","",SUMIFS('Girdi — Faturalar ve tahsilat'!$R$2:$R$3001,'Girdi — Faturalar ve tahsilat'!$C$2:$C$3001,$A60,'Girdi — Faturalar ve tahsilat'!$T$2:$T$3001,$Z$5,'Girdi — Faturalar ve tahsilat'!$O$2:$O$3001,"&gt;0"))</f>
        <v/>
      </c>
      <c r="J60" s="13" t="str">
        <f aca="false">IF(A60="","",SUMIFS('Girdi — Faturalar ve tahsilat'!$R$2:$R$3001,'Girdi — Faturalar ve tahsilat'!$C$2:$C$3001,$A60,'Girdi — Faturalar ve tahsilat'!$T$2:$T$3001,$Z$5,'Girdi — Faturalar ve tahsilat'!$S$2:$S$3001,"1-30"))</f>
        <v/>
      </c>
      <c r="K60" s="13" t="str">
        <f aca="false">IF(A60="","",SUMIFS('Girdi — Faturalar ve tahsilat'!$R$2:$R$3001,'Girdi — Faturalar ve tahsilat'!$C$2:$C$3001,$A60,'Girdi — Faturalar ve tahsilat'!$T$2:$T$3001,$Z$5,'Girdi — Faturalar ve tahsilat'!$S$2:$S$3001,"31-60"))</f>
        <v/>
      </c>
      <c r="L60" s="13" t="str">
        <f aca="false">IF(A60="","",SUMIFS('Girdi — Faturalar ve tahsilat'!$R$2:$R$3001,'Girdi — Faturalar ve tahsilat'!$C$2:$C$3001,$A60,'Girdi — Faturalar ve tahsilat'!$T$2:$T$3001,$Z$5,'Girdi — Faturalar ve tahsilat'!$S$2:$S$3001,"61-90"))</f>
        <v/>
      </c>
      <c r="M60" s="13" t="str">
        <f aca="false">IF(A60="","",SUMIFS('Girdi — Faturalar ve tahsilat'!$R$2:$R$3001,'Girdi — Faturalar ve tahsilat'!$C$2:$C$3001,$A60,'Girdi — Faturalar ve tahsilat'!$T$2:$T$3001,$Z$5,'Girdi — Faturalar ve tahsilat'!$S$2:$S$3001,"90+"))</f>
        <v/>
      </c>
      <c r="N60" s="21" t="str">
        <f aca="false">IF(F60="","",RANK(F60,$F$17:$F$216,0)+COUNTIF($F$17:F60,F60)-1)</f>
        <v/>
      </c>
    </row>
    <row r="61" customFormat="false" ht="15" hidden="false" customHeight="false" outlineLevel="0" collapsed="false">
      <c r="A61" s="16" t="str">
        <f aca="false">IFERROR(INDEX('Girdi — Faturalar ve tahsilat'!$C$2:$C$3001,MATCH(45,'Girdi — Faturalar ve tahsilat'!$U$2:$U$3001,0)),"")</f>
        <v/>
      </c>
      <c r="B61" s="16" t="str">
        <f aca="false">IF(A61="","",INDEX('Girdi — Faturalar ve tahsilat'!$D$2:$D$3001,MATCH(45,'Girdi — Faturalar ve tahsilat'!$U$2:$U$3001,0)))</f>
        <v/>
      </c>
      <c r="C61" s="13" t="str">
        <f aca="false">IF(A61="","",SUMIFS('Girdi — Faturalar ve tahsilat'!$F$2:$F$3001,'Girdi — Faturalar ve tahsilat'!$C$2:$C$3001,$A61,'Girdi — Faturalar ve tahsilat'!$T$2:$T$3001,$Z$5))</f>
        <v/>
      </c>
      <c r="D61" s="15" t="str">
        <f aca="false">IF(OR(A61="",N(C61)=0),"",SUMIFS('Girdi — Faturalar ve tahsilat'!$P$2:$P$3001,'Girdi — Faturalar ve tahsilat'!$C$2:$C$3001,$A61,'Girdi — Faturalar ve tahsilat'!$T$2:$T$3001,$Z$5)/C61)</f>
        <v/>
      </c>
      <c r="E61" s="15" t="str">
        <f aca="false">IF(OR(A61="",N(C61)=0),"",SUMIFS('Girdi — Faturalar ve tahsilat'!$Q$2:$Q$3001,'Girdi — Faturalar ve tahsilat'!$C$2:$C$3001,$A61,'Girdi — Faturalar ve tahsilat'!$T$2:$T$3001,$Z$5)/C61)</f>
        <v/>
      </c>
      <c r="F61" s="20" t="str">
        <f aca="false">IF(D61="","",E61-D61)</f>
        <v/>
      </c>
      <c r="G61" s="13" t="str">
        <f aca="false">IF(F61="","",C61*$D$4*F61/365)</f>
        <v/>
      </c>
      <c r="H61" s="13" t="str">
        <f aca="false">IF(A61="","",SUMIFS('Girdi — Faturalar ve tahsilat'!$R$2:$R$3001,'Girdi — Faturalar ve tahsilat'!$C$2:$C$3001,$A61,'Girdi — Faturalar ve tahsilat'!$T$2:$T$3001,$Z$5))</f>
        <v/>
      </c>
      <c r="I61" s="13" t="str">
        <f aca="false">IF(A61="","",SUMIFS('Girdi — Faturalar ve tahsilat'!$R$2:$R$3001,'Girdi — Faturalar ve tahsilat'!$C$2:$C$3001,$A61,'Girdi — Faturalar ve tahsilat'!$T$2:$T$3001,$Z$5,'Girdi — Faturalar ve tahsilat'!$O$2:$O$3001,"&gt;0"))</f>
        <v/>
      </c>
      <c r="J61" s="13" t="str">
        <f aca="false">IF(A61="","",SUMIFS('Girdi — Faturalar ve tahsilat'!$R$2:$R$3001,'Girdi — Faturalar ve tahsilat'!$C$2:$C$3001,$A61,'Girdi — Faturalar ve tahsilat'!$T$2:$T$3001,$Z$5,'Girdi — Faturalar ve tahsilat'!$S$2:$S$3001,"1-30"))</f>
        <v/>
      </c>
      <c r="K61" s="13" t="str">
        <f aca="false">IF(A61="","",SUMIFS('Girdi — Faturalar ve tahsilat'!$R$2:$R$3001,'Girdi — Faturalar ve tahsilat'!$C$2:$C$3001,$A61,'Girdi — Faturalar ve tahsilat'!$T$2:$T$3001,$Z$5,'Girdi — Faturalar ve tahsilat'!$S$2:$S$3001,"31-60"))</f>
        <v/>
      </c>
      <c r="L61" s="13" t="str">
        <f aca="false">IF(A61="","",SUMIFS('Girdi — Faturalar ve tahsilat'!$R$2:$R$3001,'Girdi — Faturalar ve tahsilat'!$C$2:$C$3001,$A61,'Girdi — Faturalar ve tahsilat'!$T$2:$T$3001,$Z$5,'Girdi — Faturalar ve tahsilat'!$S$2:$S$3001,"61-90"))</f>
        <v/>
      </c>
      <c r="M61" s="13" t="str">
        <f aca="false">IF(A61="","",SUMIFS('Girdi — Faturalar ve tahsilat'!$R$2:$R$3001,'Girdi — Faturalar ve tahsilat'!$C$2:$C$3001,$A61,'Girdi — Faturalar ve tahsilat'!$T$2:$T$3001,$Z$5,'Girdi — Faturalar ve tahsilat'!$S$2:$S$3001,"90+"))</f>
        <v/>
      </c>
      <c r="N61" s="21" t="str">
        <f aca="false">IF(F61="","",RANK(F61,$F$17:$F$216,0)+COUNTIF($F$17:F61,F61)-1)</f>
        <v/>
      </c>
    </row>
    <row r="62" customFormat="false" ht="15" hidden="false" customHeight="false" outlineLevel="0" collapsed="false">
      <c r="A62" s="16" t="str">
        <f aca="false">IFERROR(INDEX('Girdi — Faturalar ve tahsilat'!$C$2:$C$3001,MATCH(46,'Girdi — Faturalar ve tahsilat'!$U$2:$U$3001,0)),"")</f>
        <v/>
      </c>
      <c r="B62" s="16" t="str">
        <f aca="false">IF(A62="","",INDEX('Girdi — Faturalar ve tahsilat'!$D$2:$D$3001,MATCH(46,'Girdi — Faturalar ve tahsilat'!$U$2:$U$3001,0)))</f>
        <v/>
      </c>
      <c r="C62" s="13" t="str">
        <f aca="false">IF(A62="","",SUMIFS('Girdi — Faturalar ve tahsilat'!$F$2:$F$3001,'Girdi — Faturalar ve tahsilat'!$C$2:$C$3001,$A62,'Girdi — Faturalar ve tahsilat'!$T$2:$T$3001,$Z$5))</f>
        <v/>
      </c>
      <c r="D62" s="15" t="str">
        <f aca="false">IF(OR(A62="",N(C62)=0),"",SUMIFS('Girdi — Faturalar ve tahsilat'!$P$2:$P$3001,'Girdi — Faturalar ve tahsilat'!$C$2:$C$3001,$A62,'Girdi — Faturalar ve tahsilat'!$T$2:$T$3001,$Z$5)/C62)</f>
        <v/>
      </c>
      <c r="E62" s="15" t="str">
        <f aca="false">IF(OR(A62="",N(C62)=0),"",SUMIFS('Girdi — Faturalar ve tahsilat'!$Q$2:$Q$3001,'Girdi — Faturalar ve tahsilat'!$C$2:$C$3001,$A62,'Girdi — Faturalar ve tahsilat'!$T$2:$T$3001,$Z$5)/C62)</f>
        <v/>
      </c>
      <c r="F62" s="20" t="str">
        <f aca="false">IF(D62="","",E62-D62)</f>
        <v/>
      </c>
      <c r="G62" s="13" t="str">
        <f aca="false">IF(F62="","",C62*$D$4*F62/365)</f>
        <v/>
      </c>
      <c r="H62" s="13" t="str">
        <f aca="false">IF(A62="","",SUMIFS('Girdi — Faturalar ve tahsilat'!$R$2:$R$3001,'Girdi — Faturalar ve tahsilat'!$C$2:$C$3001,$A62,'Girdi — Faturalar ve tahsilat'!$T$2:$T$3001,$Z$5))</f>
        <v/>
      </c>
      <c r="I62" s="13" t="str">
        <f aca="false">IF(A62="","",SUMIFS('Girdi — Faturalar ve tahsilat'!$R$2:$R$3001,'Girdi — Faturalar ve tahsilat'!$C$2:$C$3001,$A62,'Girdi — Faturalar ve tahsilat'!$T$2:$T$3001,$Z$5,'Girdi — Faturalar ve tahsilat'!$O$2:$O$3001,"&gt;0"))</f>
        <v/>
      </c>
      <c r="J62" s="13" t="str">
        <f aca="false">IF(A62="","",SUMIFS('Girdi — Faturalar ve tahsilat'!$R$2:$R$3001,'Girdi — Faturalar ve tahsilat'!$C$2:$C$3001,$A62,'Girdi — Faturalar ve tahsilat'!$T$2:$T$3001,$Z$5,'Girdi — Faturalar ve tahsilat'!$S$2:$S$3001,"1-30"))</f>
        <v/>
      </c>
      <c r="K62" s="13" t="str">
        <f aca="false">IF(A62="","",SUMIFS('Girdi — Faturalar ve tahsilat'!$R$2:$R$3001,'Girdi — Faturalar ve tahsilat'!$C$2:$C$3001,$A62,'Girdi — Faturalar ve tahsilat'!$T$2:$T$3001,$Z$5,'Girdi — Faturalar ve tahsilat'!$S$2:$S$3001,"31-60"))</f>
        <v/>
      </c>
      <c r="L62" s="13" t="str">
        <f aca="false">IF(A62="","",SUMIFS('Girdi — Faturalar ve tahsilat'!$R$2:$R$3001,'Girdi — Faturalar ve tahsilat'!$C$2:$C$3001,$A62,'Girdi — Faturalar ve tahsilat'!$T$2:$T$3001,$Z$5,'Girdi — Faturalar ve tahsilat'!$S$2:$S$3001,"61-90"))</f>
        <v/>
      </c>
      <c r="M62" s="13" t="str">
        <f aca="false">IF(A62="","",SUMIFS('Girdi — Faturalar ve tahsilat'!$R$2:$R$3001,'Girdi — Faturalar ve tahsilat'!$C$2:$C$3001,$A62,'Girdi — Faturalar ve tahsilat'!$T$2:$T$3001,$Z$5,'Girdi — Faturalar ve tahsilat'!$S$2:$S$3001,"90+"))</f>
        <v/>
      </c>
      <c r="N62" s="21" t="str">
        <f aca="false">IF(F62="","",RANK(F62,$F$17:$F$216,0)+COUNTIF($F$17:F62,F62)-1)</f>
        <v/>
      </c>
    </row>
    <row r="63" customFormat="false" ht="15" hidden="false" customHeight="false" outlineLevel="0" collapsed="false">
      <c r="A63" s="16" t="str">
        <f aca="false">IFERROR(INDEX('Girdi — Faturalar ve tahsilat'!$C$2:$C$3001,MATCH(47,'Girdi — Faturalar ve tahsilat'!$U$2:$U$3001,0)),"")</f>
        <v/>
      </c>
      <c r="B63" s="16" t="str">
        <f aca="false">IF(A63="","",INDEX('Girdi — Faturalar ve tahsilat'!$D$2:$D$3001,MATCH(47,'Girdi — Faturalar ve tahsilat'!$U$2:$U$3001,0)))</f>
        <v/>
      </c>
      <c r="C63" s="13" t="str">
        <f aca="false">IF(A63="","",SUMIFS('Girdi — Faturalar ve tahsilat'!$F$2:$F$3001,'Girdi — Faturalar ve tahsilat'!$C$2:$C$3001,$A63,'Girdi — Faturalar ve tahsilat'!$T$2:$T$3001,$Z$5))</f>
        <v/>
      </c>
      <c r="D63" s="15" t="str">
        <f aca="false">IF(OR(A63="",N(C63)=0),"",SUMIFS('Girdi — Faturalar ve tahsilat'!$P$2:$P$3001,'Girdi — Faturalar ve tahsilat'!$C$2:$C$3001,$A63,'Girdi — Faturalar ve tahsilat'!$T$2:$T$3001,$Z$5)/C63)</f>
        <v/>
      </c>
      <c r="E63" s="15" t="str">
        <f aca="false">IF(OR(A63="",N(C63)=0),"",SUMIFS('Girdi — Faturalar ve tahsilat'!$Q$2:$Q$3001,'Girdi — Faturalar ve tahsilat'!$C$2:$C$3001,$A63,'Girdi — Faturalar ve tahsilat'!$T$2:$T$3001,$Z$5)/C63)</f>
        <v/>
      </c>
      <c r="F63" s="20" t="str">
        <f aca="false">IF(D63="","",E63-D63)</f>
        <v/>
      </c>
      <c r="G63" s="13" t="str">
        <f aca="false">IF(F63="","",C63*$D$4*F63/365)</f>
        <v/>
      </c>
      <c r="H63" s="13" t="str">
        <f aca="false">IF(A63="","",SUMIFS('Girdi — Faturalar ve tahsilat'!$R$2:$R$3001,'Girdi — Faturalar ve tahsilat'!$C$2:$C$3001,$A63,'Girdi — Faturalar ve tahsilat'!$T$2:$T$3001,$Z$5))</f>
        <v/>
      </c>
      <c r="I63" s="13" t="str">
        <f aca="false">IF(A63="","",SUMIFS('Girdi — Faturalar ve tahsilat'!$R$2:$R$3001,'Girdi — Faturalar ve tahsilat'!$C$2:$C$3001,$A63,'Girdi — Faturalar ve tahsilat'!$T$2:$T$3001,$Z$5,'Girdi — Faturalar ve tahsilat'!$O$2:$O$3001,"&gt;0"))</f>
        <v/>
      </c>
      <c r="J63" s="13" t="str">
        <f aca="false">IF(A63="","",SUMIFS('Girdi — Faturalar ve tahsilat'!$R$2:$R$3001,'Girdi — Faturalar ve tahsilat'!$C$2:$C$3001,$A63,'Girdi — Faturalar ve tahsilat'!$T$2:$T$3001,$Z$5,'Girdi — Faturalar ve tahsilat'!$S$2:$S$3001,"1-30"))</f>
        <v/>
      </c>
      <c r="K63" s="13" t="str">
        <f aca="false">IF(A63="","",SUMIFS('Girdi — Faturalar ve tahsilat'!$R$2:$R$3001,'Girdi — Faturalar ve tahsilat'!$C$2:$C$3001,$A63,'Girdi — Faturalar ve tahsilat'!$T$2:$T$3001,$Z$5,'Girdi — Faturalar ve tahsilat'!$S$2:$S$3001,"31-60"))</f>
        <v/>
      </c>
      <c r="L63" s="13" t="str">
        <f aca="false">IF(A63="","",SUMIFS('Girdi — Faturalar ve tahsilat'!$R$2:$R$3001,'Girdi — Faturalar ve tahsilat'!$C$2:$C$3001,$A63,'Girdi — Faturalar ve tahsilat'!$T$2:$T$3001,$Z$5,'Girdi — Faturalar ve tahsilat'!$S$2:$S$3001,"61-90"))</f>
        <v/>
      </c>
      <c r="M63" s="13" t="str">
        <f aca="false">IF(A63="","",SUMIFS('Girdi — Faturalar ve tahsilat'!$R$2:$R$3001,'Girdi — Faturalar ve tahsilat'!$C$2:$C$3001,$A63,'Girdi — Faturalar ve tahsilat'!$T$2:$T$3001,$Z$5,'Girdi — Faturalar ve tahsilat'!$S$2:$S$3001,"90+"))</f>
        <v/>
      </c>
      <c r="N63" s="21" t="str">
        <f aca="false">IF(F63="","",RANK(F63,$F$17:$F$216,0)+COUNTIF($F$17:F63,F63)-1)</f>
        <v/>
      </c>
    </row>
    <row r="64" customFormat="false" ht="15" hidden="false" customHeight="false" outlineLevel="0" collapsed="false">
      <c r="A64" s="16" t="str">
        <f aca="false">IFERROR(INDEX('Girdi — Faturalar ve tahsilat'!$C$2:$C$3001,MATCH(48,'Girdi — Faturalar ve tahsilat'!$U$2:$U$3001,0)),"")</f>
        <v/>
      </c>
      <c r="B64" s="16" t="str">
        <f aca="false">IF(A64="","",INDEX('Girdi — Faturalar ve tahsilat'!$D$2:$D$3001,MATCH(48,'Girdi — Faturalar ve tahsilat'!$U$2:$U$3001,0)))</f>
        <v/>
      </c>
      <c r="C64" s="13" t="str">
        <f aca="false">IF(A64="","",SUMIFS('Girdi — Faturalar ve tahsilat'!$F$2:$F$3001,'Girdi — Faturalar ve tahsilat'!$C$2:$C$3001,$A64,'Girdi — Faturalar ve tahsilat'!$T$2:$T$3001,$Z$5))</f>
        <v/>
      </c>
      <c r="D64" s="15" t="str">
        <f aca="false">IF(OR(A64="",N(C64)=0),"",SUMIFS('Girdi — Faturalar ve tahsilat'!$P$2:$P$3001,'Girdi — Faturalar ve tahsilat'!$C$2:$C$3001,$A64,'Girdi — Faturalar ve tahsilat'!$T$2:$T$3001,$Z$5)/C64)</f>
        <v/>
      </c>
      <c r="E64" s="15" t="str">
        <f aca="false">IF(OR(A64="",N(C64)=0),"",SUMIFS('Girdi — Faturalar ve tahsilat'!$Q$2:$Q$3001,'Girdi — Faturalar ve tahsilat'!$C$2:$C$3001,$A64,'Girdi — Faturalar ve tahsilat'!$T$2:$T$3001,$Z$5)/C64)</f>
        <v/>
      </c>
      <c r="F64" s="20" t="str">
        <f aca="false">IF(D64="","",E64-D64)</f>
        <v/>
      </c>
      <c r="G64" s="13" t="str">
        <f aca="false">IF(F64="","",C64*$D$4*F64/365)</f>
        <v/>
      </c>
      <c r="H64" s="13" t="str">
        <f aca="false">IF(A64="","",SUMIFS('Girdi — Faturalar ve tahsilat'!$R$2:$R$3001,'Girdi — Faturalar ve tahsilat'!$C$2:$C$3001,$A64,'Girdi — Faturalar ve tahsilat'!$T$2:$T$3001,$Z$5))</f>
        <v/>
      </c>
      <c r="I64" s="13" t="str">
        <f aca="false">IF(A64="","",SUMIFS('Girdi — Faturalar ve tahsilat'!$R$2:$R$3001,'Girdi — Faturalar ve tahsilat'!$C$2:$C$3001,$A64,'Girdi — Faturalar ve tahsilat'!$T$2:$T$3001,$Z$5,'Girdi — Faturalar ve tahsilat'!$O$2:$O$3001,"&gt;0"))</f>
        <v/>
      </c>
      <c r="J64" s="13" t="str">
        <f aca="false">IF(A64="","",SUMIFS('Girdi — Faturalar ve tahsilat'!$R$2:$R$3001,'Girdi — Faturalar ve tahsilat'!$C$2:$C$3001,$A64,'Girdi — Faturalar ve tahsilat'!$T$2:$T$3001,$Z$5,'Girdi — Faturalar ve tahsilat'!$S$2:$S$3001,"1-30"))</f>
        <v/>
      </c>
      <c r="K64" s="13" t="str">
        <f aca="false">IF(A64="","",SUMIFS('Girdi — Faturalar ve tahsilat'!$R$2:$R$3001,'Girdi — Faturalar ve tahsilat'!$C$2:$C$3001,$A64,'Girdi — Faturalar ve tahsilat'!$T$2:$T$3001,$Z$5,'Girdi — Faturalar ve tahsilat'!$S$2:$S$3001,"31-60"))</f>
        <v/>
      </c>
      <c r="L64" s="13" t="str">
        <f aca="false">IF(A64="","",SUMIFS('Girdi — Faturalar ve tahsilat'!$R$2:$R$3001,'Girdi — Faturalar ve tahsilat'!$C$2:$C$3001,$A64,'Girdi — Faturalar ve tahsilat'!$T$2:$T$3001,$Z$5,'Girdi — Faturalar ve tahsilat'!$S$2:$S$3001,"61-90"))</f>
        <v/>
      </c>
      <c r="M64" s="13" t="str">
        <f aca="false">IF(A64="","",SUMIFS('Girdi — Faturalar ve tahsilat'!$R$2:$R$3001,'Girdi — Faturalar ve tahsilat'!$C$2:$C$3001,$A64,'Girdi — Faturalar ve tahsilat'!$T$2:$T$3001,$Z$5,'Girdi — Faturalar ve tahsilat'!$S$2:$S$3001,"90+"))</f>
        <v/>
      </c>
      <c r="N64" s="21" t="str">
        <f aca="false">IF(F64="","",RANK(F64,$F$17:$F$216,0)+COUNTIF($F$17:F64,F64)-1)</f>
        <v/>
      </c>
    </row>
    <row r="65" customFormat="false" ht="15" hidden="false" customHeight="false" outlineLevel="0" collapsed="false">
      <c r="A65" s="16" t="str">
        <f aca="false">IFERROR(INDEX('Girdi — Faturalar ve tahsilat'!$C$2:$C$3001,MATCH(49,'Girdi — Faturalar ve tahsilat'!$U$2:$U$3001,0)),"")</f>
        <v/>
      </c>
      <c r="B65" s="16" t="str">
        <f aca="false">IF(A65="","",INDEX('Girdi — Faturalar ve tahsilat'!$D$2:$D$3001,MATCH(49,'Girdi — Faturalar ve tahsilat'!$U$2:$U$3001,0)))</f>
        <v/>
      </c>
      <c r="C65" s="13" t="str">
        <f aca="false">IF(A65="","",SUMIFS('Girdi — Faturalar ve tahsilat'!$F$2:$F$3001,'Girdi — Faturalar ve tahsilat'!$C$2:$C$3001,$A65,'Girdi — Faturalar ve tahsilat'!$T$2:$T$3001,$Z$5))</f>
        <v/>
      </c>
      <c r="D65" s="15" t="str">
        <f aca="false">IF(OR(A65="",N(C65)=0),"",SUMIFS('Girdi — Faturalar ve tahsilat'!$P$2:$P$3001,'Girdi — Faturalar ve tahsilat'!$C$2:$C$3001,$A65,'Girdi — Faturalar ve tahsilat'!$T$2:$T$3001,$Z$5)/C65)</f>
        <v/>
      </c>
      <c r="E65" s="15" t="str">
        <f aca="false">IF(OR(A65="",N(C65)=0),"",SUMIFS('Girdi — Faturalar ve tahsilat'!$Q$2:$Q$3001,'Girdi — Faturalar ve tahsilat'!$C$2:$C$3001,$A65,'Girdi — Faturalar ve tahsilat'!$T$2:$T$3001,$Z$5)/C65)</f>
        <v/>
      </c>
      <c r="F65" s="20" t="str">
        <f aca="false">IF(D65="","",E65-D65)</f>
        <v/>
      </c>
      <c r="G65" s="13" t="str">
        <f aca="false">IF(F65="","",C65*$D$4*F65/365)</f>
        <v/>
      </c>
      <c r="H65" s="13" t="str">
        <f aca="false">IF(A65="","",SUMIFS('Girdi — Faturalar ve tahsilat'!$R$2:$R$3001,'Girdi — Faturalar ve tahsilat'!$C$2:$C$3001,$A65,'Girdi — Faturalar ve tahsilat'!$T$2:$T$3001,$Z$5))</f>
        <v/>
      </c>
      <c r="I65" s="13" t="str">
        <f aca="false">IF(A65="","",SUMIFS('Girdi — Faturalar ve tahsilat'!$R$2:$R$3001,'Girdi — Faturalar ve tahsilat'!$C$2:$C$3001,$A65,'Girdi — Faturalar ve tahsilat'!$T$2:$T$3001,$Z$5,'Girdi — Faturalar ve tahsilat'!$O$2:$O$3001,"&gt;0"))</f>
        <v/>
      </c>
      <c r="J65" s="13" t="str">
        <f aca="false">IF(A65="","",SUMIFS('Girdi — Faturalar ve tahsilat'!$R$2:$R$3001,'Girdi — Faturalar ve tahsilat'!$C$2:$C$3001,$A65,'Girdi — Faturalar ve tahsilat'!$T$2:$T$3001,$Z$5,'Girdi — Faturalar ve tahsilat'!$S$2:$S$3001,"1-30"))</f>
        <v/>
      </c>
      <c r="K65" s="13" t="str">
        <f aca="false">IF(A65="","",SUMIFS('Girdi — Faturalar ve tahsilat'!$R$2:$R$3001,'Girdi — Faturalar ve tahsilat'!$C$2:$C$3001,$A65,'Girdi — Faturalar ve tahsilat'!$T$2:$T$3001,$Z$5,'Girdi — Faturalar ve tahsilat'!$S$2:$S$3001,"31-60"))</f>
        <v/>
      </c>
      <c r="L65" s="13" t="str">
        <f aca="false">IF(A65="","",SUMIFS('Girdi — Faturalar ve tahsilat'!$R$2:$R$3001,'Girdi — Faturalar ve tahsilat'!$C$2:$C$3001,$A65,'Girdi — Faturalar ve tahsilat'!$T$2:$T$3001,$Z$5,'Girdi — Faturalar ve tahsilat'!$S$2:$S$3001,"61-90"))</f>
        <v/>
      </c>
      <c r="M65" s="13" t="str">
        <f aca="false">IF(A65="","",SUMIFS('Girdi — Faturalar ve tahsilat'!$R$2:$R$3001,'Girdi — Faturalar ve tahsilat'!$C$2:$C$3001,$A65,'Girdi — Faturalar ve tahsilat'!$T$2:$T$3001,$Z$5,'Girdi — Faturalar ve tahsilat'!$S$2:$S$3001,"90+"))</f>
        <v/>
      </c>
      <c r="N65" s="21" t="str">
        <f aca="false">IF(F65="","",RANK(F65,$F$17:$F$216,0)+COUNTIF($F$17:F65,F65)-1)</f>
        <v/>
      </c>
    </row>
    <row r="66" customFormat="false" ht="15" hidden="false" customHeight="false" outlineLevel="0" collapsed="false">
      <c r="A66" s="16" t="str">
        <f aca="false">IFERROR(INDEX('Girdi — Faturalar ve tahsilat'!$C$2:$C$3001,MATCH(50,'Girdi — Faturalar ve tahsilat'!$U$2:$U$3001,0)),"")</f>
        <v/>
      </c>
      <c r="B66" s="16" t="str">
        <f aca="false">IF(A66="","",INDEX('Girdi — Faturalar ve tahsilat'!$D$2:$D$3001,MATCH(50,'Girdi — Faturalar ve tahsilat'!$U$2:$U$3001,0)))</f>
        <v/>
      </c>
      <c r="C66" s="13" t="str">
        <f aca="false">IF(A66="","",SUMIFS('Girdi — Faturalar ve tahsilat'!$F$2:$F$3001,'Girdi — Faturalar ve tahsilat'!$C$2:$C$3001,$A66,'Girdi — Faturalar ve tahsilat'!$T$2:$T$3001,$Z$5))</f>
        <v/>
      </c>
      <c r="D66" s="15" t="str">
        <f aca="false">IF(OR(A66="",N(C66)=0),"",SUMIFS('Girdi — Faturalar ve tahsilat'!$P$2:$P$3001,'Girdi — Faturalar ve tahsilat'!$C$2:$C$3001,$A66,'Girdi — Faturalar ve tahsilat'!$T$2:$T$3001,$Z$5)/C66)</f>
        <v/>
      </c>
      <c r="E66" s="15" t="str">
        <f aca="false">IF(OR(A66="",N(C66)=0),"",SUMIFS('Girdi — Faturalar ve tahsilat'!$Q$2:$Q$3001,'Girdi — Faturalar ve tahsilat'!$C$2:$C$3001,$A66,'Girdi — Faturalar ve tahsilat'!$T$2:$T$3001,$Z$5)/C66)</f>
        <v/>
      </c>
      <c r="F66" s="20" t="str">
        <f aca="false">IF(D66="","",E66-D66)</f>
        <v/>
      </c>
      <c r="G66" s="13" t="str">
        <f aca="false">IF(F66="","",C66*$D$4*F66/365)</f>
        <v/>
      </c>
      <c r="H66" s="13" t="str">
        <f aca="false">IF(A66="","",SUMIFS('Girdi — Faturalar ve tahsilat'!$R$2:$R$3001,'Girdi — Faturalar ve tahsilat'!$C$2:$C$3001,$A66,'Girdi — Faturalar ve tahsilat'!$T$2:$T$3001,$Z$5))</f>
        <v/>
      </c>
      <c r="I66" s="13" t="str">
        <f aca="false">IF(A66="","",SUMIFS('Girdi — Faturalar ve tahsilat'!$R$2:$R$3001,'Girdi — Faturalar ve tahsilat'!$C$2:$C$3001,$A66,'Girdi — Faturalar ve tahsilat'!$T$2:$T$3001,$Z$5,'Girdi — Faturalar ve tahsilat'!$O$2:$O$3001,"&gt;0"))</f>
        <v/>
      </c>
      <c r="J66" s="13" t="str">
        <f aca="false">IF(A66="","",SUMIFS('Girdi — Faturalar ve tahsilat'!$R$2:$R$3001,'Girdi — Faturalar ve tahsilat'!$C$2:$C$3001,$A66,'Girdi — Faturalar ve tahsilat'!$T$2:$T$3001,$Z$5,'Girdi — Faturalar ve tahsilat'!$S$2:$S$3001,"1-30"))</f>
        <v/>
      </c>
      <c r="K66" s="13" t="str">
        <f aca="false">IF(A66="","",SUMIFS('Girdi — Faturalar ve tahsilat'!$R$2:$R$3001,'Girdi — Faturalar ve tahsilat'!$C$2:$C$3001,$A66,'Girdi — Faturalar ve tahsilat'!$T$2:$T$3001,$Z$5,'Girdi — Faturalar ve tahsilat'!$S$2:$S$3001,"31-60"))</f>
        <v/>
      </c>
      <c r="L66" s="13" t="str">
        <f aca="false">IF(A66="","",SUMIFS('Girdi — Faturalar ve tahsilat'!$R$2:$R$3001,'Girdi — Faturalar ve tahsilat'!$C$2:$C$3001,$A66,'Girdi — Faturalar ve tahsilat'!$T$2:$T$3001,$Z$5,'Girdi — Faturalar ve tahsilat'!$S$2:$S$3001,"61-90"))</f>
        <v/>
      </c>
      <c r="M66" s="13" t="str">
        <f aca="false">IF(A66="","",SUMIFS('Girdi — Faturalar ve tahsilat'!$R$2:$R$3001,'Girdi — Faturalar ve tahsilat'!$C$2:$C$3001,$A66,'Girdi — Faturalar ve tahsilat'!$T$2:$T$3001,$Z$5,'Girdi — Faturalar ve tahsilat'!$S$2:$S$3001,"90+"))</f>
        <v/>
      </c>
      <c r="N66" s="21" t="str">
        <f aca="false">IF(F66="","",RANK(F66,$F$17:$F$216,0)+COUNTIF($F$17:F66,F66)-1)</f>
        <v/>
      </c>
    </row>
    <row r="67" customFormat="false" ht="15" hidden="false" customHeight="false" outlineLevel="0" collapsed="false">
      <c r="A67" s="16" t="str">
        <f aca="false">IFERROR(INDEX('Girdi — Faturalar ve tahsilat'!$C$2:$C$3001,MATCH(51,'Girdi — Faturalar ve tahsilat'!$U$2:$U$3001,0)),"")</f>
        <v/>
      </c>
      <c r="B67" s="16" t="str">
        <f aca="false">IF(A67="","",INDEX('Girdi — Faturalar ve tahsilat'!$D$2:$D$3001,MATCH(51,'Girdi — Faturalar ve tahsilat'!$U$2:$U$3001,0)))</f>
        <v/>
      </c>
      <c r="C67" s="13" t="str">
        <f aca="false">IF(A67="","",SUMIFS('Girdi — Faturalar ve tahsilat'!$F$2:$F$3001,'Girdi — Faturalar ve tahsilat'!$C$2:$C$3001,$A67,'Girdi — Faturalar ve tahsilat'!$T$2:$T$3001,$Z$5))</f>
        <v/>
      </c>
      <c r="D67" s="15" t="str">
        <f aca="false">IF(OR(A67="",N(C67)=0),"",SUMIFS('Girdi — Faturalar ve tahsilat'!$P$2:$P$3001,'Girdi — Faturalar ve tahsilat'!$C$2:$C$3001,$A67,'Girdi — Faturalar ve tahsilat'!$T$2:$T$3001,$Z$5)/C67)</f>
        <v/>
      </c>
      <c r="E67" s="15" t="str">
        <f aca="false">IF(OR(A67="",N(C67)=0),"",SUMIFS('Girdi — Faturalar ve tahsilat'!$Q$2:$Q$3001,'Girdi — Faturalar ve tahsilat'!$C$2:$C$3001,$A67,'Girdi — Faturalar ve tahsilat'!$T$2:$T$3001,$Z$5)/C67)</f>
        <v/>
      </c>
      <c r="F67" s="20" t="str">
        <f aca="false">IF(D67="","",E67-D67)</f>
        <v/>
      </c>
      <c r="G67" s="13" t="str">
        <f aca="false">IF(F67="","",C67*$D$4*F67/365)</f>
        <v/>
      </c>
      <c r="H67" s="13" t="str">
        <f aca="false">IF(A67="","",SUMIFS('Girdi — Faturalar ve tahsilat'!$R$2:$R$3001,'Girdi — Faturalar ve tahsilat'!$C$2:$C$3001,$A67,'Girdi — Faturalar ve tahsilat'!$T$2:$T$3001,$Z$5))</f>
        <v/>
      </c>
      <c r="I67" s="13" t="str">
        <f aca="false">IF(A67="","",SUMIFS('Girdi — Faturalar ve tahsilat'!$R$2:$R$3001,'Girdi — Faturalar ve tahsilat'!$C$2:$C$3001,$A67,'Girdi — Faturalar ve tahsilat'!$T$2:$T$3001,$Z$5,'Girdi — Faturalar ve tahsilat'!$O$2:$O$3001,"&gt;0"))</f>
        <v/>
      </c>
      <c r="J67" s="13" t="str">
        <f aca="false">IF(A67="","",SUMIFS('Girdi — Faturalar ve tahsilat'!$R$2:$R$3001,'Girdi — Faturalar ve tahsilat'!$C$2:$C$3001,$A67,'Girdi — Faturalar ve tahsilat'!$T$2:$T$3001,$Z$5,'Girdi — Faturalar ve tahsilat'!$S$2:$S$3001,"1-30"))</f>
        <v/>
      </c>
      <c r="K67" s="13" t="str">
        <f aca="false">IF(A67="","",SUMIFS('Girdi — Faturalar ve tahsilat'!$R$2:$R$3001,'Girdi — Faturalar ve tahsilat'!$C$2:$C$3001,$A67,'Girdi — Faturalar ve tahsilat'!$T$2:$T$3001,$Z$5,'Girdi — Faturalar ve tahsilat'!$S$2:$S$3001,"31-60"))</f>
        <v/>
      </c>
      <c r="L67" s="13" t="str">
        <f aca="false">IF(A67="","",SUMIFS('Girdi — Faturalar ve tahsilat'!$R$2:$R$3001,'Girdi — Faturalar ve tahsilat'!$C$2:$C$3001,$A67,'Girdi — Faturalar ve tahsilat'!$T$2:$T$3001,$Z$5,'Girdi — Faturalar ve tahsilat'!$S$2:$S$3001,"61-90"))</f>
        <v/>
      </c>
      <c r="M67" s="13" t="str">
        <f aca="false">IF(A67="","",SUMIFS('Girdi — Faturalar ve tahsilat'!$R$2:$R$3001,'Girdi — Faturalar ve tahsilat'!$C$2:$C$3001,$A67,'Girdi — Faturalar ve tahsilat'!$T$2:$T$3001,$Z$5,'Girdi — Faturalar ve tahsilat'!$S$2:$S$3001,"90+"))</f>
        <v/>
      </c>
      <c r="N67" s="21" t="str">
        <f aca="false">IF(F67="","",RANK(F67,$F$17:$F$216,0)+COUNTIF($F$17:F67,F67)-1)</f>
        <v/>
      </c>
    </row>
    <row r="68" customFormat="false" ht="15" hidden="false" customHeight="false" outlineLevel="0" collapsed="false">
      <c r="A68" s="16" t="str">
        <f aca="false">IFERROR(INDEX('Girdi — Faturalar ve tahsilat'!$C$2:$C$3001,MATCH(52,'Girdi — Faturalar ve tahsilat'!$U$2:$U$3001,0)),"")</f>
        <v/>
      </c>
      <c r="B68" s="16" t="str">
        <f aca="false">IF(A68="","",INDEX('Girdi — Faturalar ve tahsilat'!$D$2:$D$3001,MATCH(52,'Girdi — Faturalar ve tahsilat'!$U$2:$U$3001,0)))</f>
        <v/>
      </c>
      <c r="C68" s="13" t="str">
        <f aca="false">IF(A68="","",SUMIFS('Girdi — Faturalar ve tahsilat'!$F$2:$F$3001,'Girdi — Faturalar ve tahsilat'!$C$2:$C$3001,$A68,'Girdi — Faturalar ve tahsilat'!$T$2:$T$3001,$Z$5))</f>
        <v/>
      </c>
      <c r="D68" s="15" t="str">
        <f aca="false">IF(OR(A68="",N(C68)=0),"",SUMIFS('Girdi — Faturalar ve tahsilat'!$P$2:$P$3001,'Girdi — Faturalar ve tahsilat'!$C$2:$C$3001,$A68,'Girdi — Faturalar ve tahsilat'!$T$2:$T$3001,$Z$5)/C68)</f>
        <v/>
      </c>
      <c r="E68" s="15" t="str">
        <f aca="false">IF(OR(A68="",N(C68)=0),"",SUMIFS('Girdi — Faturalar ve tahsilat'!$Q$2:$Q$3001,'Girdi — Faturalar ve tahsilat'!$C$2:$C$3001,$A68,'Girdi — Faturalar ve tahsilat'!$T$2:$T$3001,$Z$5)/C68)</f>
        <v/>
      </c>
      <c r="F68" s="20" t="str">
        <f aca="false">IF(D68="","",E68-D68)</f>
        <v/>
      </c>
      <c r="G68" s="13" t="str">
        <f aca="false">IF(F68="","",C68*$D$4*F68/365)</f>
        <v/>
      </c>
      <c r="H68" s="13" t="str">
        <f aca="false">IF(A68="","",SUMIFS('Girdi — Faturalar ve tahsilat'!$R$2:$R$3001,'Girdi — Faturalar ve tahsilat'!$C$2:$C$3001,$A68,'Girdi — Faturalar ve tahsilat'!$T$2:$T$3001,$Z$5))</f>
        <v/>
      </c>
      <c r="I68" s="13" t="str">
        <f aca="false">IF(A68="","",SUMIFS('Girdi — Faturalar ve tahsilat'!$R$2:$R$3001,'Girdi — Faturalar ve tahsilat'!$C$2:$C$3001,$A68,'Girdi — Faturalar ve tahsilat'!$T$2:$T$3001,$Z$5,'Girdi — Faturalar ve tahsilat'!$O$2:$O$3001,"&gt;0"))</f>
        <v/>
      </c>
      <c r="J68" s="13" t="str">
        <f aca="false">IF(A68="","",SUMIFS('Girdi — Faturalar ve tahsilat'!$R$2:$R$3001,'Girdi — Faturalar ve tahsilat'!$C$2:$C$3001,$A68,'Girdi — Faturalar ve tahsilat'!$T$2:$T$3001,$Z$5,'Girdi — Faturalar ve tahsilat'!$S$2:$S$3001,"1-30"))</f>
        <v/>
      </c>
      <c r="K68" s="13" t="str">
        <f aca="false">IF(A68="","",SUMIFS('Girdi — Faturalar ve tahsilat'!$R$2:$R$3001,'Girdi — Faturalar ve tahsilat'!$C$2:$C$3001,$A68,'Girdi — Faturalar ve tahsilat'!$T$2:$T$3001,$Z$5,'Girdi — Faturalar ve tahsilat'!$S$2:$S$3001,"31-60"))</f>
        <v/>
      </c>
      <c r="L68" s="13" t="str">
        <f aca="false">IF(A68="","",SUMIFS('Girdi — Faturalar ve tahsilat'!$R$2:$R$3001,'Girdi — Faturalar ve tahsilat'!$C$2:$C$3001,$A68,'Girdi — Faturalar ve tahsilat'!$T$2:$T$3001,$Z$5,'Girdi — Faturalar ve tahsilat'!$S$2:$S$3001,"61-90"))</f>
        <v/>
      </c>
      <c r="M68" s="13" t="str">
        <f aca="false">IF(A68="","",SUMIFS('Girdi — Faturalar ve tahsilat'!$R$2:$R$3001,'Girdi — Faturalar ve tahsilat'!$C$2:$C$3001,$A68,'Girdi — Faturalar ve tahsilat'!$T$2:$T$3001,$Z$5,'Girdi — Faturalar ve tahsilat'!$S$2:$S$3001,"90+"))</f>
        <v/>
      </c>
      <c r="N68" s="21" t="str">
        <f aca="false">IF(F68="","",RANK(F68,$F$17:$F$216,0)+COUNTIF($F$17:F68,F68)-1)</f>
        <v/>
      </c>
    </row>
    <row r="69" customFormat="false" ht="15" hidden="false" customHeight="false" outlineLevel="0" collapsed="false">
      <c r="A69" s="16" t="str">
        <f aca="false">IFERROR(INDEX('Girdi — Faturalar ve tahsilat'!$C$2:$C$3001,MATCH(53,'Girdi — Faturalar ve tahsilat'!$U$2:$U$3001,0)),"")</f>
        <v/>
      </c>
      <c r="B69" s="16" t="str">
        <f aca="false">IF(A69="","",INDEX('Girdi — Faturalar ve tahsilat'!$D$2:$D$3001,MATCH(53,'Girdi — Faturalar ve tahsilat'!$U$2:$U$3001,0)))</f>
        <v/>
      </c>
      <c r="C69" s="13" t="str">
        <f aca="false">IF(A69="","",SUMIFS('Girdi — Faturalar ve tahsilat'!$F$2:$F$3001,'Girdi — Faturalar ve tahsilat'!$C$2:$C$3001,$A69,'Girdi — Faturalar ve tahsilat'!$T$2:$T$3001,$Z$5))</f>
        <v/>
      </c>
      <c r="D69" s="15" t="str">
        <f aca="false">IF(OR(A69="",N(C69)=0),"",SUMIFS('Girdi — Faturalar ve tahsilat'!$P$2:$P$3001,'Girdi — Faturalar ve tahsilat'!$C$2:$C$3001,$A69,'Girdi — Faturalar ve tahsilat'!$T$2:$T$3001,$Z$5)/C69)</f>
        <v/>
      </c>
      <c r="E69" s="15" t="str">
        <f aca="false">IF(OR(A69="",N(C69)=0),"",SUMIFS('Girdi — Faturalar ve tahsilat'!$Q$2:$Q$3001,'Girdi — Faturalar ve tahsilat'!$C$2:$C$3001,$A69,'Girdi — Faturalar ve tahsilat'!$T$2:$T$3001,$Z$5)/C69)</f>
        <v/>
      </c>
      <c r="F69" s="20" t="str">
        <f aca="false">IF(D69="","",E69-D69)</f>
        <v/>
      </c>
      <c r="G69" s="13" t="str">
        <f aca="false">IF(F69="","",C69*$D$4*F69/365)</f>
        <v/>
      </c>
      <c r="H69" s="13" t="str">
        <f aca="false">IF(A69="","",SUMIFS('Girdi — Faturalar ve tahsilat'!$R$2:$R$3001,'Girdi — Faturalar ve tahsilat'!$C$2:$C$3001,$A69,'Girdi — Faturalar ve tahsilat'!$T$2:$T$3001,$Z$5))</f>
        <v/>
      </c>
      <c r="I69" s="13" t="str">
        <f aca="false">IF(A69="","",SUMIFS('Girdi — Faturalar ve tahsilat'!$R$2:$R$3001,'Girdi — Faturalar ve tahsilat'!$C$2:$C$3001,$A69,'Girdi — Faturalar ve tahsilat'!$T$2:$T$3001,$Z$5,'Girdi — Faturalar ve tahsilat'!$O$2:$O$3001,"&gt;0"))</f>
        <v/>
      </c>
      <c r="J69" s="13" t="str">
        <f aca="false">IF(A69="","",SUMIFS('Girdi — Faturalar ve tahsilat'!$R$2:$R$3001,'Girdi — Faturalar ve tahsilat'!$C$2:$C$3001,$A69,'Girdi — Faturalar ve tahsilat'!$T$2:$T$3001,$Z$5,'Girdi — Faturalar ve tahsilat'!$S$2:$S$3001,"1-30"))</f>
        <v/>
      </c>
      <c r="K69" s="13" t="str">
        <f aca="false">IF(A69="","",SUMIFS('Girdi — Faturalar ve tahsilat'!$R$2:$R$3001,'Girdi — Faturalar ve tahsilat'!$C$2:$C$3001,$A69,'Girdi — Faturalar ve tahsilat'!$T$2:$T$3001,$Z$5,'Girdi — Faturalar ve tahsilat'!$S$2:$S$3001,"31-60"))</f>
        <v/>
      </c>
      <c r="L69" s="13" t="str">
        <f aca="false">IF(A69="","",SUMIFS('Girdi — Faturalar ve tahsilat'!$R$2:$R$3001,'Girdi — Faturalar ve tahsilat'!$C$2:$C$3001,$A69,'Girdi — Faturalar ve tahsilat'!$T$2:$T$3001,$Z$5,'Girdi — Faturalar ve tahsilat'!$S$2:$S$3001,"61-90"))</f>
        <v/>
      </c>
      <c r="M69" s="13" t="str">
        <f aca="false">IF(A69="","",SUMIFS('Girdi — Faturalar ve tahsilat'!$R$2:$R$3001,'Girdi — Faturalar ve tahsilat'!$C$2:$C$3001,$A69,'Girdi — Faturalar ve tahsilat'!$T$2:$T$3001,$Z$5,'Girdi — Faturalar ve tahsilat'!$S$2:$S$3001,"90+"))</f>
        <v/>
      </c>
      <c r="N69" s="21" t="str">
        <f aca="false">IF(F69="","",RANK(F69,$F$17:$F$216,0)+COUNTIF($F$17:F69,F69)-1)</f>
        <v/>
      </c>
    </row>
    <row r="70" customFormat="false" ht="15" hidden="false" customHeight="false" outlineLevel="0" collapsed="false">
      <c r="A70" s="16" t="str">
        <f aca="false">IFERROR(INDEX('Girdi — Faturalar ve tahsilat'!$C$2:$C$3001,MATCH(54,'Girdi — Faturalar ve tahsilat'!$U$2:$U$3001,0)),"")</f>
        <v/>
      </c>
      <c r="B70" s="16" t="str">
        <f aca="false">IF(A70="","",INDEX('Girdi — Faturalar ve tahsilat'!$D$2:$D$3001,MATCH(54,'Girdi — Faturalar ve tahsilat'!$U$2:$U$3001,0)))</f>
        <v/>
      </c>
      <c r="C70" s="13" t="str">
        <f aca="false">IF(A70="","",SUMIFS('Girdi — Faturalar ve tahsilat'!$F$2:$F$3001,'Girdi — Faturalar ve tahsilat'!$C$2:$C$3001,$A70,'Girdi — Faturalar ve tahsilat'!$T$2:$T$3001,$Z$5))</f>
        <v/>
      </c>
      <c r="D70" s="15" t="str">
        <f aca="false">IF(OR(A70="",N(C70)=0),"",SUMIFS('Girdi — Faturalar ve tahsilat'!$P$2:$P$3001,'Girdi — Faturalar ve tahsilat'!$C$2:$C$3001,$A70,'Girdi — Faturalar ve tahsilat'!$T$2:$T$3001,$Z$5)/C70)</f>
        <v/>
      </c>
      <c r="E70" s="15" t="str">
        <f aca="false">IF(OR(A70="",N(C70)=0),"",SUMIFS('Girdi — Faturalar ve tahsilat'!$Q$2:$Q$3001,'Girdi — Faturalar ve tahsilat'!$C$2:$C$3001,$A70,'Girdi — Faturalar ve tahsilat'!$T$2:$T$3001,$Z$5)/C70)</f>
        <v/>
      </c>
      <c r="F70" s="20" t="str">
        <f aca="false">IF(D70="","",E70-D70)</f>
        <v/>
      </c>
      <c r="G70" s="13" t="str">
        <f aca="false">IF(F70="","",C70*$D$4*F70/365)</f>
        <v/>
      </c>
      <c r="H70" s="13" t="str">
        <f aca="false">IF(A70="","",SUMIFS('Girdi — Faturalar ve tahsilat'!$R$2:$R$3001,'Girdi — Faturalar ve tahsilat'!$C$2:$C$3001,$A70,'Girdi — Faturalar ve tahsilat'!$T$2:$T$3001,$Z$5))</f>
        <v/>
      </c>
      <c r="I70" s="13" t="str">
        <f aca="false">IF(A70="","",SUMIFS('Girdi — Faturalar ve tahsilat'!$R$2:$R$3001,'Girdi — Faturalar ve tahsilat'!$C$2:$C$3001,$A70,'Girdi — Faturalar ve tahsilat'!$T$2:$T$3001,$Z$5,'Girdi — Faturalar ve tahsilat'!$O$2:$O$3001,"&gt;0"))</f>
        <v/>
      </c>
      <c r="J70" s="13" t="str">
        <f aca="false">IF(A70="","",SUMIFS('Girdi — Faturalar ve tahsilat'!$R$2:$R$3001,'Girdi — Faturalar ve tahsilat'!$C$2:$C$3001,$A70,'Girdi — Faturalar ve tahsilat'!$T$2:$T$3001,$Z$5,'Girdi — Faturalar ve tahsilat'!$S$2:$S$3001,"1-30"))</f>
        <v/>
      </c>
      <c r="K70" s="13" t="str">
        <f aca="false">IF(A70="","",SUMIFS('Girdi — Faturalar ve tahsilat'!$R$2:$R$3001,'Girdi — Faturalar ve tahsilat'!$C$2:$C$3001,$A70,'Girdi — Faturalar ve tahsilat'!$T$2:$T$3001,$Z$5,'Girdi — Faturalar ve tahsilat'!$S$2:$S$3001,"31-60"))</f>
        <v/>
      </c>
      <c r="L70" s="13" t="str">
        <f aca="false">IF(A70="","",SUMIFS('Girdi — Faturalar ve tahsilat'!$R$2:$R$3001,'Girdi — Faturalar ve tahsilat'!$C$2:$C$3001,$A70,'Girdi — Faturalar ve tahsilat'!$T$2:$T$3001,$Z$5,'Girdi — Faturalar ve tahsilat'!$S$2:$S$3001,"61-90"))</f>
        <v/>
      </c>
      <c r="M70" s="13" t="str">
        <f aca="false">IF(A70="","",SUMIFS('Girdi — Faturalar ve tahsilat'!$R$2:$R$3001,'Girdi — Faturalar ve tahsilat'!$C$2:$C$3001,$A70,'Girdi — Faturalar ve tahsilat'!$T$2:$T$3001,$Z$5,'Girdi — Faturalar ve tahsilat'!$S$2:$S$3001,"90+"))</f>
        <v/>
      </c>
      <c r="N70" s="21" t="str">
        <f aca="false">IF(F70="","",RANK(F70,$F$17:$F$216,0)+COUNTIF($F$17:F70,F70)-1)</f>
        <v/>
      </c>
    </row>
    <row r="71" customFormat="false" ht="15" hidden="false" customHeight="false" outlineLevel="0" collapsed="false">
      <c r="A71" s="16" t="str">
        <f aca="false">IFERROR(INDEX('Girdi — Faturalar ve tahsilat'!$C$2:$C$3001,MATCH(55,'Girdi — Faturalar ve tahsilat'!$U$2:$U$3001,0)),"")</f>
        <v/>
      </c>
      <c r="B71" s="16" t="str">
        <f aca="false">IF(A71="","",INDEX('Girdi — Faturalar ve tahsilat'!$D$2:$D$3001,MATCH(55,'Girdi — Faturalar ve tahsilat'!$U$2:$U$3001,0)))</f>
        <v/>
      </c>
      <c r="C71" s="13" t="str">
        <f aca="false">IF(A71="","",SUMIFS('Girdi — Faturalar ve tahsilat'!$F$2:$F$3001,'Girdi — Faturalar ve tahsilat'!$C$2:$C$3001,$A71,'Girdi — Faturalar ve tahsilat'!$T$2:$T$3001,$Z$5))</f>
        <v/>
      </c>
      <c r="D71" s="15" t="str">
        <f aca="false">IF(OR(A71="",N(C71)=0),"",SUMIFS('Girdi — Faturalar ve tahsilat'!$P$2:$P$3001,'Girdi — Faturalar ve tahsilat'!$C$2:$C$3001,$A71,'Girdi — Faturalar ve tahsilat'!$T$2:$T$3001,$Z$5)/C71)</f>
        <v/>
      </c>
      <c r="E71" s="15" t="str">
        <f aca="false">IF(OR(A71="",N(C71)=0),"",SUMIFS('Girdi — Faturalar ve tahsilat'!$Q$2:$Q$3001,'Girdi — Faturalar ve tahsilat'!$C$2:$C$3001,$A71,'Girdi — Faturalar ve tahsilat'!$T$2:$T$3001,$Z$5)/C71)</f>
        <v/>
      </c>
      <c r="F71" s="20" t="str">
        <f aca="false">IF(D71="","",E71-D71)</f>
        <v/>
      </c>
      <c r="G71" s="13" t="str">
        <f aca="false">IF(F71="","",C71*$D$4*F71/365)</f>
        <v/>
      </c>
      <c r="H71" s="13" t="str">
        <f aca="false">IF(A71="","",SUMIFS('Girdi — Faturalar ve tahsilat'!$R$2:$R$3001,'Girdi — Faturalar ve tahsilat'!$C$2:$C$3001,$A71,'Girdi — Faturalar ve tahsilat'!$T$2:$T$3001,$Z$5))</f>
        <v/>
      </c>
      <c r="I71" s="13" t="str">
        <f aca="false">IF(A71="","",SUMIFS('Girdi — Faturalar ve tahsilat'!$R$2:$R$3001,'Girdi — Faturalar ve tahsilat'!$C$2:$C$3001,$A71,'Girdi — Faturalar ve tahsilat'!$T$2:$T$3001,$Z$5,'Girdi — Faturalar ve tahsilat'!$O$2:$O$3001,"&gt;0"))</f>
        <v/>
      </c>
      <c r="J71" s="13" t="str">
        <f aca="false">IF(A71="","",SUMIFS('Girdi — Faturalar ve tahsilat'!$R$2:$R$3001,'Girdi — Faturalar ve tahsilat'!$C$2:$C$3001,$A71,'Girdi — Faturalar ve tahsilat'!$T$2:$T$3001,$Z$5,'Girdi — Faturalar ve tahsilat'!$S$2:$S$3001,"1-30"))</f>
        <v/>
      </c>
      <c r="K71" s="13" t="str">
        <f aca="false">IF(A71="","",SUMIFS('Girdi — Faturalar ve tahsilat'!$R$2:$R$3001,'Girdi — Faturalar ve tahsilat'!$C$2:$C$3001,$A71,'Girdi — Faturalar ve tahsilat'!$T$2:$T$3001,$Z$5,'Girdi — Faturalar ve tahsilat'!$S$2:$S$3001,"31-60"))</f>
        <v/>
      </c>
      <c r="L71" s="13" t="str">
        <f aca="false">IF(A71="","",SUMIFS('Girdi — Faturalar ve tahsilat'!$R$2:$R$3001,'Girdi — Faturalar ve tahsilat'!$C$2:$C$3001,$A71,'Girdi — Faturalar ve tahsilat'!$T$2:$T$3001,$Z$5,'Girdi — Faturalar ve tahsilat'!$S$2:$S$3001,"61-90"))</f>
        <v/>
      </c>
      <c r="M71" s="13" t="str">
        <f aca="false">IF(A71="","",SUMIFS('Girdi — Faturalar ve tahsilat'!$R$2:$R$3001,'Girdi — Faturalar ve tahsilat'!$C$2:$C$3001,$A71,'Girdi — Faturalar ve tahsilat'!$T$2:$T$3001,$Z$5,'Girdi — Faturalar ve tahsilat'!$S$2:$S$3001,"90+"))</f>
        <v/>
      </c>
      <c r="N71" s="21" t="str">
        <f aca="false">IF(F71="","",RANK(F71,$F$17:$F$216,0)+COUNTIF($F$17:F71,F71)-1)</f>
        <v/>
      </c>
    </row>
    <row r="72" customFormat="false" ht="15" hidden="false" customHeight="false" outlineLevel="0" collapsed="false">
      <c r="A72" s="16" t="str">
        <f aca="false">IFERROR(INDEX('Girdi — Faturalar ve tahsilat'!$C$2:$C$3001,MATCH(56,'Girdi — Faturalar ve tahsilat'!$U$2:$U$3001,0)),"")</f>
        <v/>
      </c>
      <c r="B72" s="16" t="str">
        <f aca="false">IF(A72="","",INDEX('Girdi — Faturalar ve tahsilat'!$D$2:$D$3001,MATCH(56,'Girdi — Faturalar ve tahsilat'!$U$2:$U$3001,0)))</f>
        <v/>
      </c>
      <c r="C72" s="13" t="str">
        <f aca="false">IF(A72="","",SUMIFS('Girdi — Faturalar ve tahsilat'!$F$2:$F$3001,'Girdi — Faturalar ve tahsilat'!$C$2:$C$3001,$A72,'Girdi — Faturalar ve tahsilat'!$T$2:$T$3001,$Z$5))</f>
        <v/>
      </c>
      <c r="D72" s="15" t="str">
        <f aca="false">IF(OR(A72="",N(C72)=0),"",SUMIFS('Girdi — Faturalar ve tahsilat'!$P$2:$P$3001,'Girdi — Faturalar ve tahsilat'!$C$2:$C$3001,$A72,'Girdi — Faturalar ve tahsilat'!$T$2:$T$3001,$Z$5)/C72)</f>
        <v/>
      </c>
      <c r="E72" s="15" t="str">
        <f aca="false">IF(OR(A72="",N(C72)=0),"",SUMIFS('Girdi — Faturalar ve tahsilat'!$Q$2:$Q$3001,'Girdi — Faturalar ve tahsilat'!$C$2:$C$3001,$A72,'Girdi — Faturalar ve tahsilat'!$T$2:$T$3001,$Z$5)/C72)</f>
        <v/>
      </c>
      <c r="F72" s="20" t="str">
        <f aca="false">IF(D72="","",E72-D72)</f>
        <v/>
      </c>
      <c r="G72" s="13" t="str">
        <f aca="false">IF(F72="","",C72*$D$4*F72/365)</f>
        <v/>
      </c>
      <c r="H72" s="13" t="str">
        <f aca="false">IF(A72="","",SUMIFS('Girdi — Faturalar ve tahsilat'!$R$2:$R$3001,'Girdi — Faturalar ve tahsilat'!$C$2:$C$3001,$A72,'Girdi — Faturalar ve tahsilat'!$T$2:$T$3001,$Z$5))</f>
        <v/>
      </c>
      <c r="I72" s="13" t="str">
        <f aca="false">IF(A72="","",SUMIFS('Girdi — Faturalar ve tahsilat'!$R$2:$R$3001,'Girdi — Faturalar ve tahsilat'!$C$2:$C$3001,$A72,'Girdi — Faturalar ve tahsilat'!$T$2:$T$3001,$Z$5,'Girdi — Faturalar ve tahsilat'!$O$2:$O$3001,"&gt;0"))</f>
        <v/>
      </c>
      <c r="J72" s="13" t="str">
        <f aca="false">IF(A72="","",SUMIFS('Girdi — Faturalar ve tahsilat'!$R$2:$R$3001,'Girdi — Faturalar ve tahsilat'!$C$2:$C$3001,$A72,'Girdi — Faturalar ve tahsilat'!$T$2:$T$3001,$Z$5,'Girdi — Faturalar ve tahsilat'!$S$2:$S$3001,"1-30"))</f>
        <v/>
      </c>
      <c r="K72" s="13" t="str">
        <f aca="false">IF(A72="","",SUMIFS('Girdi — Faturalar ve tahsilat'!$R$2:$R$3001,'Girdi — Faturalar ve tahsilat'!$C$2:$C$3001,$A72,'Girdi — Faturalar ve tahsilat'!$T$2:$T$3001,$Z$5,'Girdi — Faturalar ve tahsilat'!$S$2:$S$3001,"31-60"))</f>
        <v/>
      </c>
      <c r="L72" s="13" t="str">
        <f aca="false">IF(A72="","",SUMIFS('Girdi — Faturalar ve tahsilat'!$R$2:$R$3001,'Girdi — Faturalar ve tahsilat'!$C$2:$C$3001,$A72,'Girdi — Faturalar ve tahsilat'!$T$2:$T$3001,$Z$5,'Girdi — Faturalar ve tahsilat'!$S$2:$S$3001,"61-90"))</f>
        <v/>
      </c>
      <c r="M72" s="13" t="str">
        <f aca="false">IF(A72="","",SUMIFS('Girdi — Faturalar ve tahsilat'!$R$2:$R$3001,'Girdi — Faturalar ve tahsilat'!$C$2:$C$3001,$A72,'Girdi — Faturalar ve tahsilat'!$T$2:$T$3001,$Z$5,'Girdi — Faturalar ve tahsilat'!$S$2:$S$3001,"90+"))</f>
        <v/>
      </c>
      <c r="N72" s="21" t="str">
        <f aca="false">IF(F72="","",RANK(F72,$F$17:$F$216,0)+COUNTIF($F$17:F72,F72)-1)</f>
        <v/>
      </c>
    </row>
    <row r="73" customFormat="false" ht="15" hidden="false" customHeight="false" outlineLevel="0" collapsed="false">
      <c r="A73" s="16" t="str">
        <f aca="false">IFERROR(INDEX('Girdi — Faturalar ve tahsilat'!$C$2:$C$3001,MATCH(57,'Girdi — Faturalar ve tahsilat'!$U$2:$U$3001,0)),"")</f>
        <v/>
      </c>
      <c r="B73" s="16" t="str">
        <f aca="false">IF(A73="","",INDEX('Girdi — Faturalar ve tahsilat'!$D$2:$D$3001,MATCH(57,'Girdi — Faturalar ve tahsilat'!$U$2:$U$3001,0)))</f>
        <v/>
      </c>
      <c r="C73" s="13" t="str">
        <f aca="false">IF(A73="","",SUMIFS('Girdi — Faturalar ve tahsilat'!$F$2:$F$3001,'Girdi — Faturalar ve tahsilat'!$C$2:$C$3001,$A73,'Girdi — Faturalar ve tahsilat'!$T$2:$T$3001,$Z$5))</f>
        <v/>
      </c>
      <c r="D73" s="15" t="str">
        <f aca="false">IF(OR(A73="",N(C73)=0),"",SUMIFS('Girdi — Faturalar ve tahsilat'!$P$2:$P$3001,'Girdi — Faturalar ve tahsilat'!$C$2:$C$3001,$A73,'Girdi — Faturalar ve tahsilat'!$T$2:$T$3001,$Z$5)/C73)</f>
        <v/>
      </c>
      <c r="E73" s="15" t="str">
        <f aca="false">IF(OR(A73="",N(C73)=0),"",SUMIFS('Girdi — Faturalar ve tahsilat'!$Q$2:$Q$3001,'Girdi — Faturalar ve tahsilat'!$C$2:$C$3001,$A73,'Girdi — Faturalar ve tahsilat'!$T$2:$T$3001,$Z$5)/C73)</f>
        <v/>
      </c>
      <c r="F73" s="20" t="str">
        <f aca="false">IF(D73="","",E73-D73)</f>
        <v/>
      </c>
      <c r="G73" s="13" t="str">
        <f aca="false">IF(F73="","",C73*$D$4*F73/365)</f>
        <v/>
      </c>
      <c r="H73" s="13" t="str">
        <f aca="false">IF(A73="","",SUMIFS('Girdi — Faturalar ve tahsilat'!$R$2:$R$3001,'Girdi — Faturalar ve tahsilat'!$C$2:$C$3001,$A73,'Girdi — Faturalar ve tahsilat'!$T$2:$T$3001,$Z$5))</f>
        <v/>
      </c>
      <c r="I73" s="13" t="str">
        <f aca="false">IF(A73="","",SUMIFS('Girdi — Faturalar ve tahsilat'!$R$2:$R$3001,'Girdi — Faturalar ve tahsilat'!$C$2:$C$3001,$A73,'Girdi — Faturalar ve tahsilat'!$T$2:$T$3001,$Z$5,'Girdi — Faturalar ve tahsilat'!$O$2:$O$3001,"&gt;0"))</f>
        <v/>
      </c>
      <c r="J73" s="13" t="str">
        <f aca="false">IF(A73="","",SUMIFS('Girdi — Faturalar ve tahsilat'!$R$2:$R$3001,'Girdi — Faturalar ve tahsilat'!$C$2:$C$3001,$A73,'Girdi — Faturalar ve tahsilat'!$T$2:$T$3001,$Z$5,'Girdi — Faturalar ve tahsilat'!$S$2:$S$3001,"1-30"))</f>
        <v/>
      </c>
      <c r="K73" s="13" t="str">
        <f aca="false">IF(A73="","",SUMIFS('Girdi — Faturalar ve tahsilat'!$R$2:$R$3001,'Girdi — Faturalar ve tahsilat'!$C$2:$C$3001,$A73,'Girdi — Faturalar ve tahsilat'!$T$2:$T$3001,$Z$5,'Girdi — Faturalar ve tahsilat'!$S$2:$S$3001,"31-60"))</f>
        <v/>
      </c>
      <c r="L73" s="13" t="str">
        <f aca="false">IF(A73="","",SUMIFS('Girdi — Faturalar ve tahsilat'!$R$2:$R$3001,'Girdi — Faturalar ve tahsilat'!$C$2:$C$3001,$A73,'Girdi — Faturalar ve tahsilat'!$T$2:$T$3001,$Z$5,'Girdi — Faturalar ve tahsilat'!$S$2:$S$3001,"61-90"))</f>
        <v/>
      </c>
      <c r="M73" s="13" t="str">
        <f aca="false">IF(A73="","",SUMIFS('Girdi — Faturalar ve tahsilat'!$R$2:$R$3001,'Girdi — Faturalar ve tahsilat'!$C$2:$C$3001,$A73,'Girdi — Faturalar ve tahsilat'!$T$2:$T$3001,$Z$5,'Girdi — Faturalar ve tahsilat'!$S$2:$S$3001,"90+"))</f>
        <v/>
      </c>
      <c r="N73" s="21" t="str">
        <f aca="false">IF(F73="","",RANK(F73,$F$17:$F$216,0)+COUNTIF($F$17:F73,F73)-1)</f>
        <v/>
      </c>
    </row>
    <row r="74" customFormat="false" ht="15" hidden="false" customHeight="false" outlineLevel="0" collapsed="false">
      <c r="A74" s="16" t="str">
        <f aca="false">IFERROR(INDEX('Girdi — Faturalar ve tahsilat'!$C$2:$C$3001,MATCH(58,'Girdi — Faturalar ve tahsilat'!$U$2:$U$3001,0)),"")</f>
        <v/>
      </c>
      <c r="B74" s="16" t="str">
        <f aca="false">IF(A74="","",INDEX('Girdi — Faturalar ve tahsilat'!$D$2:$D$3001,MATCH(58,'Girdi — Faturalar ve tahsilat'!$U$2:$U$3001,0)))</f>
        <v/>
      </c>
      <c r="C74" s="13" t="str">
        <f aca="false">IF(A74="","",SUMIFS('Girdi — Faturalar ve tahsilat'!$F$2:$F$3001,'Girdi — Faturalar ve tahsilat'!$C$2:$C$3001,$A74,'Girdi — Faturalar ve tahsilat'!$T$2:$T$3001,$Z$5))</f>
        <v/>
      </c>
      <c r="D74" s="15" t="str">
        <f aca="false">IF(OR(A74="",N(C74)=0),"",SUMIFS('Girdi — Faturalar ve tahsilat'!$P$2:$P$3001,'Girdi — Faturalar ve tahsilat'!$C$2:$C$3001,$A74,'Girdi — Faturalar ve tahsilat'!$T$2:$T$3001,$Z$5)/C74)</f>
        <v/>
      </c>
      <c r="E74" s="15" t="str">
        <f aca="false">IF(OR(A74="",N(C74)=0),"",SUMIFS('Girdi — Faturalar ve tahsilat'!$Q$2:$Q$3001,'Girdi — Faturalar ve tahsilat'!$C$2:$C$3001,$A74,'Girdi — Faturalar ve tahsilat'!$T$2:$T$3001,$Z$5)/C74)</f>
        <v/>
      </c>
      <c r="F74" s="20" t="str">
        <f aca="false">IF(D74="","",E74-D74)</f>
        <v/>
      </c>
      <c r="G74" s="13" t="str">
        <f aca="false">IF(F74="","",C74*$D$4*F74/365)</f>
        <v/>
      </c>
      <c r="H74" s="13" t="str">
        <f aca="false">IF(A74="","",SUMIFS('Girdi — Faturalar ve tahsilat'!$R$2:$R$3001,'Girdi — Faturalar ve tahsilat'!$C$2:$C$3001,$A74,'Girdi — Faturalar ve tahsilat'!$T$2:$T$3001,$Z$5))</f>
        <v/>
      </c>
      <c r="I74" s="13" t="str">
        <f aca="false">IF(A74="","",SUMIFS('Girdi — Faturalar ve tahsilat'!$R$2:$R$3001,'Girdi — Faturalar ve tahsilat'!$C$2:$C$3001,$A74,'Girdi — Faturalar ve tahsilat'!$T$2:$T$3001,$Z$5,'Girdi — Faturalar ve tahsilat'!$O$2:$O$3001,"&gt;0"))</f>
        <v/>
      </c>
      <c r="J74" s="13" t="str">
        <f aca="false">IF(A74="","",SUMIFS('Girdi — Faturalar ve tahsilat'!$R$2:$R$3001,'Girdi — Faturalar ve tahsilat'!$C$2:$C$3001,$A74,'Girdi — Faturalar ve tahsilat'!$T$2:$T$3001,$Z$5,'Girdi — Faturalar ve tahsilat'!$S$2:$S$3001,"1-30"))</f>
        <v/>
      </c>
      <c r="K74" s="13" t="str">
        <f aca="false">IF(A74="","",SUMIFS('Girdi — Faturalar ve tahsilat'!$R$2:$R$3001,'Girdi — Faturalar ve tahsilat'!$C$2:$C$3001,$A74,'Girdi — Faturalar ve tahsilat'!$T$2:$T$3001,$Z$5,'Girdi — Faturalar ve tahsilat'!$S$2:$S$3001,"31-60"))</f>
        <v/>
      </c>
      <c r="L74" s="13" t="str">
        <f aca="false">IF(A74="","",SUMIFS('Girdi — Faturalar ve tahsilat'!$R$2:$R$3001,'Girdi — Faturalar ve tahsilat'!$C$2:$C$3001,$A74,'Girdi — Faturalar ve tahsilat'!$T$2:$T$3001,$Z$5,'Girdi — Faturalar ve tahsilat'!$S$2:$S$3001,"61-90"))</f>
        <v/>
      </c>
      <c r="M74" s="13" t="str">
        <f aca="false">IF(A74="","",SUMIFS('Girdi — Faturalar ve tahsilat'!$R$2:$R$3001,'Girdi — Faturalar ve tahsilat'!$C$2:$C$3001,$A74,'Girdi — Faturalar ve tahsilat'!$T$2:$T$3001,$Z$5,'Girdi — Faturalar ve tahsilat'!$S$2:$S$3001,"90+"))</f>
        <v/>
      </c>
      <c r="N74" s="21" t="str">
        <f aca="false">IF(F74="","",RANK(F74,$F$17:$F$216,0)+COUNTIF($F$17:F74,F74)-1)</f>
        <v/>
      </c>
    </row>
    <row r="75" customFormat="false" ht="15" hidden="false" customHeight="false" outlineLevel="0" collapsed="false">
      <c r="A75" s="16" t="str">
        <f aca="false">IFERROR(INDEX('Girdi — Faturalar ve tahsilat'!$C$2:$C$3001,MATCH(59,'Girdi — Faturalar ve tahsilat'!$U$2:$U$3001,0)),"")</f>
        <v/>
      </c>
      <c r="B75" s="16" t="str">
        <f aca="false">IF(A75="","",INDEX('Girdi — Faturalar ve tahsilat'!$D$2:$D$3001,MATCH(59,'Girdi — Faturalar ve tahsilat'!$U$2:$U$3001,0)))</f>
        <v/>
      </c>
      <c r="C75" s="13" t="str">
        <f aca="false">IF(A75="","",SUMIFS('Girdi — Faturalar ve tahsilat'!$F$2:$F$3001,'Girdi — Faturalar ve tahsilat'!$C$2:$C$3001,$A75,'Girdi — Faturalar ve tahsilat'!$T$2:$T$3001,$Z$5))</f>
        <v/>
      </c>
      <c r="D75" s="15" t="str">
        <f aca="false">IF(OR(A75="",N(C75)=0),"",SUMIFS('Girdi — Faturalar ve tahsilat'!$P$2:$P$3001,'Girdi — Faturalar ve tahsilat'!$C$2:$C$3001,$A75,'Girdi — Faturalar ve tahsilat'!$T$2:$T$3001,$Z$5)/C75)</f>
        <v/>
      </c>
      <c r="E75" s="15" t="str">
        <f aca="false">IF(OR(A75="",N(C75)=0),"",SUMIFS('Girdi — Faturalar ve tahsilat'!$Q$2:$Q$3001,'Girdi — Faturalar ve tahsilat'!$C$2:$C$3001,$A75,'Girdi — Faturalar ve tahsilat'!$T$2:$T$3001,$Z$5)/C75)</f>
        <v/>
      </c>
      <c r="F75" s="20" t="str">
        <f aca="false">IF(D75="","",E75-D75)</f>
        <v/>
      </c>
      <c r="G75" s="13" t="str">
        <f aca="false">IF(F75="","",C75*$D$4*F75/365)</f>
        <v/>
      </c>
      <c r="H75" s="13" t="str">
        <f aca="false">IF(A75="","",SUMIFS('Girdi — Faturalar ve tahsilat'!$R$2:$R$3001,'Girdi — Faturalar ve tahsilat'!$C$2:$C$3001,$A75,'Girdi — Faturalar ve tahsilat'!$T$2:$T$3001,$Z$5))</f>
        <v/>
      </c>
      <c r="I75" s="13" t="str">
        <f aca="false">IF(A75="","",SUMIFS('Girdi — Faturalar ve tahsilat'!$R$2:$R$3001,'Girdi — Faturalar ve tahsilat'!$C$2:$C$3001,$A75,'Girdi — Faturalar ve tahsilat'!$T$2:$T$3001,$Z$5,'Girdi — Faturalar ve tahsilat'!$O$2:$O$3001,"&gt;0"))</f>
        <v/>
      </c>
      <c r="J75" s="13" t="str">
        <f aca="false">IF(A75="","",SUMIFS('Girdi — Faturalar ve tahsilat'!$R$2:$R$3001,'Girdi — Faturalar ve tahsilat'!$C$2:$C$3001,$A75,'Girdi — Faturalar ve tahsilat'!$T$2:$T$3001,$Z$5,'Girdi — Faturalar ve tahsilat'!$S$2:$S$3001,"1-30"))</f>
        <v/>
      </c>
      <c r="K75" s="13" t="str">
        <f aca="false">IF(A75="","",SUMIFS('Girdi — Faturalar ve tahsilat'!$R$2:$R$3001,'Girdi — Faturalar ve tahsilat'!$C$2:$C$3001,$A75,'Girdi — Faturalar ve tahsilat'!$T$2:$T$3001,$Z$5,'Girdi — Faturalar ve tahsilat'!$S$2:$S$3001,"31-60"))</f>
        <v/>
      </c>
      <c r="L75" s="13" t="str">
        <f aca="false">IF(A75="","",SUMIFS('Girdi — Faturalar ve tahsilat'!$R$2:$R$3001,'Girdi — Faturalar ve tahsilat'!$C$2:$C$3001,$A75,'Girdi — Faturalar ve tahsilat'!$T$2:$T$3001,$Z$5,'Girdi — Faturalar ve tahsilat'!$S$2:$S$3001,"61-90"))</f>
        <v/>
      </c>
      <c r="M75" s="13" t="str">
        <f aca="false">IF(A75="","",SUMIFS('Girdi — Faturalar ve tahsilat'!$R$2:$R$3001,'Girdi — Faturalar ve tahsilat'!$C$2:$C$3001,$A75,'Girdi — Faturalar ve tahsilat'!$T$2:$T$3001,$Z$5,'Girdi — Faturalar ve tahsilat'!$S$2:$S$3001,"90+"))</f>
        <v/>
      </c>
      <c r="N75" s="21" t="str">
        <f aca="false">IF(F75="","",RANK(F75,$F$17:$F$216,0)+COUNTIF($F$17:F75,F75)-1)</f>
        <v/>
      </c>
    </row>
    <row r="76" customFormat="false" ht="15" hidden="false" customHeight="false" outlineLevel="0" collapsed="false">
      <c r="A76" s="16" t="str">
        <f aca="false">IFERROR(INDEX('Girdi — Faturalar ve tahsilat'!$C$2:$C$3001,MATCH(60,'Girdi — Faturalar ve tahsilat'!$U$2:$U$3001,0)),"")</f>
        <v/>
      </c>
      <c r="B76" s="16" t="str">
        <f aca="false">IF(A76="","",INDEX('Girdi — Faturalar ve tahsilat'!$D$2:$D$3001,MATCH(60,'Girdi — Faturalar ve tahsilat'!$U$2:$U$3001,0)))</f>
        <v/>
      </c>
      <c r="C76" s="13" t="str">
        <f aca="false">IF(A76="","",SUMIFS('Girdi — Faturalar ve tahsilat'!$F$2:$F$3001,'Girdi — Faturalar ve tahsilat'!$C$2:$C$3001,$A76,'Girdi — Faturalar ve tahsilat'!$T$2:$T$3001,$Z$5))</f>
        <v/>
      </c>
      <c r="D76" s="15" t="str">
        <f aca="false">IF(OR(A76="",N(C76)=0),"",SUMIFS('Girdi — Faturalar ve tahsilat'!$P$2:$P$3001,'Girdi — Faturalar ve tahsilat'!$C$2:$C$3001,$A76,'Girdi — Faturalar ve tahsilat'!$T$2:$T$3001,$Z$5)/C76)</f>
        <v/>
      </c>
      <c r="E76" s="15" t="str">
        <f aca="false">IF(OR(A76="",N(C76)=0),"",SUMIFS('Girdi — Faturalar ve tahsilat'!$Q$2:$Q$3001,'Girdi — Faturalar ve tahsilat'!$C$2:$C$3001,$A76,'Girdi — Faturalar ve tahsilat'!$T$2:$T$3001,$Z$5)/C76)</f>
        <v/>
      </c>
      <c r="F76" s="20" t="str">
        <f aca="false">IF(D76="","",E76-D76)</f>
        <v/>
      </c>
      <c r="G76" s="13" t="str">
        <f aca="false">IF(F76="","",C76*$D$4*F76/365)</f>
        <v/>
      </c>
      <c r="H76" s="13" t="str">
        <f aca="false">IF(A76="","",SUMIFS('Girdi — Faturalar ve tahsilat'!$R$2:$R$3001,'Girdi — Faturalar ve tahsilat'!$C$2:$C$3001,$A76,'Girdi — Faturalar ve tahsilat'!$T$2:$T$3001,$Z$5))</f>
        <v/>
      </c>
      <c r="I76" s="13" t="str">
        <f aca="false">IF(A76="","",SUMIFS('Girdi — Faturalar ve tahsilat'!$R$2:$R$3001,'Girdi — Faturalar ve tahsilat'!$C$2:$C$3001,$A76,'Girdi — Faturalar ve tahsilat'!$T$2:$T$3001,$Z$5,'Girdi — Faturalar ve tahsilat'!$O$2:$O$3001,"&gt;0"))</f>
        <v/>
      </c>
      <c r="J76" s="13" t="str">
        <f aca="false">IF(A76="","",SUMIFS('Girdi — Faturalar ve tahsilat'!$R$2:$R$3001,'Girdi — Faturalar ve tahsilat'!$C$2:$C$3001,$A76,'Girdi — Faturalar ve tahsilat'!$T$2:$T$3001,$Z$5,'Girdi — Faturalar ve tahsilat'!$S$2:$S$3001,"1-30"))</f>
        <v/>
      </c>
      <c r="K76" s="13" t="str">
        <f aca="false">IF(A76="","",SUMIFS('Girdi — Faturalar ve tahsilat'!$R$2:$R$3001,'Girdi — Faturalar ve tahsilat'!$C$2:$C$3001,$A76,'Girdi — Faturalar ve tahsilat'!$T$2:$T$3001,$Z$5,'Girdi — Faturalar ve tahsilat'!$S$2:$S$3001,"31-60"))</f>
        <v/>
      </c>
      <c r="L76" s="13" t="str">
        <f aca="false">IF(A76="","",SUMIFS('Girdi — Faturalar ve tahsilat'!$R$2:$R$3001,'Girdi — Faturalar ve tahsilat'!$C$2:$C$3001,$A76,'Girdi — Faturalar ve tahsilat'!$T$2:$T$3001,$Z$5,'Girdi — Faturalar ve tahsilat'!$S$2:$S$3001,"61-90"))</f>
        <v/>
      </c>
      <c r="M76" s="13" t="str">
        <f aca="false">IF(A76="","",SUMIFS('Girdi — Faturalar ve tahsilat'!$R$2:$R$3001,'Girdi — Faturalar ve tahsilat'!$C$2:$C$3001,$A76,'Girdi — Faturalar ve tahsilat'!$T$2:$T$3001,$Z$5,'Girdi — Faturalar ve tahsilat'!$S$2:$S$3001,"90+"))</f>
        <v/>
      </c>
      <c r="N76" s="21" t="str">
        <f aca="false">IF(F76="","",RANK(F76,$F$17:$F$216,0)+COUNTIF($F$17:F76,F76)-1)</f>
        <v/>
      </c>
    </row>
    <row r="77" customFormat="false" ht="15" hidden="false" customHeight="false" outlineLevel="0" collapsed="false">
      <c r="A77" s="16" t="str">
        <f aca="false">IFERROR(INDEX('Girdi — Faturalar ve tahsilat'!$C$2:$C$3001,MATCH(61,'Girdi — Faturalar ve tahsilat'!$U$2:$U$3001,0)),"")</f>
        <v/>
      </c>
      <c r="B77" s="16" t="str">
        <f aca="false">IF(A77="","",INDEX('Girdi — Faturalar ve tahsilat'!$D$2:$D$3001,MATCH(61,'Girdi — Faturalar ve tahsilat'!$U$2:$U$3001,0)))</f>
        <v/>
      </c>
      <c r="C77" s="13" t="str">
        <f aca="false">IF(A77="","",SUMIFS('Girdi — Faturalar ve tahsilat'!$F$2:$F$3001,'Girdi — Faturalar ve tahsilat'!$C$2:$C$3001,$A77,'Girdi — Faturalar ve tahsilat'!$T$2:$T$3001,$Z$5))</f>
        <v/>
      </c>
      <c r="D77" s="15" t="str">
        <f aca="false">IF(OR(A77="",N(C77)=0),"",SUMIFS('Girdi — Faturalar ve tahsilat'!$P$2:$P$3001,'Girdi — Faturalar ve tahsilat'!$C$2:$C$3001,$A77,'Girdi — Faturalar ve tahsilat'!$T$2:$T$3001,$Z$5)/C77)</f>
        <v/>
      </c>
      <c r="E77" s="15" t="str">
        <f aca="false">IF(OR(A77="",N(C77)=0),"",SUMIFS('Girdi — Faturalar ve tahsilat'!$Q$2:$Q$3001,'Girdi — Faturalar ve tahsilat'!$C$2:$C$3001,$A77,'Girdi — Faturalar ve tahsilat'!$T$2:$T$3001,$Z$5)/C77)</f>
        <v/>
      </c>
      <c r="F77" s="20" t="str">
        <f aca="false">IF(D77="","",E77-D77)</f>
        <v/>
      </c>
      <c r="G77" s="13" t="str">
        <f aca="false">IF(F77="","",C77*$D$4*F77/365)</f>
        <v/>
      </c>
      <c r="H77" s="13" t="str">
        <f aca="false">IF(A77="","",SUMIFS('Girdi — Faturalar ve tahsilat'!$R$2:$R$3001,'Girdi — Faturalar ve tahsilat'!$C$2:$C$3001,$A77,'Girdi — Faturalar ve tahsilat'!$T$2:$T$3001,$Z$5))</f>
        <v/>
      </c>
      <c r="I77" s="13" t="str">
        <f aca="false">IF(A77="","",SUMIFS('Girdi — Faturalar ve tahsilat'!$R$2:$R$3001,'Girdi — Faturalar ve tahsilat'!$C$2:$C$3001,$A77,'Girdi — Faturalar ve tahsilat'!$T$2:$T$3001,$Z$5,'Girdi — Faturalar ve tahsilat'!$O$2:$O$3001,"&gt;0"))</f>
        <v/>
      </c>
      <c r="J77" s="13" t="str">
        <f aca="false">IF(A77="","",SUMIFS('Girdi — Faturalar ve tahsilat'!$R$2:$R$3001,'Girdi — Faturalar ve tahsilat'!$C$2:$C$3001,$A77,'Girdi — Faturalar ve tahsilat'!$T$2:$T$3001,$Z$5,'Girdi — Faturalar ve tahsilat'!$S$2:$S$3001,"1-30"))</f>
        <v/>
      </c>
      <c r="K77" s="13" t="str">
        <f aca="false">IF(A77="","",SUMIFS('Girdi — Faturalar ve tahsilat'!$R$2:$R$3001,'Girdi — Faturalar ve tahsilat'!$C$2:$C$3001,$A77,'Girdi — Faturalar ve tahsilat'!$T$2:$T$3001,$Z$5,'Girdi — Faturalar ve tahsilat'!$S$2:$S$3001,"31-60"))</f>
        <v/>
      </c>
      <c r="L77" s="13" t="str">
        <f aca="false">IF(A77="","",SUMIFS('Girdi — Faturalar ve tahsilat'!$R$2:$R$3001,'Girdi — Faturalar ve tahsilat'!$C$2:$C$3001,$A77,'Girdi — Faturalar ve tahsilat'!$T$2:$T$3001,$Z$5,'Girdi — Faturalar ve tahsilat'!$S$2:$S$3001,"61-90"))</f>
        <v/>
      </c>
      <c r="M77" s="13" t="str">
        <f aca="false">IF(A77="","",SUMIFS('Girdi — Faturalar ve tahsilat'!$R$2:$R$3001,'Girdi — Faturalar ve tahsilat'!$C$2:$C$3001,$A77,'Girdi — Faturalar ve tahsilat'!$T$2:$T$3001,$Z$5,'Girdi — Faturalar ve tahsilat'!$S$2:$S$3001,"90+"))</f>
        <v/>
      </c>
      <c r="N77" s="21" t="str">
        <f aca="false">IF(F77="","",RANK(F77,$F$17:$F$216,0)+COUNTIF($F$17:F77,F77)-1)</f>
        <v/>
      </c>
    </row>
    <row r="78" customFormat="false" ht="15" hidden="false" customHeight="false" outlineLevel="0" collapsed="false">
      <c r="A78" s="16" t="str">
        <f aca="false">IFERROR(INDEX('Girdi — Faturalar ve tahsilat'!$C$2:$C$3001,MATCH(62,'Girdi — Faturalar ve tahsilat'!$U$2:$U$3001,0)),"")</f>
        <v/>
      </c>
      <c r="B78" s="16" t="str">
        <f aca="false">IF(A78="","",INDEX('Girdi — Faturalar ve tahsilat'!$D$2:$D$3001,MATCH(62,'Girdi — Faturalar ve tahsilat'!$U$2:$U$3001,0)))</f>
        <v/>
      </c>
      <c r="C78" s="13" t="str">
        <f aca="false">IF(A78="","",SUMIFS('Girdi — Faturalar ve tahsilat'!$F$2:$F$3001,'Girdi — Faturalar ve tahsilat'!$C$2:$C$3001,$A78,'Girdi — Faturalar ve tahsilat'!$T$2:$T$3001,$Z$5))</f>
        <v/>
      </c>
      <c r="D78" s="15" t="str">
        <f aca="false">IF(OR(A78="",N(C78)=0),"",SUMIFS('Girdi — Faturalar ve tahsilat'!$P$2:$P$3001,'Girdi — Faturalar ve tahsilat'!$C$2:$C$3001,$A78,'Girdi — Faturalar ve tahsilat'!$T$2:$T$3001,$Z$5)/C78)</f>
        <v/>
      </c>
      <c r="E78" s="15" t="str">
        <f aca="false">IF(OR(A78="",N(C78)=0),"",SUMIFS('Girdi — Faturalar ve tahsilat'!$Q$2:$Q$3001,'Girdi — Faturalar ve tahsilat'!$C$2:$C$3001,$A78,'Girdi — Faturalar ve tahsilat'!$T$2:$T$3001,$Z$5)/C78)</f>
        <v/>
      </c>
      <c r="F78" s="20" t="str">
        <f aca="false">IF(D78="","",E78-D78)</f>
        <v/>
      </c>
      <c r="G78" s="13" t="str">
        <f aca="false">IF(F78="","",C78*$D$4*F78/365)</f>
        <v/>
      </c>
      <c r="H78" s="13" t="str">
        <f aca="false">IF(A78="","",SUMIFS('Girdi — Faturalar ve tahsilat'!$R$2:$R$3001,'Girdi — Faturalar ve tahsilat'!$C$2:$C$3001,$A78,'Girdi — Faturalar ve tahsilat'!$T$2:$T$3001,$Z$5))</f>
        <v/>
      </c>
      <c r="I78" s="13" t="str">
        <f aca="false">IF(A78="","",SUMIFS('Girdi — Faturalar ve tahsilat'!$R$2:$R$3001,'Girdi — Faturalar ve tahsilat'!$C$2:$C$3001,$A78,'Girdi — Faturalar ve tahsilat'!$T$2:$T$3001,$Z$5,'Girdi — Faturalar ve tahsilat'!$O$2:$O$3001,"&gt;0"))</f>
        <v/>
      </c>
      <c r="J78" s="13" t="str">
        <f aca="false">IF(A78="","",SUMIFS('Girdi — Faturalar ve tahsilat'!$R$2:$R$3001,'Girdi — Faturalar ve tahsilat'!$C$2:$C$3001,$A78,'Girdi — Faturalar ve tahsilat'!$T$2:$T$3001,$Z$5,'Girdi — Faturalar ve tahsilat'!$S$2:$S$3001,"1-30"))</f>
        <v/>
      </c>
      <c r="K78" s="13" t="str">
        <f aca="false">IF(A78="","",SUMIFS('Girdi — Faturalar ve tahsilat'!$R$2:$R$3001,'Girdi — Faturalar ve tahsilat'!$C$2:$C$3001,$A78,'Girdi — Faturalar ve tahsilat'!$T$2:$T$3001,$Z$5,'Girdi — Faturalar ve tahsilat'!$S$2:$S$3001,"31-60"))</f>
        <v/>
      </c>
      <c r="L78" s="13" t="str">
        <f aca="false">IF(A78="","",SUMIFS('Girdi — Faturalar ve tahsilat'!$R$2:$R$3001,'Girdi — Faturalar ve tahsilat'!$C$2:$C$3001,$A78,'Girdi — Faturalar ve tahsilat'!$T$2:$T$3001,$Z$5,'Girdi — Faturalar ve tahsilat'!$S$2:$S$3001,"61-90"))</f>
        <v/>
      </c>
      <c r="M78" s="13" t="str">
        <f aca="false">IF(A78="","",SUMIFS('Girdi — Faturalar ve tahsilat'!$R$2:$R$3001,'Girdi — Faturalar ve tahsilat'!$C$2:$C$3001,$A78,'Girdi — Faturalar ve tahsilat'!$T$2:$T$3001,$Z$5,'Girdi — Faturalar ve tahsilat'!$S$2:$S$3001,"90+"))</f>
        <v/>
      </c>
      <c r="N78" s="21" t="str">
        <f aca="false">IF(F78="","",RANK(F78,$F$17:$F$216,0)+COUNTIF($F$17:F78,F78)-1)</f>
        <v/>
      </c>
    </row>
    <row r="79" customFormat="false" ht="15" hidden="false" customHeight="false" outlineLevel="0" collapsed="false">
      <c r="A79" s="16" t="str">
        <f aca="false">IFERROR(INDEX('Girdi — Faturalar ve tahsilat'!$C$2:$C$3001,MATCH(63,'Girdi — Faturalar ve tahsilat'!$U$2:$U$3001,0)),"")</f>
        <v/>
      </c>
      <c r="B79" s="16" t="str">
        <f aca="false">IF(A79="","",INDEX('Girdi — Faturalar ve tahsilat'!$D$2:$D$3001,MATCH(63,'Girdi — Faturalar ve tahsilat'!$U$2:$U$3001,0)))</f>
        <v/>
      </c>
      <c r="C79" s="13" t="str">
        <f aca="false">IF(A79="","",SUMIFS('Girdi — Faturalar ve tahsilat'!$F$2:$F$3001,'Girdi — Faturalar ve tahsilat'!$C$2:$C$3001,$A79,'Girdi — Faturalar ve tahsilat'!$T$2:$T$3001,$Z$5))</f>
        <v/>
      </c>
      <c r="D79" s="15" t="str">
        <f aca="false">IF(OR(A79="",N(C79)=0),"",SUMIFS('Girdi — Faturalar ve tahsilat'!$P$2:$P$3001,'Girdi — Faturalar ve tahsilat'!$C$2:$C$3001,$A79,'Girdi — Faturalar ve tahsilat'!$T$2:$T$3001,$Z$5)/C79)</f>
        <v/>
      </c>
      <c r="E79" s="15" t="str">
        <f aca="false">IF(OR(A79="",N(C79)=0),"",SUMIFS('Girdi — Faturalar ve tahsilat'!$Q$2:$Q$3001,'Girdi — Faturalar ve tahsilat'!$C$2:$C$3001,$A79,'Girdi — Faturalar ve tahsilat'!$T$2:$T$3001,$Z$5)/C79)</f>
        <v/>
      </c>
      <c r="F79" s="20" t="str">
        <f aca="false">IF(D79="","",E79-D79)</f>
        <v/>
      </c>
      <c r="G79" s="13" t="str">
        <f aca="false">IF(F79="","",C79*$D$4*F79/365)</f>
        <v/>
      </c>
      <c r="H79" s="13" t="str">
        <f aca="false">IF(A79="","",SUMIFS('Girdi — Faturalar ve tahsilat'!$R$2:$R$3001,'Girdi — Faturalar ve tahsilat'!$C$2:$C$3001,$A79,'Girdi — Faturalar ve tahsilat'!$T$2:$T$3001,$Z$5))</f>
        <v/>
      </c>
      <c r="I79" s="13" t="str">
        <f aca="false">IF(A79="","",SUMIFS('Girdi — Faturalar ve tahsilat'!$R$2:$R$3001,'Girdi — Faturalar ve tahsilat'!$C$2:$C$3001,$A79,'Girdi — Faturalar ve tahsilat'!$T$2:$T$3001,$Z$5,'Girdi — Faturalar ve tahsilat'!$O$2:$O$3001,"&gt;0"))</f>
        <v/>
      </c>
      <c r="J79" s="13" t="str">
        <f aca="false">IF(A79="","",SUMIFS('Girdi — Faturalar ve tahsilat'!$R$2:$R$3001,'Girdi — Faturalar ve tahsilat'!$C$2:$C$3001,$A79,'Girdi — Faturalar ve tahsilat'!$T$2:$T$3001,$Z$5,'Girdi — Faturalar ve tahsilat'!$S$2:$S$3001,"1-30"))</f>
        <v/>
      </c>
      <c r="K79" s="13" t="str">
        <f aca="false">IF(A79="","",SUMIFS('Girdi — Faturalar ve tahsilat'!$R$2:$R$3001,'Girdi — Faturalar ve tahsilat'!$C$2:$C$3001,$A79,'Girdi — Faturalar ve tahsilat'!$T$2:$T$3001,$Z$5,'Girdi — Faturalar ve tahsilat'!$S$2:$S$3001,"31-60"))</f>
        <v/>
      </c>
      <c r="L79" s="13" t="str">
        <f aca="false">IF(A79="","",SUMIFS('Girdi — Faturalar ve tahsilat'!$R$2:$R$3001,'Girdi — Faturalar ve tahsilat'!$C$2:$C$3001,$A79,'Girdi — Faturalar ve tahsilat'!$T$2:$T$3001,$Z$5,'Girdi — Faturalar ve tahsilat'!$S$2:$S$3001,"61-90"))</f>
        <v/>
      </c>
      <c r="M79" s="13" t="str">
        <f aca="false">IF(A79="","",SUMIFS('Girdi — Faturalar ve tahsilat'!$R$2:$R$3001,'Girdi — Faturalar ve tahsilat'!$C$2:$C$3001,$A79,'Girdi — Faturalar ve tahsilat'!$T$2:$T$3001,$Z$5,'Girdi — Faturalar ve tahsilat'!$S$2:$S$3001,"90+"))</f>
        <v/>
      </c>
      <c r="N79" s="21" t="str">
        <f aca="false">IF(F79="","",RANK(F79,$F$17:$F$216,0)+COUNTIF($F$17:F79,F79)-1)</f>
        <v/>
      </c>
    </row>
    <row r="80" customFormat="false" ht="15" hidden="false" customHeight="false" outlineLevel="0" collapsed="false">
      <c r="A80" s="16" t="str">
        <f aca="false">IFERROR(INDEX('Girdi — Faturalar ve tahsilat'!$C$2:$C$3001,MATCH(64,'Girdi — Faturalar ve tahsilat'!$U$2:$U$3001,0)),"")</f>
        <v/>
      </c>
      <c r="B80" s="16" t="str">
        <f aca="false">IF(A80="","",INDEX('Girdi — Faturalar ve tahsilat'!$D$2:$D$3001,MATCH(64,'Girdi — Faturalar ve tahsilat'!$U$2:$U$3001,0)))</f>
        <v/>
      </c>
      <c r="C80" s="13" t="str">
        <f aca="false">IF(A80="","",SUMIFS('Girdi — Faturalar ve tahsilat'!$F$2:$F$3001,'Girdi — Faturalar ve tahsilat'!$C$2:$C$3001,$A80,'Girdi — Faturalar ve tahsilat'!$T$2:$T$3001,$Z$5))</f>
        <v/>
      </c>
      <c r="D80" s="15" t="str">
        <f aca="false">IF(OR(A80="",N(C80)=0),"",SUMIFS('Girdi — Faturalar ve tahsilat'!$P$2:$P$3001,'Girdi — Faturalar ve tahsilat'!$C$2:$C$3001,$A80,'Girdi — Faturalar ve tahsilat'!$T$2:$T$3001,$Z$5)/C80)</f>
        <v/>
      </c>
      <c r="E80" s="15" t="str">
        <f aca="false">IF(OR(A80="",N(C80)=0),"",SUMIFS('Girdi — Faturalar ve tahsilat'!$Q$2:$Q$3001,'Girdi — Faturalar ve tahsilat'!$C$2:$C$3001,$A80,'Girdi — Faturalar ve tahsilat'!$T$2:$T$3001,$Z$5)/C80)</f>
        <v/>
      </c>
      <c r="F80" s="20" t="str">
        <f aca="false">IF(D80="","",E80-D80)</f>
        <v/>
      </c>
      <c r="G80" s="13" t="str">
        <f aca="false">IF(F80="","",C80*$D$4*F80/365)</f>
        <v/>
      </c>
      <c r="H80" s="13" t="str">
        <f aca="false">IF(A80="","",SUMIFS('Girdi — Faturalar ve tahsilat'!$R$2:$R$3001,'Girdi — Faturalar ve tahsilat'!$C$2:$C$3001,$A80,'Girdi — Faturalar ve tahsilat'!$T$2:$T$3001,$Z$5))</f>
        <v/>
      </c>
      <c r="I80" s="13" t="str">
        <f aca="false">IF(A80="","",SUMIFS('Girdi — Faturalar ve tahsilat'!$R$2:$R$3001,'Girdi — Faturalar ve tahsilat'!$C$2:$C$3001,$A80,'Girdi — Faturalar ve tahsilat'!$T$2:$T$3001,$Z$5,'Girdi — Faturalar ve tahsilat'!$O$2:$O$3001,"&gt;0"))</f>
        <v/>
      </c>
      <c r="J80" s="13" t="str">
        <f aca="false">IF(A80="","",SUMIFS('Girdi — Faturalar ve tahsilat'!$R$2:$R$3001,'Girdi — Faturalar ve tahsilat'!$C$2:$C$3001,$A80,'Girdi — Faturalar ve tahsilat'!$T$2:$T$3001,$Z$5,'Girdi — Faturalar ve tahsilat'!$S$2:$S$3001,"1-30"))</f>
        <v/>
      </c>
      <c r="K80" s="13" t="str">
        <f aca="false">IF(A80="","",SUMIFS('Girdi — Faturalar ve tahsilat'!$R$2:$R$3001,'Girdi — Faturalar ve tahsilat'!$C$2:$C$3001,$A80,'Girdi — Faturalar ve tahsilat'!$T$2:$T$3001,$Z$5,'Girdi — Faturalar ve tahsilat'!$S$2:$S$3001,"31-60"))</f>
        <v/>
      </c>
      <c r="L80" s="13" t="str">
        <f aca="false">IF(A80="","",SUMIFS('Girdi — Faturalar ve tahsilat'!$R$2:$R$3001,'Girdi — Faturalar ve tahsilat'!$C$2:$C$3001,$A80,'Girdi — Faturalar ve tahsilat'!$T$2:$T$3001,$Z$5,'Girdi — Faturalar ve tahsilat'!$S$2:$S$3001,"61-90"))</f>
        <v/>
      </c>
      <c r="M80" s="13" t="str">
        <f aca="false">IF(A80="","",SUMIFS('Girdi — Faturalar ve tahsilat'!$R$2:$R$3001,'Girdi — Faturalar ve tahsilat'!$C$2:$C$3001,$A80,'Girdi — Faturalar ve tahsilat'!$T$2:$T$3001,$Z$5,'Girdi — Faturalar ve tahsilat'!$S$2:$S$3001,"90+"))</f>
        <v/>
      </c>
      <c r="N80" s="21" t="str">
        <f aca="false">IF(F80="","",RANK(F80,$F$17:$F$216,0)+COUNTIF($F$17:F80,F80)-1)</f>
        <v/>
      </c>
    </row>
    <row r="81" customFormat="false" ht="15" hidden="false" customHeight="false" outlineLevel="0" collapsed="false">
      <c r="A81" s="16" t="str">
        <f aca="false">IFERROR(INDEX('Girdi — Faturalar ve tahsilat'!$C$2:$C$3001,MATCH(65,'Girdi — Faturalar ve tahsilat'!$U$2:$U$3001,0)),"")</f>
        <v/>
      </c>
      <c r="B81" s="16" t="str">
        <f aca="false">IF(A81="","",INDEX('Girdi — Faturalar ve tahsilat'!$D$2:$D$3001,MATCH(65,'Girdi — Faturalar ve tahsilat'!$U$2:$U$3001,0)))</f>
        <v/>
      </c>
      <c r="C81" s="13" t="str">
        <f aca="false">IF(A81="","",SUMIFS('Girdi — Faturalar ve tahsilat'!$F$2:$F$3001,'Girdi — Faturalar ve tahsilat'!$C$2:$C$3001,$A81,'Girdi — Faturalar ve tahsilat'!$T$2:$T$3001,$Z$5))</f>
        <v/>
      </c>
      <c r="D81" s="15" t="str">
        <f aca="false">IF(OR(A81="",N(C81)=0),"",SUMIFS('Girdi — Faturalar ve tahsilat'!$P$2:$P$3001,'Girdi — Faturalar ve tahsilat'!$C$2:$C$3001,$A81,'Girdi — Faturalar ve tahsilat'!$T$2:$T$3001,$Z$5)/C81)</f>
        <v/>
      </c>
      <c r="E81" s="15" t="str">
        <f aca="false">IF(OR(A81="",N(C81)=0),"",SUMIFS('Girdi — Faturalar ve tahsilat'!$Q$2:$Q$3001,'Girdi — Faturalar ve tahsilat'!$C$2:$C$3001,$A81,'Girdi — Faturalar ve tahsilat'!$T$2:$T$3001,$Z$5)/C81)</f>
        <v/>
      </c>
      <c r="F81" s="20" t="str">
        <f aca="false">IF(D81="","",E81-D81)</f>
        <v/>
      </c>
      <c r="G81" s="13" t="str">
        <f aca="false">IF(F81="","",C81*$D$4*F81/365)</f>
        <v/>
      </c>
      <c r="H81" s="13" t="str">
        <f aca="false">IF(A81="","",SUMIFS('Girdi — Faturalar ve tahsilat'!$R$2:$R$3001,'Girdi — Faturalar ve tahsilat'!$C$2:$C$3001,$A81,'Girdi — Faturalar ve tahsilat'!$T$2:$T$3001,$Z$5))</f>
        <v/>
      </c>
      <c r="I81" s="13" t="str">
        <f aca="false">IF(A81="","",SUMIFS('Girdi — Faturalar ve tahsilat'!$R$2:$R$3001,'Girdi — Faturalar ve tahsilat'!$C$2:$C$3001,$A81,'Girdi — Faturalar ve tahsilat'!$T$2:$T$3001,$Z$5,'Girdi — Faturalar ve tahsilat'!$O$2:$O$3001,"&gt;0"))</f>
        <v/>
      </c>
      <c r="J81" s="13" t="str">
        <f aca="false">IF(A81="","",SUMIFS('Girdi — Faturalar ve tahsilat'!$R$2:$R$3001,'Girdi — Faturalar ve tahsilat'!$C$2:$C$3001,$A81,'Girdi — Faturalar ve tahsilat'!$T$2:$T$3001,$Z$5,'Girdi — Faturalar ve tahsilat'!$S$2:$S$3001,"1-30"))</f>
        <v/>
      </c>
      <c r="K81" s="13" t="str">
        <f aca="false">IF(A81="","",SUMIFS('Girdi — Faturalar ve tahsilat'!$R$2:$R$3001,'Girdi — Faturalar ve tahsilat'!$C$2:$C$3001,$A81,'Girdi — Faturalar ve tahsilat'!$T$2:$T$3001,$Z$5,'Girdi — Faturalar ve tahsilat'!$S$2:$S$3001,"31-60"))</f>
        <v/>
      </c>
      <c r="L81" s="13" t="str">
        <f aca="false">IF(A81="","",SUMIFS('Girdi — Faturalar ve tahsilat'!$R$2:$R$3001,'Girdi — Faturalar ve tahsilat'!$C$2:$C$3001,$A81,'Girdi — Faturalar ve tahsilat'!$T$2:$T$3001,$Z$5,'Girdi — Faturalar ve tahsilat'!$S$2:$S$3001,"61-90"))</f>
        <v/>
      </c>
      <c r="M81" s="13" t="str">
        <f aca="false">IF(A81="","",SUMIFS('Girdi — Faturalar ve tahsilat'!$R$2:$R$3001,'Girdi — Faturalar ve tahsilat'!$C$2:$C$3001,$A81,'Girdi — Faturalar ve tahsilat'!$T$2:$T$3001,$Z$5,'Girdi — Faturalar ve tahsilat'!$S$2:$S$3001,"90+"))</f>
        <v/>
      </c>
      <c r="N81" s="21" t="str">
        <f aca="false">IF(F81="","",RANK(F81,$F$17:$F$216,0)+COUNTIF($F$17:F81,F81)-1)</f>
        <v/>
      </c>
    </row>
    <row r="82" customFormat="false" ht="15" hidden="false" customHeight="false" outlineLevel="0" collapsed="false">
      <c r="A82" s="16" t="str">
        <f aca="false">IFERROR(INDEX('Girdi — Faturalar ve tahsilat'!$C$2:$C$3001,MATCH(66,'Girdi — Faturalar ve tahsilat'!$U$2:$U$3001,0)),"")</f>
        <v/>
      </c>
      <c r="B82" s="16" t="str">
        <f aca="false">IF(A82="","",INDEX('Girdi — Faturalar ve tahsilat'!$D$2:$D$3001,MATCH(66,'Girdi — Faturalar ve tahsilat'!$U$2:$U$3001,0)))</f>
        <v/>
      </c>
      <c r="C82" s="13" t="str">
        <f aca="false">IF(A82="","",SUMIFS('Girdi — Faturalar ve tahsilat'!$F$2:$F$3001,'Girdi — Faturalar ve tahsilat'!$C$2:$C$3001,$A82,'Girdi — Faturalar ve tahsilat'!$T$2:$T$3001,$Z$5))</f>
        <v/>
      </c>
      <c r="D82" s="15" t="str">
        <f aca="false">IF(OR(A82="",N(C82)=0),"",SUMIFS('Girdi — Faturalar ve tahsilat'!$P$2:$P$3001,'Girdi — Faturalar ve tahsilat'!$C$2:$C$3001,$A82,'Girdi — Faturalar ve tahsilat'!$T$2:$T$3001,$Z$5)/C82)</f>
        <v/>
      </c>
      <c r="E82" s="15" t="str">
        <f aca="false">IF(OR(A82="",N(C82)=0),"",SUMIFS('Girdi — Faturalar ve tahsilat'!$Q$2:$Q$3001,'Girdi — Faturalar ve tahsilat'!$C$2:$C$3001,$A82,'Girdi — Faturalar ve tahsilat'!$T$2:$T$3001,$Z$5)/C82)</f>
        <v/>
      </c>
      <c r="F82" s="20" t="str">
        <f aca="false">IF(D82="","",E82-D82)</f>
        <v/>
      </c>
      <c r="G82" s="13" t="str">
        <f aca="false">IF(F82="","",C82*$D$4*F82/365)</f>
        <v/>
      </c>
      <c r="H82" s="13" t="str">
        <f aca="false">IF(A82="","",SUMIFS('Girdi — Faturalar ve tahsilat'!$R$2:$R$3001,'Girdi — Faturalar ve tahsilat'!$C$2:$C$3001,$A82,'Girdi — Faturalar ve tahsilat'!$T$2:$T$3001,$Z$5))</f>
        <v/>
      </c>
      <c r="I82" s="13" t="str">
        <f aca="false">IF(A82="","",SUMIFS('Girdi — Faturalar ve tahsilat'!$R$2:$R$3001,'Girdi — Faturalar ve tahsilat'!$C$2:$C$3001,$A82,'Girdi — Faturalar ve tahsilat'!$T$2:$T$3001,$Z$5,'Girdi — Faturalar ve tahsilat'!$O$2:$O$3001,"&gt;0"))</f>
        <v/>
      </c>
      <c r="J82" s="13" t="str">
        <f aca="false">IF(A82="","",SUMIFS('Girdi — Faturalar ve tahsilat'!$R$2:$R$3001,'Girdi — Faturalar ve tahsilat'!$C$2:$C$3001,$A82,'Girdi — Faturalar ve tahsilat'!$T$2:$T$3001,$Z$5,'Girdi — Faturalar ve tahsilat'!$S$2:$S$3001,"1-30"))</f>
        <v/>
      </c>
      <c r="K82" s="13" t="str">
        <f aca="false">IF(A82="","",SUMIFS('Girdi — Faturalar ve tahsilat'!$R$2:$R$3001,'Girdi — Faturalar ve tahsilat'!$C$2:$C$3001,$A82,'Girdi — Faturalar ve tahsilat'!$T$2:$T$3001,$Z$5,'Girdi — Faturalar ve tahsilat'!$S$2:$S$3001,"31-60"))</f>
        <v/>
      </c>
      <c r="L82" s="13" t="str">
        <f aca="false">IF(A82="","",SUMIFS('Girdi — Faturalar ve tahsilat'!$R$2:$R$3001,'Girdi — Faturalar ve tahsilat'!$C$2:$C$3001,$A82,'Girdi — Faturalar ve tahsilat'!$T$2:$T$3001,$Z$5,'Girdi — Faturalar ve tahsilat'!$S$2:$S$3001,"61-90"))</f>
        <v/>
      </c>
      <c r="M82" s="13" t="str">
        <f aca="false">IF(A82="","",SUMIFS('Girdi — Faturalar ve tahsilat'!$R$2:$R$3001,'Girdi — Faturalar ve tahsilat'!$C$2:$C$3001,$A82,'Girdi — Faturalar ve tahsilat'!$T$2:$T$3001,$Z$5,'Girdi — Faturalar ve tahsilat'!$S$2:$S$3001,"90+"))</f>
        <v/>
      </c>
      <c r="N82" s="21" t="str">
        <f aca="false">IF(F82="","",RANK(F82,$F$17:$F$216,0)+COUNTIF($F$17:F82,F82)-1)</f>
        <v/>
      </c>
    </row>
    <row r="83" customFormat="false" ht="15" hidden="false" customHeight="false" outlineLevel="0" collapsed="false">
      <c r="A83" s="16" t="str">
        <f aca="false">IFERROR(INDEX('Girdi — Faturalar ve tahsilat'!$C$2:$C$3001,MATCH(67,'Girdi — Faturalar ve tahsilat'!$U$2:$U$3001,0)),"")</f>
        <v/>
      </c>
      <c r="B83" s="16" t="str">
        <f aca="false">IF(A83="","",INDEX('Girdi — Faturalar ve tahsilat'!$D$2:$D$3001,MATCH(67,'Girdi — Faturalar ve tahsilat'!$U$2:$U$3001,0)))</f>
        <v/>
      </c>
      <c r="C83" s="13" t="str">
        <f aca="false">IF(A83="","",SUMIFS('Girdi — Faturalar ve tahsilat'!$F$2:$F$3001,'Girdi — Faturalar ve tahsilat'!$C$2:$C$3001,$A83,'Girdi — Faturalar ve tahsilat'!$T$2:$T$3001,$Z$5))</f>
        <v/>
      </c>
      <c r="D83" s="15" t="str">
        <f aca="false">IF(OR(A83="",N(C83)=0),"",SUMIFS('Girdi — Faturalar ve tahsilat'!$P$2:$P$3001,'Girdi — Faturalar ve tahsilat'!$C$2:$C$3001,$A83,'Girdi — Faturalar ve tahsilat'!$T$2:$T$3001,$Z$5)/C83)</f>
        <v/>
      </c>
      <c r="E83" s="15" t="str">
        <f aca="false">IF(OR(A83="",N(C83)=0),"",SUMIFS('Girdi — Faturalar ve tahsilat'!$Q$2:$Q$3001,'Girdi — Faturalar ve tahsilat'!$C$2:$C$3001,$A83,'Girdi — Faturalar ve tahsilat'!$T$2:$T$3001,$Z$5)/C83)</f>
        <v/>
      </c>
      <c r="F83" s="20" t="str">
        <f aca="false">IF(D83="","",E83-D83)</f>
        <v/>
      </c>
      <c r="G83" s="13" t="str">
        <f aca="false">IF(F83="","",C83*$D$4*F83/365)</f>
        <v/>
      </c>
      <c r="H83" s="13" t="str">
        <f aca="false">IF(A83="","",SUMIFS('Girdi — Faturalar ve tahsilat'!$R$2:$R$3001,'Girdi — Faturalar ve tahsilat'!$C$2:$C$3001,$A83,'Girdi — Faturalar ve tahsilat'!$T$2:$T$3001,$Z$5))</f>
        <v/>
      </c>
      <c r="I83" s="13" t="str">
        <f aca="false">IF(A83="","",SUMIFS('Girdi — Faturalar ve tahsilat'!$R$2:$R$3001,'Girdi — Faturalar ve tahsilat'!$C$2:$C$3001,$A83,'Girdi — Faturalar ve tahsilat'!$T$2:$T$3001,$Z$5,'Girdi — Faturalar ve tahsilat'!$O$2:$O$3001,"&gt;0"))</f>
        <v/>
      </c>
      <c r="J83" s="13" t="str">
        <f aca="false">IF(A83="","",SUMIFS('Girdi — Faturalar ve tahsilat'!$R$2:$R$3001,'Girdi — Faturalar ve tahsilat'!$C$2:$C$3001,$A83,'Girdi — Faturalar ve tahsilat'!$T$2:$T$3001,$Z$5,'Girdi — Faturalar ve tahsilat'!$S$2:$S$3001,"1-30"))</f>
        <v/>
      </c>
      <c r="K83" s="13" t="str">
        <f aca="false">IF(A83="","",SUMIFS('Girdi — Faturalar ve tahsilat'!$R$2:$R$3001,'Girdi — Faturalar ve tahsilat'!$C$2:$C$3001,$A83,'Girdi — Faturalar ve tahsilat'!$T$2:$T$3001,$Z$5,'Girdi — Faturalar ve tahsilat'!$S$2:$S$3001,"31-60"))</f>
        <v/>
      </c>
      <c r="L83" s="13" t="str">
        <f aca="false">IF(A83="","",SUMIFS('Girdi — Faturalar ve tahsilat'!$R$2:$R$3001,'Girdi — Faturalar ve tahsilat'!$C$2:$C$3001,$A83,'Girdi — Faturalar ve tahsilat'!$T$2:$T$3001,$Z$5,'Girdi — Faturalar ve tahsilat'!$S$2:$S$3001,"61-90"))</f>
        <v/>
      </c>
      <c r="M83" s="13" t="str">
        <f aca="false">IF(A83="","",SUMIFS('Girdi — Faturalar ve tahsilat'!$R$2:$R$3001,'Girdi — Faturalar ve tahsilat'!$C$2:$C$3001,$A83,'Girdi — Faturalar ve tahsilat'!$T$2:$T$3001,$Z$5,'Girdi — Faturalar ve tahsilat'!$S$2:$S$3001,"90+"))</f>
        <v/>
      </c>
      <c r="N83" s="21" t="str">
        <f aca="false">IF(F83="","",RANK(F83,$F$17:$F$216,0)+COUNTIF($F$17:F83,F83)-1)</f>
        <v/>
      </c>
    </row>
    <row r="84" customFormat="false" ht="15" hidden="false" customHeight="false" outlineLevel="0" collapsed="false">
      <c r="A84" s="16" t="str">
        <f aca="false">IFERROR(INDEX('Girdi — Faturalar ve tahsilat'!$C$2:$C$3001,MATCH(68,'Girdi — Faturalar ve tahsilat'!$U$2:$U$3001,0)),"")</f>
        <v/>
      </c>
      <c r="B84" s="16" t="str">
        <f aca="false">IF(A84="","",INDEX('Girdi — Faturalar ve tahsilat'!$D$2:$D$3001,MATCH(68,'Girdi — Faturalar ve tahsilat'!$U$2:$U$3001,0)))</f>
        <v/>
      </c>
      <c r="C84" s="13" t="str">
        <f aca="false">IF(A84="","",SUMIFS('Girdi — Faturalar ve tahsilat'!$F$2:$F$3001,'Girdi — Faturalar ve tahsilat'!$C$2:$C$3001,$A84,'Girdi — Faturalar ve tahsilat'!$T$2:$T$3001,$Z$5))</f>
        <v/>
      </c>
      <c r="D84" s="15" t="str">
        <f aca="false">IF(OR(A84="",N(C84)=0),"",SUMIFS('Girdi — Faturalar ve tahsilat'!$P$2:$P$3001,'Girdi — Faturalar ve tahsilat'!$C$2:$C$3001,$A84,'Girdi — Faturalar ve tahsilat'!$T$2:$T$3001,$Z$5)/C84)</f>
        <v/>
      </c>
      <c r="E84" s="15" t="str">
        <f aca="false">IF(OR(A84="",N(C84)=0),"",SUMIFS('Girdi — Faturalar ve tahsilat'!$Q$2:$Q$3001,'Girdi — Faturalar ve tahsilat'!$C$2:$C$3001,$A84,'Girdi — Faturalar ve tahsilat'!$T$2:$T$3001,$Z$5)/C84)</f>
        <v/>
      </c>
      <c r="F84" s="20" t="str">
        <f aca="false">IF(D84="","",E84-D84)</f>
        <v/>
      </c>
      <c r="G84" s="13" t="str">
        <f aca="false">IF(F84="","",C84*$D$4*F84/365)</f>
        <v/>
      </c>
      <c r="H84" s="13" t="str">
        <f aca="false">IF(A84="","",SUMIFS('Girdi — Faturalar ve tahsilat'!$R$2:$R$3001,'Girdi — Faturalar ve tahsilat'!$C$2:$C$3001,$A84,'Girdi — Faturalar ve tahsilat'!$T$2:$T$3001,$Z$5))</f>
        <v/>
      </c>
      <c r="I84" s="13" t="str">
        <f aca="false">IF(A84="","",SUMIFS('Girdi — Faturalar ve tahsilat'!$R$2:$R$3001,'Girdi — Faturalar ve tahsilat'!$C$2:$C$3001,$A84,'Girdi — Faturalar ve tahsilat'!$T$2:$T$3001,$Z$5,'Girdi — Faturalar ve tahsilat'!$O$2:$O$3001,"&gt;0"))</f>
        <v/>
      </c>
      <c r="J84" s="13" t="str">
        <f aca="false">IF(A84="","",SUMIFS('Girdi — Faturalar ve tahsilat'!$R$2:$R$3001,'Girdi — Faturalar ve tahsilat'!$C$2:$C$3001,$A84,'Girdi — Faturalar ve tahsilat'!$T$2:$T$3001,$Z$5,'Girdi — Faturalar ve tahsilat'!$S$2:$S$3001,"1-30"))</f>
        <v/>
      </c>
      <c r="K84" s="13" t="str">
        <f aca="false">IF(A84="","",SUMIFS('Girdi — Faturalar ve tahsilat'!$R$2:$R$3001,'Girdi — Faturalar ve tahsilat'!$C$2:$C$3001,$A84,'Girdi — Faturalar ve tahsilat'!$T$2:$T$3001,$Z$5,'Girdi — Faturalar ve tahsilat'!$S$2:$S$3001,"31-60"))</f>
        <v/>
      </c>
      <c r="L84" s="13" t="str">
        <f aca="false">IF(A84="","",SUMIFS('Girdi — Faturalar ve tahsilat'!$R$2:$R$3001,'Girdi — Faturalar ve tahsilat'!$C$2:$C$3001,$A84,'Girdi — Faturalar ve tahsilat'!$T$2:$T$3001,$Z$5,'Girdi — Faturalar ve tahsilat'!$S$2:$S$3001,"61-90"))</f>
        <v/>
      </c>
      <c r="M84" s="13" t="str">
        <f aca="false">IF(A84="","",SUMIFS('Girdi — Faturalar ve tahsilat'!$R$2:$R$3001,'Girdi — Faturalar ve tahsilat'!$C$2:$C$3001,$A84,'Girdi — Faturalar ve tahsilat'!$T$2:$T$3001,$Z$5,'Girdi — Faturalar ve tahsilat'!$S$2:$S$3001,"90+"))</f>
        <v/>
      </c>
      <c r="N84" s="21" t="str">
        <f aca="false">IF(F84="","",RANK(F84,$F$17:$F$216,0)+COUNTIF($F$17:F84,F84)-1)</f>
        <v/>
      </c>
    </row>
    <row r="85" customFormat="false" ht="15" hidden="false" customHeight="false" outlineLevel="0" collapsed="false">
      <c r="A85" s="16" t="str">
        <f aca="false">IFERROR(INDEX('Girdi — Faturalar ve tahsilat'!$C$2:$C$3001,MATCH(69,'Girdi — Faturalar ve tahsilat'!$U$2:$U$3001,0)),"")</f>
        <v/>
      </c>
      <c r="B85" s="16" t="str">
        <f aca="false">IF(A85="","",INDEX('Girdi — Faturalar ve tahsilat'!$D$2:$D$3001,MATCH(69,'Girdi — Faturalar ve tahsilat'!$U$2:$U$3001,0)))</f>
        <v/>
      </c>
      <c r="C85" s="13" t="str">
        <f aca="false">IF(A85="","",SUMIFS('Girdi — Faturalar ve tahsilat'!$F$2:$F$3001,'Girdi — Faturalar ve tahsilat'!$C$2:$C$3001,$A85,'Girdi — Faturalar ve tahsilat'!$T$2:$T$3001,$Z$5))</f>
        <v/>
      </c>
      <c r="D85" s="15" t="str">
        <f aca="false">IF(OR(A85="",N(C85)=0),"",SUMIFS('Girdi — Faturalar ve tahsilat'!$P$2:$P$3001,'Girdi — Faturalar ve tahsilat'!$C$2:$C$3001,$A85,'Girdi — Faturalar ve tahsilat'!$T$2:$T$3001,$Z$5)/C85)</f>
        <v/>
      </c>
      <c r="E85" s="15" t="str">
        <f aca="false">IF(OR(A85="",N(C85)=0),"",SUMIFS('Girdi — Faturalar ve tahsilat'!$Q$2:$Q$3001,'Girdi — Faturalar ve tahsilat'!$C$2:$C$3001,$A85,'Girdi — Faturalar ve tahsilat'!$T$2:$T$3001,$Z$5)/C85)</f>
        <v/>
      </c>
      <c r="F85" s="20" t="str">
        <f aca="false">IF(D85="","",E85-D85)</f>
        <v/>
      </c>
      <c r="G85" s="13" t="str">
        <f aca="false">IF(F85="","",C85*$D$4*F85/365)</f>
        <v/>
      </c>
      <c r="H85" s="13" t="str">
        <f aca="false">IF(A85="","",SUMIFS('Girdi — Faturalar ve tahsilat'!$R$2:$R$3001,'Girdi — Faturalar ve tahsilat'!$C$2:$C$3001,$A85,'Girdi — Faturalar ve tahsilat'!$T$2:$T$3001,$Z$5))</f>
        <v/>
      </c>
      <c r="I85" s="13" t="str">
        <f aca="false">IF(A85="","",SUMIFS('Girdi — Faturalar ve tahsilat'!$R$2:$R$3001,'Girdi — Faturalar ve tahsilat'!$C$2:$C$3001,$A85,'Girdi — Faturalar ve tahsilat'!$T$2:$T$3001,$Z$5,'Girdi — Faturalar ve tahsilat'!$O$2:$O$3001,"&gt;0"))</f>
        <v/>
      </c>
      <c r="J85" s="13" t="str">
        <f aca="false">IF(A85="","",SUMIFS('Girdi — Faturalar ve tahsilat'!$R$2:$R$3001,'Girdi — Faturalar ve tahsilat'!$C$2:$C$3001,$A85,'Girdi — Faturalar ve tahsilat'!$T$2:$T$3001,$Z$5,'Girdi — Faturalar ve tahsilat'!$S$2:$S$3001,"1-30"))</f>
        <v/>
      </c>
      <c r="K85" s="13" t="str">
        <f aca="false">IF(A85="","",SUMIFS('Girdi — Faturalar ve tahsilat'!$R$2:$R$3001,'Girdi — Faturalar ve tahsilat'!$C$2:$C$3001,$A85,'Girdi — Faturalar ve tahsilat'!$T$2:$T$3001,$Z$5,'Girdi — Faturalar ve tahsilat'!$S$2:$S$3001,"31-60"))</f>
        <v/>
      </c>
      <c r="L85" s="13" t="str">
        <f aca="false">IF(A85="","",SUMIFS('Girdi — Faturalar ve tahsilat'!$R$2:$R$3001,'Girdi — Faturalar ve tahsilat'!$C$2:$C$3001,$A85,'Girdi — Faturalar ve tahsilat'!$T$2:$T$3001,$Z$5,'Girdi — Faturalar ve tahsilat'!$S$2:$S$3001,"61-90"))</f>
        <v/>
      </c>
      <c r="M85" s="13" t="str">
        <f aca="false">IF(A85="","",SUMIFS('Girdi — Faturalar ve tahsilat'!$R$2:$R$3001,'Girdi — Faturalar ve tahsilat'!$C$2:$C$3001,$A85,'Girdi — Faturalar ve tahsilat'!$T$2:$T$3001,$Z$5,'Girdi — Faturalar ve tahsilat'!$S$2:$S$3001,"90+"))</f>
        <v/>
      </c>
      <c r="N85" s="21" t="str">
        <f aca="false">IF(F85="","",RANK(F85,$F$17:$F$216,0)+COUNTIF($F$17:F85,F85)-1)</f>
        <v/>
      </c>
    </row>
    <row r="86" customFormat="false" ht="15" hidden="false" customHeight="false" outlineLevel="0" collapsed="false">
      <c r="A86" s="16" t="str">
        <f aca="false">IFERROR(INDEX('Girdi — Faturalar ve tahsilat'!$C$2:$C$3001,MATCH(70,'Girdi — Faturalar ve tahsilat'!$U$2:$U$3001,0)),"")</f>
        <v/>
      </c>
      <c r="B86" s="16" t="str">
        <f aca="false">IF(A86="","",INDEX('Girdi — Faturalar ve tahsilat'!$D$2:$D$3001,MATCH(70,'Girdi — Faturalar ve tahsilat'!$U$2:$U$3001,0)))</f>
        <v/>
      </c>
      <c r="C86" s="13" t="str">
        <f aca="false">IF(A86="","",SUMIFS('Girdi — Faturalar ve tahsilat'!$F$2:$F$3001,'Girdi — Faturalar ve tahsilat'!$C$2:$C$3001,$A86,'Girdi — Faturalar ve tahsilat'!$T$2:$T$3001,$Z$5))</f>
        <v/>
      </c>
      <c r="D86" s="15" t="str">
        <f aca="false">IF(OR(A86="",N(C86)=0),"",SUMIFS('Girdi — Faturalar ve tahsilat'!$P$2:$P$3001,'Girdi — Faturalar ve tahsilat'!$C$2:$C$3001,$A86,'Girdi — Faturalar ve tahsilat'!$T$2:$T$3001,$Z$5)/C86)</f>
        <v/>
      </c>
      <c r="E86" s="15" t="str">
        <f aca="false">IF(OR(A86="",N(C86)=0),"",SUMIFS('Girdi — Faturalar ve tahsilat'!$Q$2:$Q$3001,'Girdi — Faturalar ve tahsilat'!$C$2:$C$3001,$A86,'Girdi — Faturalar ve tahsilat'!$T$2:$T$3001,$Z$5)/C86)</f>
        <v/>
      </c>
      <c r="F86" s="20" t="str">
        <f aca="false">IF(D86="","",E86-D86)</f>
        <v/>
      </c>
      <c r="G86" s="13" t="str">
        <f aca="false">IF(F86="","",C86*$D$4*F86/365)</f>
        <v/>
      </c>
      <c r="H86" s="13" t="str">
        <f aca="false">IF(A86="","",SUMIFS('Girdi — Faturalar ve tahsilat'!$R$2:$R$3001,'Girdi — Faturalar ve tahsilat'!$C$2:$C$3001,$A86,'Girdi — Faturalar ve tahsilat'!$T$2:$T$3001,$Z$5))</f>
        <v/>
      </c>
      <c r="I86" s="13" t="str">
        <f aca="false">IF(A86="","",SUMIFS('Girdi — Faturalar ve tahsilat'!$R$2:$R$3001,'Girdi — Faturalar ve tahsilat'!$C$2:$C$3001,$A86,'Girdi — Faturalar ve tahsilat'!$T$2:$T$3001,$Z$5,'Girdi — Faturalar ve tahsilat'!$O$2:$O$3001,"&gt;0"))</f>
        <v/>
      </c>
      <c r="J86" s="13" t="str">
        <f aca="false">IF(A86="","",SUMIFS('Girdi — Faturalar ve tahsilat'!$R$2:$R$3001,'Girdi — Faturalar ve tahsilat'!$C$2:$C$3001,$A86,'Girdi — Faturalar ve tahsilat'!$T$2:$T$3001,$Z$5,'Girdi — Faturalar ve tahsilat'!$S$2:$S$3001,"1-30"))</f>
        <v/>
      </c>
      <c r="K86" s="13" t="str">
        <f aca="false">IF(A86="","",SUMIFS('Girdi — Faturalar ve tahsilat'!$R$2:$R$3001,'Girdi — Faturalar ve tahsilat'!$C$2:$C$3001,$A86,'Girdi — Faturalar ve tahsilat'!$T$2:$T$3001,$Z$5,'Girdi — Faturalar ve tahsilat'!$S$2:$S$3001,"31-60"))</f>
        <v/>
      </c>
      <c r="L86" s="13" t="str">
        <f aca="false">IF(A86="","",SUMIFS('Girdi — Faturalar ve tahsilat'!$R$2:$R$3001,'Girdi — Faturalar ve tahsilat'!$C$2:$C$3001,$A86,'Girdi — Faturalar ve tahsilat'!$T$2:$T$3001,$Z$5,'Girdi — Faturalar ve tahsilat'!$S$2:$S$3001,"61-90"))</f>
        <v/>
      </c>
      <c r="M86" s="13" t="str">
        <f aca="false">IF(A86="","",SUMIFS('Girdi — Faturalar ve tahsilat'!$R$2:$R$3001,'Girdi — Faturalar ve tahsilat'!$C$2:$C$3001,$A86,'Girdi — Faturalar ve tahsilat'!$T$2:$T$3001,$Z$5,'Girdi — Faturalar ve tahsilat'!$S$2:$S$3001,"90+"))</f>
        <v/>
      </c>
      <c r="N86" s="21" t="str">
        <f aca="false">IF(F86="","",RANK(F86,$F$17:$F$216,0)+COUNTIF($F$17:F86,F86)-1)</f>
        <v/>
      </c>
    </row>
    <row r="87" customFormat="false" ht="15" hidden="false" customHeight="false" outlineLevel="0" collapsed="false">
      <c r="A87" s="16" t="str">
        <f aca="false">IFERROR(INDEX('Girdi — Faturalar ve tahsilat'!$C$2:$C$3001,MATCH(71,'Girdi — Faturalar ve tahsilat'!$U$2:$U$3001,0)),"")</f>
        <v/>
      </c>
      <c r="B87" s="16" t="str">
        <f aca="false">IF(A87="","",INDEX('Girdi — Faturalar ve tahsilat'!$D$2:$D$3001,MATCH(71,'Girdi — Faturalar ve tahsilat'!$U$2:$U$3001,0)))</f>
        <v/>
      </c>
      <c r="C87" s="13" t="str">
        <f aca="false">IF(A87="","",SUMIFS('Girdi — Faturalar ve tahsilat'!$F$2:$F$3001,'Girdi — Faturalar ve tahsilat'!$C$2:$C$3001,$A87,'Girdi — Faturalar ve tahsilat'!$T$2:$T$3001,$Z$5))</f>
        <v/>
      </c>
      <c r="D87" s="15" t="str">
        <f aca="false">IF(OR(A87="",N(C87)=0),"",SUMIFS('Girdi — Faturalar ve tahsilat'!$P$2:$P$3001,'Girdi — Faturalar ve tahsilat'!$C$2:$C$3001,$A87,'Girdi — Faturalar ve tahsilat'!$T$2:$T$3001,$Z$5)/C87)</f>
        <v/>
      </c>
      <c r="E87" s="15" t="str">
        <f aca="false">IF(OR(A87="",N(C87)=0),"",SUMIFS('Girdi — Faturalar ve tahsilat'!$Q$2:$Q$3001,'Girdi — Faturalar ve tahsilat'!$C$2:$C$3001,$A87,'Girdi — Faturalar ve tahsilat'!$T$2:$T$3001,$Z$5)/C87)</f>
        <v/>
      </c>
      <c r="F87" s="20" t="str">
        <f aca="false">IF(D87="","",E87-D87)</f>
        <v/>
      </c>
      <c r="G87" s="13" t="str">
        <f aca="false">IF(F87="","",C87*$D$4*F87/365)</f>
        <v/>
      </c>
      <c r="H87" s="13" t="str">
        <f aca="false">IF(A87="","",SUMIFS('Girdi — Faturalar ve tahsilat'!$R$2:$R$3001,'Girdi — Faturalar ve tahsilat'!$C$2:$C$3001,$A87,'Girdi — Faturalar ve tahsilat'!$T$2:$T$3001,$Z$5))</f>
        <v/>
      </c>
      <c r="I87" s="13" t="str">
        <f aca="false">IF(A87="","",SUMIFS('Girdi — Faturalar ve tahsilat'!$R$2:$R$3001,'Girdi — Faturalar ve tahsilat'!$C$2:$C$3001,$A87,'Girdi — Faturalar ve tahsilat'!$T$2:$T$3001,$Z$5,'Girdi — Faturalar ve tahsilat'!$O$2:$O$3001,"&gt;0"))</f>
        <v/>
      </c>
      <c r="J87" s="13" t="str">
        <f aca="false">IF(A87="","",SUMIFS('Girdi — Faturalar ve tahsilat'!$R$2:$R$3001,'Girdi — Faturalar ve tahsilat'!$C$2:$C$3001,$A87,'Girdi — Faturalar ve tahsilat'!$T$2:$T$3001,$Z$5,'Girdi — Faturalar ve tahsilat'!$S$2:$S$3001,"1-30"))</f>
        <v/>
      </c>
      <c r="K87" s="13" t="str">
        <f aca="false">IF(A87="","",SUMIFS('Girdi — Faturalar ve tahsilat'!$R$2:$R$3001,'Girdi — Faturalar ve tahsilat'!$C$2:$C$3001,$A87,'Girdi — Faturalar ve tahsilat'!$T$2:$T$3001,$Z$5,'Girdi — Faturalar ve tahsilat'!$S$2:$S$3001,"31-60"))</f>
        <v/>
      </c>
      <c r="L87" s="13" t="str">
        <f aca="false">IF(A87="","",SUMIFS('Girdi — Faturalar ve tahsilat'!$R$2:$R$3001,'Girdi — Faturalar ve tahsilat'!$C$2:$C$3001,$A87,'Girdi — Faturalar ve tahsilat'!$T$2:$T$3001,$Z$5,'Girdi — Faturalar ve tahsilat'!$S$2:$S$3001,"61-90"))</f>
        <v/>
      </c>
      <c r="M87" s="13" t="str">
        <f aca="false">IF(A87="","",SUMIFS('Girdi — Faturalar ve tahsilat'!$R$2:$R$3001,'Girdi — Faturalar ve tahsilat'!$C$2:$C$3001,$A87,'Girdi — Faturalar ve tahsilat'!$T$2:$T$3001,$Z$5,'Girdi — Faturalar ve tahsilat'!$S$2:$S$3001,"90+"))</f>
        <v/>
      </c>
      <c r="N87" s="21" t="str">
        <f aca="false">IF(F87="","",RANK(F87,$F$17:$F$216,0)+COUNTIF($F$17:F87,F87)-1)</f>
        <v/>
      </c>
    </row>
    <row r="88" customFormat="false" ht="15" hidden="false" customHeight="false" outlineLevel="0" collapsed="false">
      <c r="A88" s="16" t="str">
        <f aca="false">IFERROR(INDEX('Girdi — Faturalar ve tahsilat'!$C$2:$C$3001,MATCH(72,'Girdi — Faturalar ve tahsilat'!$U$2:$U$3001,0)),"")</f>
        <v/>
      </c>
      <c r="B88" s="16" t="str">
        <f aca="false">IF(A88="","",INDEX('Girdi — Faturalar ve tahsilat'!$D$2:$D$3001,MATCH(72,'Girdi — Faturalar ve tahsilat'!$U$2:$U$3001,0)))</f>
        <v/>
      </c>
      <c r="C88" s="13" t="str">
        <f aca="false">IF(A88="","",SUMIFS('Girdi — Faturalar ve tahsilat'!$F$2:$F$3001,'Girdi — Faturalar ve tahsilat'!$C$2:$C$3001,$A88,'Girdi — Faturalar ve tahsilat'!$T$2:$T$3001,$Z$5))</f>
        <v/>
      </c>
      <c r="D88" s="15" t="str">
        <f aca="false">IF(OR(A88="",N(C88)=0),"",SUMIFS('Girdi — Faturalar ve tahsilat'!$P$2:$P$3001,'Girdi — Faturalar ve tahsilat'!$C$2:$C$3001,$A88,'Girdi — Faturalar ve tahsilat'!$T$2:$T$3001,$Z$5)/C88)</f>
        <v/>
      </c>
      <c r="E88" s="15" t="str">
        <f aca="false">IF(OR(A88="",N(C88)=0),"",SUMIFS('Girdi — Faturalar ve tahsilat'!$Q$2:$Q$3001,'Girdi — Faturalar ve tahsilat'!$C$2:$C$3001,$A88,'Girdi — Faturalar ve tahsilat'!$T$2:$T$3001,$Z$5)/C88)</f>
        <v/>
      </c>
      <c r="F88" s="20" t="str">
        <f aca="false">IF(D88="","",E88-D88)</f>
        <v/>
      </c>
      <c r="G88" s="13" t="str">
        <f aca="false">IF(F88="","",C88*$D$4*F88/365)</f>
        <v/>
      </c>
      <c r="H88" s="13" t="str">
        <f aca="false">IF(A88="","",SUMIFS('Girdi — Faturalar ve tahsilat'!$R$2:$R$3001,'Girdi — Faturalar ve tahsilat'!$C$2:$C$3001,$A88,'Girdi — Faturalar ve tahsilat'!$T$2:$T$3001,$Z$5))</f>
        <v/>
      </c>
      <c r="I88" s="13" t="str">
        <f aca="false">IF(A88="","",SUMIFS('Girdi — Faturalar ve tahsilat'!$R$2:$R$3001,'Girdi — Faturalar ve tahsilat'!$C$2:$C$3001,$A88,'Girdi — Faturalar ve tahsilat'!$T$2:$T$3001,$Z$5,'Girdi — Faturalar ve tahsilat'!$O$2:$O$3001,"&gt;0"))</f>
        <v/>
      </c>
      <c r="J88" s="13" t="str">
        <f aca="false">IF(A88="","",SUMIFS('Girdi — Faturalar ve tahsilat'!$R$2:$R$3001,'Girdi — Faturalar ve tahsilat'!$C$2:$C$3001,$A88,'Girdi — Faturalar ve tahsilat'!$T$2:$T$3001,$Z$5,'Girdi — Faturalar ve tahsilat'!$S$2:$S$3001,"1-30"))</f>
        <v/>
      </c>
      <c r="K88" s="13" t="str">
        <f aca="false">IF(A88="","",SUMIFS('Girdi — Faturalar ve tahsilat'!$R$2:$R$3001,'Girdi — Faturalar ve tahsilat'!$C$2:$C$3001,$A88,'Girdi — Faturalar ve tahsilat'!$T$2:$T$3001,$Z$5,'Girdi — Faturalar ve tahsilat'!$S$2:$S$3001,"31-60"))</f>
        <v/>
      </c>
      <c r="L88" s="13" t="str">
        <f aca="false">IF(A88="","",SUMIFS('Girdi — Faturalar ve tahsilat'!$R$2:$R$3001,'Girdi — Faturalar ve tahsilat'!$C$2:$C$3001,$A88,'Girdi — Faturalar ve tahsilat'!$T$2:$T$3001,$Z$5,'Girdi — Faturalar ve tahsilat'!$S$2:$S$3001,"61-90"))</f>
        <v/>
      </c>
      <c r="M88" s="13" t="str">
        <f aca="false">IF(A88="","",SUMIFS('Girdi — Faturalar ve tahsilat'!$R$2:$R$3001,'Girdi — Faturalar ve tahsilat'!$C$2:$C$3001,$A88,'Girdi — Faturalar ve tahsilat'!$T$2:$T$3001,$Z$5,'Girdi — Faturalar ve tahsilat'!$S$2:$S$3001,"90+"))</f>
        <v/>
      </c>
      <c r="N88" s="21" t="str">
        <f aca="false">IF(F88="","",RANK(F88,$F$17:$F$216,0)+COUNTIF($F$17:F88,F88)-1)</f>
        <v/>
      </c>
    </row>
    <row r="89" customFormat="false" ht="15" hidden="false" customHeight="false" outlineLevel="0" collapsed="false">
      <c r="A89" s="16" t="str">
        <f aca="false">IFERROR(INDEX('Girdi — Faturalar ve tahsilat'!$C$2:$C$3001,MATCH(73,'Girdi — Faturalar ve tahsilat'!$U$2:$U$3001,0)),"")</f>
        <v/>
      </c>
      <c r="B89" s="16" t="str">
        <f aca="false">IF(A89="","",INDEX('Girdi — Faturalar ve tahsilat'!$D$2:$D$3001,MATCH(73,'Girdi — Faturalar ve tahsilat'!$U$2:$U$3001,0)))</f>
        <v/>
      </c>
      <c r="C89" s="13" t="str">
        <f aca="false">IF(A89="","",SUMIFS('Girdi — Faturalar ve tahsilat'!$F$2:$F$3001,'Girdi — Faturalar ve tahsilat'!$C$2:$C$3001,$A89,'Girdi — Faturalar ve tahsilat'!$T$2:$T$3001,$Z$5))</f>
        <v/>
      </c>
      <c r="D89" s="15" t="str">
        <f aca="false">IF(OR(A89="",N(C89)=0),"",SUMIFS('Girdi — Faturalar ve tahsilat'!$P$2:$P$3001,'Girdi — Faturalar ve tahsilat'!$C$2:$C$3001,$A89,'Girdi — Faturalar ve tahsilat'!$T$2:$T$3001,$Z$5)/C89)</f>
        <v/>
      </c>
      <c r="E89" s="15" t="str">
        <f aca="false">IF(OR(A89="",N(C89)=0),"",SUMIFS('Girdi — Faturalar ve tahsilat'!$Q$2:$Q$3001,'Girdi — Faturalar ve tahsilat'!$C$2:$C$3001,$A89,'Girdi — Faturalar ve tahsilat'!$T$2:$T$3001,$Z$5)/C89)</f>
        <v/>
      </c>
      <c r="F89" s="20" t="str">
        <f aca="false">IF(D89="","",E89-D89)</f>
        <v/>
      </c>
      <c r="G89" s="13" t="str">
        <f aca="false">IF(F89="","",C89*$D$4*F89/365)</f>
        <v/>
      </c>
      <c r="H89" s="13" t="str">
        <f aca="false">IF(A89="","",SUMIFS('Girdi — Faturalar ve tahsilat'!$R$2:$R$3001,'Girdi — Faturalar ve tahsilat'!$C$2:$C$3001,$A89,'Girdi — Faturalar ve tahsilat'!$T$2:$T$3001,$Z$5))</f>
        <v/>
      </c>
      <c r="I89" s="13" t="str">
        <f aca="false">IF(A89="","",SUMIFS('Girdi — Faturalar ve tahsilat'!$R$2:$R$3001,'Girdi — Faturalar ve tahsilat'!$C$2:$C$3001,$A89,'Girdi — Faturalar ve tahsilat'!$T$2:$T$3001,$Z$5,'Girdi — Faturalar ve tahsilat'!$O$2:$O$3001,"&gt;0"))</f>
        <v/>
      </c>
      <c r="J89" s="13" t="str">
        <f aca="false">IF(A89="","",SUMIFS('Girdi — Faturalar ve tahsilat'!$R$2:$R$3001,'Girdi — Faturalar ve tahsilat'!$C$2:$C$3001,$A89,'Girdi — Faturalar ve tahsilat'!$T$2:$T$3001,$Z$5,'Girdi — Faturalar ve tahsilat'!$S$2:$S$3001,"1-30"))</f>
        <v/>
      </c>
      <c r="K89" s="13" t="str">
        <f aca="false">IF(A89="","",SUMIFS('Girdi — Faturalar ve tahsilat'!$R$2:$R$3001,'Girdi — Faturalar ve tahsilat'!$C$2:$C$3001,$A89,'Girdi — Faturalar ve tahsilat'!$T$2:$T$3001,$Z$5,'Girdi — Faturalar ve tahsilat'!$S$2:$S$3001,"31-60"))</f>
        <v/>
      </c>
      <c r="L89" s="13" t="str">
        <f aca="false">IF(A89="","",SUMIFS('Girdi — Faturalar ve tahsilat'!$R$2:$R$3001,'Girdi — Faturalar ve tahsilat'!$C$2:$C$3001,$A89,'Girdi — Faturalar ve tahsilat'!$T$2:$T$3001,$Z$5,'Girdi — Faturalar ve tahsilat'!$S$2:$S$3001,"61-90"))</f>
        <v/>
      </c>
      <c r="M89" s="13" t="str">
        <f aca="false">IF(A89="","",SUMIFS('Girdi — Faturalar ve tahsilat'!$R$2:$R$3001,'Girdi — Faturalar ve tahsilat'!$C$2:$C$3001,$A89,'Girdi — Faturalar ve tahsilat'!$T$2:$T$3001,$Z$5,'Girdi — Faturalar ve tahsilat'!$S$2:$S$3001,"90+"))</f>
        <v/>
      </c>
      <c r="N89" s="21" t="str">
        <f aca="false">IF(F89="","",RANK(F89,$F$17:$F$216,0)+COUNTIF($F$17:F89,F89)-1)</f>
        <v/>
      </c>
    </row>
    <row r="90" customFormat="false" ht="15" hidden="false" customHeight="false" outlineLevel="0" collapsed="false">
      <c r="A90" s="16" t="str">
        <f aca="false">IFERROR(INDEX('Girdi — Faturalar ve tahsilat'!$C$2:$C$3001,MATCH(74,'Girdi — Faturalar ve tahsilat'!$U$2:$U$3001,0)),"")</f>
        <v/>
      </c>
      <c r="B90" s="16" t="str">
        <f aca="false">IF(A90="","",INDEX('Girdi — Faturalar ve tahsilat'!$D$2:$D$3001,MATCH(74,'Girdi — Faturalar ve tahsilat'!$U$2:$U$3001,0)))</f>
        <v/>
      </c>
      <c r="C90" s="13" t="str">
        <f aca="false">IF(A90="","",SUMIFS('Girdi — Faturalar ve tahsilat'!$F$2:$F$3001,'Girdi — Faturalar ve tahsilat'!$C$2:$C$3001,$A90,'Girdi — Faturalar ve tahsilat'!$T$2:$T$3001,$Z$5))</f>
        <v/>
      </c>
      <c r="D90" s="15" t="str">
        <f aca="false">IF(OR(A90="",N(C90)=0),"",SUMIFS('Girdi — Faturalar ve tahsilat'!$P$2:$P$3001,'Girdi — Faturalar ve tahsilat'!$C$2:$C$3001,$A90,'Girdi — Faturalar ve tahsilat'!$T$2:$T$3001,$Z$5)/C90)</f>
        <v/>
      </c>
      <c r="E90" s="15" t="str">
        <f aca="false">IF(OR(A90="",N(C90)=0),"",SUMIFS('Girdi — Faturalar ve tahsilat'!$Q$2:$Q$3001,'Girdi — Faturalar ve tahsilat'!$C$2:$C$3001,$A90,'Girdi — Faturalar ve tahsilat'!$T$2:$T$3001,$Z$5)/C90)</f>
        <v/>
      </c>
      <c r="F90" s="20" t="str">
        <f aca="false">IF(D90="","",E90-D90)</f>
        <v/>
      </c>
      <c r="G90" s="13" t="str">
        <f aca="false">IF(F90="","",C90*$D$4*F90/365)</f>
        <v/>
      </c>
      <c r="H90" s="13" t="str">
        <f aca="false">IF(A90="","",SUMIFS('Girdi — Faturalar ve tahsilat'!$R$2:$R$3001,'Girdi — Faturalar ve tahsilat'!$C$2:$C$3001,$A90,'Girdi — Faturalar ve tahsilat'!$T$2:$T$3001,$Z$5))</f>
        <v/>
      </c>
      <c r="I90" s="13" t="str">
        <f aca="false">IF(A90="","",SUMIFS('Girdi — Faturalar ve tahsilat'!$R$2:$R$3001,'Girdi — Faturalar ve tahsilat'!$C$2:$C$3001,$A90,'Girdi — Faturalar ve tahsilat'!$T$2:$T$3001,$Z$5,'Girdi — Faturalar ve tahsilat'!$O$2:$O$3001,"&gt;0"))</f>
        <v/>
      </c>
      <c r="J90" s="13" t="str">
        <f aca="false">IF(A90="","",SUMIFS('Girdi — Faturalar ve tahsilat'!$R$2:$R$3001,'Girdi — Faturalar ve tahsilat'!$C$2:$C$3001,$A90,'Girdi — Faturalar ve tahsilat'!$T$2:$T$3001,$Z$5,'Girdi — Faturalar ve tahsilat'!$S$2:$S$3001,"1-30"))</f>
        <v/>
      </c>
      <c r="K90" s="13" t="str">
        <f aca="false">IF(A90="","",SUMIFS('Girdi — Faturalar ve tahsilat'!$R$2:$R$3001,'Girdi — Faturalar ve tahsilat'!$C$2:$C$3001,$A90,'Girdi — Faturalar ve tahsilat'!$T$2:$T$3001,$Z$5,'Girdi — Faturalar ve tahsilat'!$S$2:$S$3001,"31-60"))</f>
        <v/>
      </c>
      <c r="L90" s="13" t="str">
        <f aca="false">IF(A90="","",SUMIFS('Girdi — Faturalar ve tahsilat'!$R$2:$R$3001,'Girdi — Faturalar ve tahsilat'!$C$2:$C$3001,$A90,'Girdi — Faturalar ve tahsilat'!$T$2:$T$3001,$Z$5,'Girdi — Faturalar ve tahsilat'!$S$2:$S$3001,"61-90"))</f>
        <v/>
      </c>
      <c r="M90" s="13" t="str">
        <f aca="false">IF(A90="","",SUMIFS('Girdi — Faturalar ve tahsilat'!$R$2:$R$3001,'Girdi — Faturalar ve tahsilat'!$C$2:$C$3001,$A90,'Girdi — Faturalar ve tahsilat'!$T$2:$T$3001,$Z$5,'Girdi — Faturalar ve tahsilat'!$S$2:$S$3001,"90+"))</f>
        <v/>
      </c>
      <c r="N90" s="21" t="str">
        <f aca="false">IF(F90="","",RANK(F90,$F$17:$F$216,0)+COUNTIF($F$17:F90,F90)-1)</f>
        <v/>
      </c>
    </row>
    <row r="91" customFormat="false" ht="15" hidden="false" customHeight="false" outlineLevel="0" collapsed="false">
      <c r="A91" s="16" t="str">
        <f aca="false">IFERROR(INDEX('Girdi — Faturalar ve tahsilat'!$C$2:$C$3001,MATCH(75,'Girdi — Faturalar ve tahsilat'!$U$2:$U$3001,0)),"")</f>
        <v/>
      </c>
      <c r="B91" s="16" t="str">
        <f aca="false">IF(A91="","",INDEX('Girdi — Faturalar ve tahsilat'!$D$2:$D$3001,MATCH(75,'Girdi — Faturalar ve tahsilat'!$U$2:$U$3001,0)))</f>
        <v/>
      </c>
      <c r="C91" s="13" t="str">
        <f aca="false">IF(A91="","",SUMIFS('Girdi — Faturalar ve tahsilat'!$F$2:$F$3001,'Girdi — Faturalar ve tahsilat'!$C$2:$C$3001,$A91,'Girdi — Faturalar ve tahsilat'!$T$2:$T$3001,$Z$5))</f>
        <v/>
      </c>
      <c r="D91" s="15" t="str">
        <f aca="false">IF(OR(A91="",N(C91)=0),"",SUMIFS('Girdi — Faturalar ve tahsilat'!$P$2:$P$3001,'Girdi — Faturalar ve tahsilat'!$C$2:$C$3001,$A91,'Girdi — Faturalar ve tahsilat'!$T$2:$T$3001,$Z$5)/C91)</f>
        <v/>
      </c>
      <c r="E91" s="15" t="str">
        <f aca="false">IF(OR(A91="",N(C91)=0),"",SUMIFS('Girdi — Faturalar ve tahsilat'!$Q$2:$Q$3001,'Girdi — Faturalar ve tahsilat'!$C$2:$C$3001,$A91,'Girdi — Faturalar ve tahsilat'!$T$2:$T$3001,$Z$5)/C91)</f>
        <v/>
      </c>
      <c r="F91" s="20" t="str">
        <f aca="false">IF(D91="","",E91-D91)</f>
        <v/>
      </c>
      <c r="G91" s="13" t="str">
        <f aca="false">IF(F91="","",C91*$D$4*F91/365)</f>
        <v/>
      </c>
      <c r="H91" s="13" t="str">
        <f aca="false">IF(A91="","",SUMIFS('Girdi — Faturalar ve tahsilat'!$R$2:$R$3001,'Girdi — Faturalar ve tahsilat'!$C$2:$C$3001,$A91,'Girdi — Faturalar ve tahsilat'!$T$2:$T$3001,$Z$5))</f>
        <v/>
      </c>
      <c r="I91" s="13" t="str">
        <f aca="false">IF(A91="","",SUMIFS('Girdi — Faturalar ve tahsilat'!$R$2:$R$3001,'Girdi — Faturalar ve tahsilat'!$C$2:$C$3001,$A91,'Girdi — Faturalar ve tahsilat'!$T$2:$T$3001,$Z$5,'Girdi — Faturalar ve tahsilat'!$O$2:$O$3001,"&gt;0"))</f>
        <v/>
      </c>
      <c r="J91" s="13" t="str">
        <f aca="false">IF(A91="","",SUMIFS('Girdi — Faturalar ve tahsilat'!$R$2:$R$3001,'Girdi — Faturalar ve tahsilat'!$C$2:$C$3001,$A91,'Girdi — Faturalar ve tahsilat'!$T$2:$T$3001,$Z$5,'Girdi — Faturalar ve tahsilat'!$S$2:$S$3001,"1-30"))</f>
        <v/>
      </c>
      <c r="K91" s="13" t="str">
        <f aca="false">IF(A91="","",SUMIFS('Girdi — Faturalar ve tahsilat'!$R$2:$R$3001,'Girdi — Faturalar ve tahsilat'!$C$2:$C$3001,$A91,'Girdi — Faturalar ve tahsilat'!$T$2:$T$3001,$Z$5,'Girdi — Faturalar ve tahsilat'!$S$2:$S$3001,"31-60"))</f>
        <v/>
      </c>
      <c r="L91" s="13" t="str">
        <f aca="false">IF(A91="","",SUMIFS('Girdi — Faturalar ve tahsilat'!$R$2:$R$3001,'Girdi — Faturalar ve tahsilat'!$C$2:$C$3001,$A91,'Girdi — Faturalar ve tahsilat'!$T$2:$T$3001,$Z$5,'Girdi — Faturalar ve tahsilat'!$S$2:$S$3001,"61-90"))</f>
        <v/>
      </c>
      <c r="M91" s="13" t="str">
        <f aca="false">IF(A91="","",SUMIFS('Girdi — Faturalar ve tahsilat'!$R$2:$R$3001,'Girdi — Faturalar ve tahsilat'!$C$2:$C$3001,$A91,'Girdi — Faturalar ve tahsilat'!$T$2:$T$3001,$Z$5,'Girdi — Faturalar ve tahsilat'!$S$2:$S$3001,"90+"))</f>
        <v/>
      </c>
      <c r="N91" s="21" t="str">
        <f aca="false">IF(F91="","",RANK(F91,$F$17:$F$216,0)+COUNTIF($F$17:F91,F91)-1)</f>
        <v/>
      </c>
    </row>
    <row r="92" customFormat="false" ht="15" hidden="false" customHeight="false" outlineLevel="0" collapsed="false">
      <c r="A92" s="16" t="str">
        <f aca="false">IFERROR(INDEX('Girdi — Faturalar ve tahsilat'!$C$2:$C$3001,MATCH(76,'Girdi — Faturalar ve tahsilat'!$U$2:$U$3001,0)),"")</f>
        <v/>
      </c>
      <c r="B92" s="16" t="str">
        <f aca="false">IF(A92="","",INDEX('Girdi — Faturalar ve tahsilat'!$D$2:$D$3001,MATCH(76,'Girdi — Faturalar ve tahsilat'!$U$2:$U$3001,0)))</f>
        <v/>
      </c>
      <c r="C92" s="13" t="str">
        <f aca="false">IF(A92="","",SUMIFS('Girdi — Faturalar ve tahsilat'!$F$2:$F$3001,'Girdi — Faturalar ve tahsilat'!$C$2:$C$3001,$A92,'Girdi — Faturalar ve tahsilat'!$T$2:$T$3001,$Z$5))</f>
        <v/>
      </c>
      <c r="D92" s="15" t="str">
        <f aca="false">IF(OR(A92="",N(C92)=0),"",SUMIFS('Girdi — Faturalar ve tahsilat'!$P$2:$P$3001,'Girdi — Faturalar ve tahsilat'!$C$2:$C$3001,$A92,'Girdi — Faturalar ve tahsilat'!$T$2:$T$3001,$Z$5)/C92)</f>
        <v/>
      </c>
      <c r="E92" s="15" t="str">
        <f aca="false">IF(OR(A92="",N(C92)=0),"",SUMIFS('Girdi — Faturalar ve tahsilat'!$Q$2:$Q$3001,'Girdi — Faturalar ve tahsilat'!$C$2:$C$3001,$A92,'Girdi — Faturalar ve tahsilat'!$T$2:$T$3001,$Z$5)/C92)</f>
        <v/>
      </c>
      <c r="F92" s="20" t="str">
        <f aca="false">IF(D92="","",E92-D92)</f>
        <v/>
      </c>
      <c r="G92" s="13" t="str">
        <f aca="false">IF(F92="","",C92*$D$4*F92/365)</f>
        <v/>
      </c>
      <c r="H92" s="13" t="str">
        <f aca="false">IF(A92="","",SUMIFS('Girdi — Faturalar ve tahsilat'!$R$2:$R$3001,'Girdi — Faturalar ve tahsilat'!$C$2:$C$3001,$A92,'Girdi — Faturalar ve tahsilat'!$T$2:$T$3001,$Z$5))</f>
        <v/>
      </c>
      <c r="I92" s="13" t="str">
        <f aca="false">IF(A92="","",SUMIFS('Girdi — Faturalar ve tahsilat'!$R$2:$R$3001,'Girdi — Faturalar ve tahsilat'!$C$2:$C$3001,$A92,'Girdi — Faturalar ve tahsilat'!$T$2:$T$3001,$Z$5,'Girdi — Faturalar ve tahsilat'!$O$2:$O$3001,"&gt;0"))</f>
        <v/>
      </c>
      <c r="J92" s="13" t="str">
        <f aca="false">IF(A92="","",SUMIFS('Girdi — Faturalar ve tahsilat'!$R$2:$R$3001,'Girdi — Faturalar ve tahsilat'!$C$2:$C$3001,$A92,'Girdi — Faturalar ve tahsilat'!$T$2:$T$3001,$Z$5,'Girdi — Faturalar ve tahsilat'!$S$2:$S$3001,"1-30"))</f>
        <v/>
      </c>
      <c r="K92" s="13" t="str">
        <f aca="false">IF(A92="","",SUMIFS('Girdi — Faturalar ve tahsilat'!$R$2:$R$3001,'Girdi — Faturalar ve tahsilat'!$C$2:$C$3001,$A92,'Girdi — Faturalar ve tahsilat'!$T$2:$T$3001,$Z$5,'Girdi — Faturalar ve tahsilat'!$S$2:$S$3001,"31-60"))</f>
        <v/>
      </c>
      <c r="L92" s="13" t="str">
        <f aca="false">IF(A92="","",SUMIFS('Girdi — Faturalar ve tahsilat'!$R$2:$R$3001,'Girdi — Faturalar ve tahsilat'!$C$2:$C$3001,$A92,'Girdi — Faturalar ve tahsilat'!$T$2:$T$3001,$Z$5,'Girdi — Faturalar ve tahsilat'!$S$2:$S$3001,"61-90"))</f>
        <v/>
      </c>
      <c r="M92" s="13" t="str">
        <f aca="false">IF(A92="","",SUMIFS('Girdi — Faturalar ve tahsilat'!$R$2:$R$3001,'Girdi — Faturalar ve tahsilat'!$C$2:$C$3001,$A92,'Girdi — Faturalar ve tahsilat'!$T$2:$T$3001,$Z$5,'Girdi — Faturalar ve tahsilat'!$S$2:$S$3001,"90+"))</f>
        <v/>
      </c>
      <c r="N92" s="21" t="str">
        <f aca="false">IF(F92="","",RANK(F92,$F$17:$F$216,0)+COUNTIF($F$17:F92,F92)-1)</f>
        <v/>
      </c>
    </row>
    <row r="93" customFormat="false" ht="15" hidden="false" customHeight="false" outlineLevel="0" collapsed="false">
      <c r="A93" s="16" t="str">
        <f aca="false">IFERROR(INDEX('Girdi — Faturalar ve tahsilat'!$C$2:$C$3001,MATCH(77,'Girdi — Faturalar ve tahsilat'!$U$2:$U$3001,0)),"")</f>
        <v/>
      </c>
      <c r="B93" s="16" t="str">
        <f aca="false">IF(A93="","",INDEX('Girdi — Faturalar ve tahsilat'!$D$2:$D$3001,MATCH(77,'Girdi — Faturalar ve tahsilat'!$U$2:$U$3001,0)))</f>
        <v/>
      </c>
      <c r="C93" s="13" t="str">
        <f aca="false">IF(A93="","",SUMIFS('Girdi — Faturalar ve tahsilat'!$F$2:$F$3001,'Girdi — Faturalar ve tahsilat'!$C$2:$C$3001,$A93,'Girdi — Faturalar ve tahsilat'!$T$2:$T$3001,$Z$5))</f>
        <v/>
      </c>
      <c r="D93" s="15" t="str">
        <f aca="false">IF(OR(A93="",N(C93)=0),"",SUMIFS('Girdi — Faturalar ve tahsilat'!$P$2:$P$3001,'Girdi — Faturalar ve tahsilat'!$C$2:$C$3001,$A93,'Girdi — Faturalar ve tahsilat'!$T$2:$T$3001,$Z$5)/C93)</f>
        <v/>
      </c>
      <c r="E93" s="15" t="str">
        <f aca="false">IF(OR(A93="",N(C93)=0),"",SUMIFS('Girdi — Faturalar ve tahsilat'!$Q$2:$Q$3001,'Girdi — Faturalar ve tahsilat'!$C$2:$C$3001,$A93,'Girdi — Faturalar ve tahsilat'!$T$2:$T$3001,$Z$5)/C93)</f>
        <v/>
      </c>
      <c r="F93" s="20" t="str">
        <f aca="false">IF(D93="","",E93-D93)</f>
        <v/>
      </c>
      <c r="G93" s="13" t="str">
        <f aca="false">IF(F93="","",C93*$D$4*F93/365)</f>
        <v/>
      </c>
      <c r="H93" s="13" t="str">
        <f aca="false">IF(A93="","",SUMIFS('Girdi — Faturalar ve tahsilat'!$R$2:$R$3001,'Girdi — Faturalar ve tahsilat'!$C$2:$C$3001,$A93,'Girdi — Faturalar ve tahsilat'!$T$2:$T$3001,$Z$5))</f>
        <v/>
      </c>
      <c r="I93" s="13" t="str">
        <f aca="false">IF(A93="","",SUMIFS('Girdi — Faturalar ve tahsilat'!$R$2:$R$3001,'Girdi — Faturalar ve tahsilat'!$C$2:$C$3001,$A93,'Girdi — Faturalar ve tahsilat'!$T$2:$T$3001,$Z$5,'Girdi — Faturalar ve tahsilat'!$O$2:$O$3001,"&gt;0"))</f>
        <v/>
      </c>
      <c r="J93" s="13" t="str">
        <f aca="false">IF(A93="","",SUMIFS('Girdi — Faturalar ve tahsilat'!$R$2:$R$3001,'Girdi — Faturalar ve tahsilat'!$C$2:$C$3001,$A93,'Girdi — Faturalar ve tahsilat'!$T$2:$T$3001,$Z$5,'Girdi — Faturalar ve tahsilat'!$S$2:$S$3001,"1-30"))</f>
        <v/>
      </c>
      <c r="K93" s="13" t="str">
        <f aca="false">IF(A93="","",SUMIFS('Girdi — Faturalar ve tahsilat'!$R$2:$R$3001,'Girdi — Faturalar ve tahsilat'!$C$2:$C$3001,$A93,'Girdi — Faturalar ve tahsilat'!$T$2:$T$3001,$Z$5,'Girdi — Faturalar ve tahsilat'!$S$2:$S$3001,"31-60"))</f>
        <v/>
      </c>
      <c r="L93" s="13" t="str">
        <f aca="false">IF(A93="","",SUMIFS('Girdi — Faturalar ve tahsilat'!$R$2:$R$3001,'Girdi — Faturalar ve tahsilat'!$C$2:$C$3001,$A93,'Girdi — Faturalar ve tahsilat'!$T$2:$T$3001,$Z$5,'Girdi — Faturalar ve tahsilat'!$S$2:$S$3001,"61-90"))</f>
        <v/>
      </c>
      <c r="M93" s="13" t="str">
        <f aca="false">IF(A93="","",SUMIFS('Girdi — Faturalar ve tahsilat'!$R$2:$R$3001,'Girdi — Faturalar ve tahsilat'!$C$2:$C$3001,$A93,'Girdi — Faturalar ve tahsilat'!$T$2:$T$3001,$Z$5,'Girdi — Faturalar ve tahsilat'!$S$2:$S$3001,"90+"))</f>
        <v/>
      </c>
      <c r="N93" s="21" t="str">
        <f aca="false">IF(F93="","",RANK(F93,$F$17:$F$216,0)+COUNTIF($F$17:F93,F93)-1)</f>
        <v/>
      </c>
    </row>
    <row r="94" customFormat="false" ht="15" hidden="false" customHeight="false" outlineLevel="0" collapsed="false">
      <c r="A94" s="16" t="str">
        <f aca="false">IFERROR(INDEX('Girdi — Faturalar ve tahsilat'!$C$2:$C$3001,MATCH(78,'Girdi — Faturalar ve tahsilat'!$U$2:$U$3001,0)),"")</f>
        <v/>
      </c>
      <c r="B94" s="16" t="str">
        <f aca="false">IF(A94="","",INDEX('Girdi — Faturalar ve tahsilat'!$D$2:$D$3001,MATCH(78,'Girdi — Faturalar ve tahsilat'!$U$2:$U$3001,0)))</f>
        <v/>
      </c>
      <c r="C94" s="13" t="str">
        <f aca="false">IF(A94="","",SUMIFS('Girdi — Faturalar ve tahsilat'!$F$2:$F$3001,'Girdi — Faturalar ve tahsilat'!$C$2:$C$3001,$A94,'Girdi — Faturalar ve tahsilat'!$T$2:$T$3001,$Z$5))</f>
        <v/>
      </c>
      <c r="D94" s="15" t="str">
        <f aca="false">IF(OR(A94="",N(C94)=0),"",SUMIFS('Girdi — Faturalar ve tahsilat'!$P$2:$P$3001,'Girdi — Faturalar ve tahsilat'!$C$2:$C$3001,$A94,'Girdi — Faturalar ve tahsilat'!$T$2:$T$3001,$Z$5)/C94)</f>
        <v/>
      </c>
      <c r="E94" s="15" t="str">
        <f aca="false">IF(OR(A94="",N(C94)=0),"",SUMIFS('Girdi — Faturalar ve tahsilat'!$Q$2:$Q$3001,'Girdi — Faturalar ve tahsilat'!$C$2:$C$3001,$A94,'Girdi — Faturalar ve tahsilat'!$T$2:$T$3001,$Z$5)/C94)</f>
        <v/>
      </c>
      <c r="F94" s="20" t="str">
        <f aca="false">IF(D94="","",E94-D94)</f>
        <v/>
      </c>
      <c r="G94" s="13" t="str">
        <f aca="false">IF(F94="","",C94*$D$4*F94/365)</f>
        <v/>
      </c>
      <c r="H94" s="13" t="str">
        <f aca="false">IF(A94="","",SUMIFS('Girdi — Faturalar ve tahsilat'!$R$2:$R$3001,'Girdi — Faturalar ve tahsilat'!$C$2:$C$3001,$A94,'Girdi — Faturalar ve tahsilat'!$T$2:$T$3001,$Z$5))</f>
        <v/>
      </c>
      <c r="I94" s="13" t="str">
        <f aca="false">IF(A94="","",SUMIFS('Girdi — Faturalar ve tahsilat'!$R$2:$R$3001,'Girdi — Faturalar ve tahsilat'!$C$2:$C$3001,$A94,'Girdi — Faturalar ve tahsilat'!$T$2:$T$3001,$Z$5,'Girdi — Faturalar ve tahsilat'!$O$2:$O$3001,"&gt;0"))</f>
        <v/>
      </c>
      <c r="J94" s="13" t="str">
        <f aca="false">IF(A94="","",SUMIFS('Girdi — Faturalar ve tahsilat'!$R$2:$R$3001,'Girdi — Faturalar ve tahsilat'!$C$2:$C$3001,$A94,'Girdi — Faturalar ve tahsilat'!$T$2:$T$3001,$Z$5,'Girdi — Faturalar ve tahsilat'!$S$2:$S$3001,"1-30"))</f>
        <v/>
      </c>
      <c r="K94" s="13" t="str">
        <f aca="false">IF(A94="","",SUMIFS('Girdi — Faturalar ve tahsilat'!$R$2:$R$3001,'Girdi — Faturalar ve tahsilat'!$C$2:$C$3001,$A94,'Girdi — Faturalar ve tahsilat'!$T$2:$T$3001,$Z$5,'Girdi — Faturalar ve tahsilat'!$S$2:$S$3001,"31-60"))</f>
        <v/>
      </c>
      <c r="L94" s="13" t="str">
        <f aca="false">IF(A94="","",SUMIFS('Girdi — Faturalar ve tahsilat'!$R$2:$R$3001,'Girdi — Faturalar ve tahsilat'!$C$2:$C$3001,$A94,'Girdi — Faturalar ve tahsilat'!$T$2:$T$3001,$Z$5,'Girdi — Faturalar ve tahsilat'!$S$2:$S$3001,"61-90"))</f>
        <v/>
      </c>
      <c r="M94" s="13" t="str">
        <f aca="false">IF(A94="","",SUMIFS('Girdi — Faturalar ve tahsilat'!$R$2:$R$3001,'Girdi — Faturalar ve tahsilat'!$C$2:$C$3001,$A94,'Girdi — Faturalar ve tahsilat'!$T$2:$T$3001,$Z$5,'Girdi — Faturalar ve tahsilat'!$S$2:$S$3001,"90+"))</f>
        <v/>
      </c>
      <c r="N94" s="21" t="str">
        <f aca="false">IF(F94="","",RANK(F94,$F$17:$F$216,0)+COUNTIF($F$17:F94,F94)-1)</f>
        <v/>
      </c>
    </row>
    <row r="95" customFormat="false" ht="15" hidden="false" customHeight="false" outlineLevel="0" collapsed="false">
      <c r="A95" s="16" t="str">
        <f aca="false">IFERROR(INDEX('Girdi — Faturalar ve tahsilat'!$C$2:$C$3001,MATCH(79,'Girdi — Faturalar ve tahsilat'!$U$2:$U$3001,0)),"")</f>
        <v/>
      </c>
      <c r="B95" s="16" t="str">
        <f aca="false">IF(A95="","",INDEX('Girdi — Faturalar ve tahsilat'!$D$2:$D$3001,MATCH(79,'Girdi — Faturalar ve tahsilat'!$U$2:$U$3001,0)))</f>
        <v/>
      </c>
      <c r="C95" s="13" t="str">
        <f aca="false">IF(A95="","",SUMIFS('Girdi — Faturalar ve tahsilat'!$F$2:$F$3001,'Girdi — Faturalar ve tahsilat'!$C$2:$C$3001,$A95,'Girdi — Faturalar ve tahsilat'!$T$2:$T$3001,$Z$5))</f>
        <v/>
      </c>
      <c r="D95" s="15" t="str">
        <f aca="false">IF(OR(A95="",N(C95)=0),"",SUMIFS('Girdi — Faturalar ve tahsilat'!$P$2:$P$3001,'Girdi — Faturalar ve tahsilat'!$C$2:$C$3001,$A95,'Girdi — Faturalar ve tahsilat'!$T$2:$T$3001,$Z$5)/C95)</f>
        <v/>
      </c>
      <c r="E95" s="15" t="str">
        <f aca="false">IF(OR(A95="",N(C95)=0),"",SUMIFS('Girdi — Faturalar ve tahsilat'!$Q$2:$Q$3001,'Girdi — Faturalar ve tahsilat'!$C$2:$C$3001,$A95,'Girdi — Faturalar ve tahsilat'!$T$2:$T$3001,$Z$5)/C95)</f>
        <v/>
      </c>
      <c r="F95" s="20" t="str">
        <f aca="false">IF(D95="","",E95-D95)</f>
        <v/>
      </c>
      <c r="G95" s="13" t="str">
        <f aca="false">IF(F95="","",C95*$D$4*F95/365)</f>
        <v/>
      </c>
      <c r="H95" s="13" t="str">
        <f aca="false">IF(A95="","",SUMIFS('Girdi — Faturalar ve tahsilat'!$R$2:$R$3001,'Girdi — Faturalar ve tahsilat'!$C$2:$C$3001,$A95,'Girdi — Faturalar ve tahsilat'!$T$2:$T$3001,$Z$5))</f>
        <v/>
      </c>
      <c r="I95" s="13" t="str">
        <f aca="false">IF(A95="","",SUMIFS('Girdi — Faturalar ve tahsilat'!$R$2:$R$3001,'Girdi — Faturalar ve tahsilat'!$C$2:$C$3001,$A95,'Girdi — Faturalar ve tahsilat'!$T$2:$T$3001,$Z$5,'Girdi — Faturalar ve tahsilat'!$O$2:$O$3001,"&gt;0"))</f>
        <v/>
      </c>
      <c r="J95" s="13" t="str">
        <f aca="false">IF(A95="","",SUMIFS('Girdi — Faturalar ve tahsilat'!$R$2:$R$3001,'Girdi — Faturalar ve tahsilat'!$C$2:$C$3001,$A95,'Girdi — Faturalar ve tahsilat'!$T$2:$T$3001,$Z$5,'Girdi — Faturalar ve tahsilat'!$S$2:$S$3001,"1-30"))</f>
        <v/>
      </c>
      <c r="K95" s="13" t="str">
        <f aca="false">IF(A95="","",SUMIFS('Girdi — Faturalar ve tahsilat'!$R$2:$R$3001,'Girdi — Faturalar ve tahsilat'!$C$2:$C$3001,$A95,'Girdi — Faturalar ve tahsilat'!$T$2:$T$3001,$Z$5,'Girdi — Faturalar ve tahsilat'!$S$2:$S$3001,"31-60"))</f>
        <v/>
      </c>
      <c r="L95" s="13" t="str">
        <f aca="false">IF(A95="","",SUMIFS('Girdi — Faturalar ve tahsilat'!$R$2:$R$3001,'Girdi — Faturalar ve tahsilat'!$C$2:$C$3001,$A95,'Girdi — Faturalar ve tahsilat'!$T$2:$T$3001,$Z$5,'Girdi — Faturalar ve tahsilat'!$S$2:$S$3001,"61-90"))</f>
        <v/>
      </c>
      <c r="M95" s="13" t="str">
        <f aca="false">IF(A95="","",SUMIFS('Girdi — Faturalar ve tahsilat'!$R$2:$R$3001,'Girdi — Faturalar ve tahsilat'!$C$2:$C$3001,$A95,'Girdi — Faturalar ve tahsilat'!$T$2:$T$3001,$Z$5,'Girdi — Faturalar ve tahsilat'!$S$2:$S$3001,"90+"))</f>
        <v/>
      </c>
      <c r="N95" s="21" t="str">
        <f aca="false">IF(F95="","",RANK(F95,$F$17:$F$216,0)+COUNTIF($F$17:F95,F95)-1)</f>
        <v/>
      </c>
    </row>
    <row r="96" customFormat="false" ht="15" hidden="false" customHeight="false" outlineLevel="0" collapsed="false">
      <c r="A96" s="16" t="str">
        <f aca="false">IFERROR(INDEX('Girdi — Faturalar ve tahsilat'!$C$2:$C$3001,MATCH(80,'Girdi — Faturalar ve tahsilat'!$U$2:$U$3001,0)),"")</f>
        <v/>
      </c>
      <c r="B96" s="16" t="str">
        <f aca="false">IF(A96="","",INDEX('Girdi — Faturalar ve tahsilat'!$D$2:$D$3001,MATCH(80,'Girdi — Faturalar ve tahsilat'!$U$2:$U$3001,0)))</f>
        <v/>
      </c>
      <c r="C96" s="13" t="str">
        <f aca="false">IF(A96="","",SUMIFS('Girdi — Faturalar ve tahsilat'!$F$2:$F$3001,'Girdi — Faturalar ve tahsilat'!$C$2:$C$3001,$A96,'Girdi — Faturalar ve tahsilat'!$T$2:$T$3001,$Z$5))</f>
        <v/>
      </c>
      <c r="D96" s="15" t="str">
        <f aca="false">IF(OR(A96="",N(C96)=0),"",SUMIFS('Girdi — Faturalar ve tahsilat'!$P$2:$P$3001,'Girdi — Faturalar ve tahsilat'!$C$2:$C$3001,$A96,'Girdi — Faturalar ve tahsilat'!$T$2:$T$3001,$Z$5)/C96)</f>
        <v/>
      </c>
      <c r="E96" s="15" t="str">
        <f aca="false">IF(OR(A96="",N(C96)=0),"",SUMIFS('Girdi — Faturalar ve tahsilat'!$Q$2:$Q$3001,'Girdi — Faturalar ve tahsilat'!$C$2:$C$3001,$A96,'Girdi — Faturalar ve tahsilat'!$T$2:$T$3001,$Z$5)/C96)</f>
        <v/>
      </c>
      <c r="F96" s="20" t="str">
        <f aca="false">IF(D96="","",E96-D96)</f>
        <v/>
      </c>
      <c r="G96" s="13" t="str">
        <f aca="false">IF(F96="","",C96*$D$4*F96/365)</f>
        <v/>
      </c>
      <c r="H96" s="13" t="str">
        <f aca="false">IF(A96="","",SUMIFS('Girdi — Faturalar ve tahsilat'!$R$2:$R$3001,'Girdi — Faturalar ve tahsilat'!$C$2:$C$3001,$A96,'Girdi — Faturalar ve tahsilat'!$T$2:$T$3001,$Z$5))</f>
        <v/>
      </c>
      <c r="I96" s="13" t="str">
        <f aca="false">IF(A96="","",SUMIFS('Girdi — Faturalar ve tahsilat'!$R$2:$R$3001,'Girdi — Faturalar ve tahsilat'!$C$2:$C$3001,$A96,'Girdi — Faturalar ve tahsilat'!$T$2:$T$3001,$Z$5,'Girdi — Faturalar ve tahsilat'!$O$2:$O$3001,"&gt;0"))</f>
        <v/>
      </c>
      <c r="J96" s="13" t="str">
        <f aca="false">IF(A96="","",SUMIFS('Girdi — Faturalar ve tahsilat'!$R$2:$R$3001,'Girdi — Faturalar ve tahsilat'!$C$2:$C$3001,$A96,'Girdi — Faturalar ve tahsilat'!$T$2:$T$3001,$Z$5,'Girdi — Faturalar ve tahsilat'!$S$2:$S$3001,"1-30"))</f>
        <v/>
      </c>
      <c r="K96" s="13" t="str">
        <f aca="false">IF(A96="","",SUMIFS('Girdi — Faturalar ve tahsilat'!$R$2:$R$3001,'Girdi — Faturalar ve tahsilat'!$C$2:$C$3001,$A96,'Girdi — Faturalar ve tahsilat'!$T$2:$T$3001,$Z$5,'Girdi — Faturalar ve tahsilat'!$S$2:$S$3001,"31-60"))</f>
        <v/>
      </c>
      <c r="L96" s="13" t="str">
        <f aca="false">IF(A96="","",SUMIFS('Girdi — Faturalar ve tahsilat'!$R$2:$R$3001,'Girdi — Faturalar ve tahsilat'!$C$2:$C$3001,$A96,'Girdi — Faturalar ve tahsilat'!$T$2:$T$3001,$Z$5,'Girdi — Faturalar ve tahsilat'!$S$2:$S$3001,"61-90"))</f>
        <v/>
      </c>
      <c r="M96" s="13" t="str">
        <f aca="false">IF(A96="","",SUMIFS('Girdi — Faturalar ve tahsilat'!$R$2:$R$3001,'Girdi — Faturalar ve tahsilat'!$C$2:$C$3001,$A96,'Girdi — Faturalar ve tahsilat'!$T$2:$T$3001,$Z$5,'Girdi — Faturalar ve tahsilat'!$S$2:$S$3001,"90+"))</f>
        <v/>
      </c>
      <c r="N96" s="21" t="str">
        <f aca="false">IF(F96="","",RANK(F96,$F$17:$F$216,0)+COUNTIF($F$17:F96,F96)-1)</f>
        <v/>
      </c>
    </row>
    <row r="97" customFormat="false" ht="15" hidden="false" customHeight="false" outlineLevel="0" collapsed="false">
      <c r="A97" s="16" t="str">
        <f aca="false">IFERROR(INDEX('Girdi — Faturalar ve tahsilat'!$C$2:$C$3001,MATCH(81,'Girdi — Faturalar ve tahsilat'!$U$2:$U$3001,0)),"")</f>
        <v/>
      </c>
      <c r="B97" s="16" t="str">
        <f aca="false">IF(A97="","",INDEX('Girdi — Faturalar ve tahsilat'!$D$2:$D$3001,MATCH(81,'Girdi — Faturalar ve tahsilat'!$U$2:$U$3001,0)))</f>
        <v/>
      </c>
      <c r="C97" s="13" t="str">
        <f aca="false">IF(A97="","",SUMIFS('Girdi — Faturalar ve tahsilat'!$F$2:$F$3001,'Girdi — Faturalar ve tahsilat'!$C$2:$C$3001,$A97,'Girdi — Faturalar ve tahsilat'!$T$2:$T$3001,$Z$5))</f>
        <v/>
      </c>
      <c r="D97" s="15" t="str">
        <f aca="false">IF(OR(A97="",N(C97)=0),"",SUMIFS('Girdi — Faturalar ve tahsilat'!$P$2:$P$3001,'Girdi — Faturalar ve tahsilat'!$C$2:$C$3001,$A97,'Girdi — Faturalar ve tahsilat'!$T$2:$T$3001,$Z$5)/C97)</f>
        <v/>
      </c>
      <c r="E97" s="15" t="str">
        <f aca="false">IF(OR(A97="",N(C97)=0),"",SUMIFS('Girdi — Faturalar ve tahsilat'!$Q$2:$Q$3001,'Girdi — Faturalar ve tahsilat'!$C$2:$C$3001,$A97,'Girdi — Faturalar ve tahsilat'!$T$2:$T$3001,$Z$5)/C97)</f>
        <v/>
      </c>
      <c r="F97" s="20" t="str">
        <f aca="false">IF(D97="","",E97-D97)</f>
        <v/>
      </c>
      <c r="G97" s="13" t="str">
        <f aca="false">IF(F97="","",C97*$D$4*F97/365)</f>
        <v/>
      </c>
      <c r="H97" s="13" t="str">
        <f aca="false">IF(A97="","",SUMIFS('Girdi — Faturalar ve tahsilat'!$R$2:$R$3001,'Girdi — Faturalar ve tahsilat'!$C$2:$C$3001,$A97,'Girdi — Faturalar ve tahsilat'!$T$2:$T$3001,$Z$5))</f>
        <v/>
      </c>
      <c r="I97" s="13" t="str">
        <f aca="false">IF(A97="","",SUMIFS('Girdi — Faturalar ve tahsilat'!$R$2:$R$3001,'Girdi — Faturalar ve tahsilat'!$C$2:$C$3001,$A97,'Girdi — Faturalar ve tahsilat'!$T$2:$T$3001,$Z$5,'Girdi — Faturalar ve tahsilat'!$O$2:$O$3001,"&gt;0"))</f>
        <v/>
      </c>
      <c r="J97" s="13" t="str">
        <f aca="false">IF(A97="","",SUMIFS('Girdi — Faturalar ve tahsilat'!$R$2:$R$3001,'Girdi — Faturalar ve tahsilat'!$C$2:$C$3001,$A97,'Girdi — Faturalar ve tahsilat'!$T$2:$T$3001,$Z$5,'Girdi — Faturalar ve tahsilat'!$S$2:$S$3001,"1-30"))</f>
        <v/>
      </c>
      <c r="K97" s="13" t="str">
        <f aca="false">IF(A97="","",SUMIFS('Girdi — Faturalar ve tahsilat'!$R$2:$R$3001,'Girdi — Faturalar ve tahsilat'!$C$2:$C$3001,$A97,'Girdi — Faturalar ve tahsilat'!$T$2:$T$3001,$Z$5,'Girdi — Faturalar ve tahsilat'!$S$2:$S$3001,"31-60"))</f>
        <v/>
      </c>
      <c r="L97" s="13" t="str">
        <f aca="false">IF(A97="","",SUMIFS('Girdi — Faturalar ve tahsilat'!$R$2:$R$3001,'Girdi — Faturalar ve tahsilat'!$C$2:$C$3001,$A97,'Girdi — Faturalar ve tahsilat'!$T$2:$T$3001,$Z$5,'Girdi — Faturalar ve tahsilat'!$S$2:$S$3001,"61-90"))</f>
        <v/>
      </c>
      <c r="M97" s="13" t="str">
        <f aca="false">IF(A97="","",SUMIFS('Girdi — Faturalar ve tahsilat'!$R$2:$R$3001,'Girdi — Faturalar ve tahsilat'!$C$2:$C$3001,$A97,'Girdi — Faturalar ve tahsilat'!$T$2:$T$3001,$Z$5,'Girdi — Faturalar ve tahsilat'!$S$2:$S$3001,"90+"))</f>
        <v/>
      </c>
      <c r="N97" s="21" t="str">
        <f aca="false">IF(F97="","",RANK(F97,$F$17:$F$216,0)+COUNTIF($F$17:F97,F97)-1)</f>
        <v/>
      </c>
    </row>
    <row r="98" customFormat="false" ht="15" hidden="false" customHeight="false" outlineLevel="0" collapsed="false">
      <c r="A98" s="16" t="str">
        <f aca="false">IFERROR(INDEX('Girdi — Faturalar ve tahsilat'!$C$2:$C$3001,MATCH(82,'Girdi — Faturalar ve tahsilat'!$U$2:$U$3001,0)),"")</f>
        <v/>
      </c>
      <c r="B98" s="16" t="str">
        <f aca="false">IF(A98="","",INDEX('Girdi — Faturalar ve tahsilat'!$D$2:$D$3001,MATCH(82,'Girdi — Faturalar ve tahsilat'!$U$2:$U$3001,0)))</f>
        <v/>
      </c>
      <c r="C98" s="13" t="str">
        <f aca="false">IF(A98="","",SUMIFS('Girdi — Faturalar ve tahsilat'!$F$2:$F$3001,'Girdi — Faturalar ve tahsilat'!$C$2:$C$3001,$A98,'Girdi — Faturalar ve tahsilat'!$T$2:$T$3001,$Z$5))</f>
        <v/>
      </c>
      <c r="D98" s="15" t="str">
        <f aca="false">IF(OR(A98="",N(C98)=0),"",SUMIFS('Girdi — Faturalar ve tahsilat'!$P$2:$P$3001,'Girdi — Faturalar ve tahsilat'!$C$2:$C$3001,$A98,'Girdi — Faturalar ve tahsilat'!$T$2:$T$3001,$Z$5)/C98)</f>
        <v/>
      </c>
      <c r="E98" s="15" t="str">
        <f aca="false">IF(OR(A98="",N(C98)=0),"",SUMIFS('Girdi — Faturalar ve tahsilat'!$Q$2:$Q$3001,'Girdi — Faturalar ve tahsilat'!$C$2:$C$3001,$A98,'Girdi — Faturalar ve tahsilat'!$T$2:$T$3001,$Z$5)/C98)</f>
        <v/>
      </c>
      <c r="F98" s="20" t="str">
        <f aca="false">IF(D98="","",E98-D98)</f>
        <v/>
      </c>
      <c r="G98" s="13" t="str">
        <f aca="false">IF(F98="","",C98*$D$4*F98/365)</f>
        <v/>
      </c>
      <c r="H98" s="13" t="str">
        <f aca="false">IF(A98="","",SUMIFS('Girdi — Faturalar ve tahsilat'!$R$2:$R$3001,'Girdi — Faturalar ve tahsilat'!$C$2:$C$3001,$A98,'Girdi — Faturalar ve tahsilat'!$T$2:$T$3001,$Z$5))</f>
        <v/>
      </c>
      <c r="I98" s="13" t="str">
        <f aca="false">IF(A98="","",SUMIFS('Girdi — Faturalar ve tahsilat'!$R$2:$R$3001,'Girdi — Faturalar ve tahsilat'!$C$2:$C$3001,$A98,'Girdi — Faturalar ve tahsilat'!$T$2:$T$3001,$Z$5,'Girdi — Faturalar ve tahsilat'!$O$2:$O$3001,"&gt;0"))</f>
        <v/>
      </c>
      <c r="J98" s="13" t="str">
        <f aca="false">IF(A98="","",SUMIFS('Girdi — Faturalar ve tahsilat'!$R$2:$R$3001,'Girdi — Faturalar ve tahsilat'!$C$2:$C$3001,$A98,'Girdi — Faturalar ve tahsilat'!$T$2:$T$3001,$Z$5,'Girdi — Faturalar ve tahsilat'!$S$2:$S$3001,"1-30"))</f>
        <v/>
      </c>
      <c r="K98" s="13" t="str">
        <f aca="false">IF(A98="","",SUMIFS('Girdi — Faturalar ve tahsilat'!$R$2:$R$3001,'Girdi — Faturalar ve tahsilat'!$C$2:$C$3001,$A98,'Girdi — Faturalar ve tahsilat'!$T$2:$T$3001,$Z$5,'Girdi — Faturalar ve tahsilat'!$S$2:$S$3001,"31-60"))</f>
        <v/>
      </c>
      <c r="L98" s="13" t="str">
        <f aca="false">IF(A98="","",SUMIFS('Girdi — Faturalar ve tahsilat'!$R$2:$R$3001,'Girdi — Faturalar ve tahsilat'!$C$2:$C$3001,$A98,'Girdi — Faturalar ve tahsilat'!$T$2:$T$3001,$Z$5,'Girdi — Faturalar ve tahsilat'!$S$2:$S$3001,"61-90"))</f>
        <v/>
      </c>
      <c r="M98" s="13" t="str">
        <f aca="false">IF(A98="","",SUMIFS('Girdi — Faturalar ve tahsilat'!$R$2:$R$3001,'Girdi — Faturalar ve tahsilat'!$C$2:$C$3001,$A98,'Girdi — Faturalar ve tahsilat'!$T$2:$T$3001,$Z$5,'Girdi — Faturalar ve tahsilat'!$S$2:$S$3001,"90+"))</f>
        <v/>
      </c>
      <c r="N98" s="21" t="str">
        <f aca="false">IF(F98="","",RANK(F98,$F$17:$F$216,0)+COUNTIF($F$17:F98,F98)-1)</f>
        <v/>
      </c>
    </row>
    <row r="99" customFormat="false" ht="15" hidden="false" customHeight="false" outlineLevel="0" collapsed="false">
      <c r="A99" s="16" t="str">
        <f aca="false">IFERROR(INDEX('Girdi — Faturalar ve tahsilat'!$C$2:$C$3001,MATCH(83,'Girdi — Faturalar ve tahsilat'!$U$2:$U$3001,0)),"")</f>
        <v/>
      </c>
      <c r="B99" s="16" t="str">
        <f aca="false">IF(A99="","",INDEX('Girdi — Faturalar ve tahsilat'!$D$2:$D$3001,MATCH(83,'Girdi — Faturalar ve tahsilat'!$U$2:$U$3001,0)))</f>
        <v/>
      </c>
      <c r="C99" s="13" t="str">
        <f aca="false">IF(A99="","",SUMIFS('Girdi — Faturalar ve tahsilat'!$F$2:$F$3001,'Girdi — Faturalar ve tahsilat'!$C$2:$C$3001,$A99,'Girdi — Faturalar ve tahsilat'!$T$2:$T$3001,$Z$5))</f>
        <v/>
      </c>
      <c r="D99" s="15" t="str">
        <f aca="false">IF(OR(A99="",N(C99)=0),"",SUMIFS('Girdi — Faturalar ve tahsilat'!$P$2:$P$3001,'Girdi — Faturalar ve tahsilat'!$C$2:$C$3001,$A99,'Girdi — Faturalar ve tahsilat'!$T$2:$T$3001,$Z$5)/C99)</f>
        <v/>
      </c>
      <c r="E99" s="15" t="str">
        <f aca="false">IF(OR(A99="",N(C99)=0),"",SUMIFS('Girdi — Faturalar ve tahsilat'!$Q$2:$Q$3001,'Girdi — Faturalar ve tahsilat'!$C$2:$C$3001,$A99,'Girdi — Faturalar ve tahsilat'!$T$2:$T$3001,$Z$5)/C99)</f>
        <v/>
      </c>
      <c r="F99" s="20" t="str">
        <f aca="false">IF(D99="","",E99-D99)</f>
        <v/>
      </c>
      <c r="G99" s="13" t="str">
        <f aca="false">IF(F99="","",C99*$D$4*F99/365)</f>
        <v/>
      </c>
      <c r="H99" s="13" t="str">
        <f aca="false">IF(A99="","",SUMIFS('Girdi — Faturalar ve tahsilat'!$R$2:$R$3001,'Girdi — Faturalar ve tahsilat'!$C$2:$C$3001,$A99,'Girdi — Faturalar ve tahsilat'!$T$2:$T$3001,$Z$5))</f>
        <v/>
      </c>
      <c r="I99" s="13" t="str">
        <f aca="false">IF(A99="","",SUMIFS('Girdi — Faturalar ve tahsilat'!$R$2:$R$3001,'Girdi — Faturalar ve tahsilat'!$C$2:$C$3001,$A99,'Girdi — Faturalar ve tahsilat'!$T$2:$T$3001,$Z$5,'Girdi — Faturalar ve tahsilat'!$O$2:$O$3001,"&gt;0"))</f>
        <v/>
      </c>
      <c r="J99" s="13" t="str">
        <f aca="false">IF(A99="","",SUMIFS('Girdi — Faturalar ve tahsilat'!$R$2:$R$3001,'Girdi — Faturalar ve tahsilat'!$C$2:$C$3001,$A99,'Girdi — Faturalar ve tahsilat'!$T$2:$T$3001,$Z$5,'Girdi — Faturalar ve tahsilat'!$S$2:$S$3001,"1-30"))</f>
        <v/>
      </c>
      <c r="K99" s="13" t="str">
        <f aca="false">IF(A99="","",SUMIFS('Girdi — Faturalar ve tahsilat'!$R$2:$R$3001,'Girdi — Faturalar ve tahsilat'!$C$2:$C$3001,$A99,'Girdi — Faturalar ve tahsilat'!$T$2:$T$3001,$Z$5,'Girdi — Faturalar ve tahsilat'!$S$2:$S$3001,"31-60"))</f>
        <v/>
      </c>
      <c r="L99" s="13" t="str">
        <f aca="false">IF(A99="","",SUMIFS('Girdi — Faturalar ve tahsilat'!$R$2:$R$3001,'Girdi — Faturalar ve tahsilat'!$C$2:$C$3001,$A99,'Girdi — Faturalar ve tahsilat'!$T$2:$T$3001,$Z$5,'Girdi — Faturalar ve tahsilat'!$S$2:$S$3001,"61-90"))</f>
        <v/>
      </c>
      <c r="M99" s="13" t="str">
        <f aca="false">IF(A99="","",SUMIFS('Girdi — Faturalar ve tahsilat'!$R$2:$R$3001,'Girdi — Faturalar ve tahsilat'!$C$2:$C$3001,$A99,'Girdi — Faturalar ve tahsilat'!$T$2:$T$3001,$Z$5,'Girdi — Faturalar ve tahsilat'!$S$2:$S$3001,"90+"))</f>
        <v/>
      </c>
      <c r="N99" s="21" t="str">
        <f aca="false">IF(F99="","",RANK(F99,$F$17:$F$216,0)+COUNTIF($F$17:F99,F99)-1)</f>
        <v/>
      </c>
    </row>
    <row r="100" customFormat="false" ht="15" hidden="false" customHeight="false" outlineLevel="0" collapsed="false">
      <c r="A100" s="16" t="str">
        <f aca="false">IFERROR(INDEX('Girdi — Faturalar ve tahsilat'!$C$2:$C$3001,MATCH(84,'Girdi — Faturalar ve tahsilat'!$U$2:$U$3001,0)),"")</f>
        <v/>
      </c>
      <c r="B100" s="16" t="str">
        <f aca="false">IF(A100="","",INDEX('Girdi — Faturalar ve tahsilat'!$D$2:$D$3001,MATCH(84,'Girdi — Faturalar ve tahsilat'!$U$2:$U$3001,0)))</f>
        <v/>
      </c>
      <c r="C100" s="13" t="str">
        <f aca="false">IF(A100="","",SUMIFS('Girdi — Faturalar ve tahsilat'!$F$2:$F$3001,'Girdi — Faturalar ve tahsilat'!$C$2:$C$3001,$A100,'Girdi — Faturalar ve tahsilat'!$T$2:$T$3001,$Z$5))</f>
        <v/>
      </c>
      <c r="D100" s="15" t="str">
        <f aca="false">IF(OR(A100="",N(C100)=0),"",SUMIFS('Girdi — Faturalar ve tahsilat'!$P$2:$P$3001,'Girdi — Faturalar ve tahsilat'!$C$2:$C$3001,$A100,'Girdi — Faturalar ve tahsilat'!$T$2:$T$3001,$Z$5)/C100)</f>
        <v/>
      </c>
      <c r="E100" s="15" t="str">
        <f aca="false">IF(OR(A100="",N(C100)=0),"",SUMIFS('Girdi — Faturalar ve tahsilat'!$Q$2:$Q$3001,'Girdi — Faturalar ve tahsilat'!$C$2:$C$3001,$A100,'Girdi — Faturalar ve tahsilat'!$T$2:$T$3001,$Z$5)/C100)</f>
        <v/>
      </c>
      <c r="F100" s="20" t="str">
        <f aca="false">IF(D100="","",E100-D100)</f>
        <v/>
      </c>
      <c r="G100" s="13" t="str">
        <f aca="false">IF(F100="","",C100*$D$4*F100/365)</f>
        <v/>
      </c>
      <c r="H100" s="13" t="str">
        <f aca="false">IF(A100="","",SUMIFS('Girdi — Faturalar ve tahsilat'!$R$2:$R$3001,'Girdi — Faturalar ve tahsilat'!$C$2:$C$3001,$A100,'Girdi — Faturalar ve tahsilat'!$T$2:$T$3001,$Z$5))</f>
        <v/>
      </c>
      <c r="I100" s="13" t="str">
        <f aca="false">IF(A100="","",SUMIFS('Girdi — Faturalar ve tahsilat'!$R$2:$R$3001,'Girdi — Faturalar ve tahsilat'!$C$2:$C$3001,$A100,'Girdi — Faturalar ve tahsilat'!$T$2:$T$3001,$Z$5,'Girdi — Faturalar ve tahsilat'!$O$2:$O$3001,"&gt;0"))</f>
        <v/>
      </c>
      <c r="J100" s="13" t="str">
        <f aca="false">IF(A100="","",SUMIFS('Girdi — Faturalar ve tahsilat'!$R$2:$R$3001,'Girdi — Faturalar ve tahsilat'!$C$2:$C$3001,$A100,'Girdi — Faturalar ve tahsilat'!$T$2:$T$3001,$Z$5,'Girdi — Faturalar ve tahsilat'!$S$2:$S$3001,"1-30"))</f>
        <v/>
      </c>
      <c r="K100" s="13" t="str">
        <f aca="false">IF(A100="","",SUMIFS('Girdi — Faturalar ve tahsilat'!$R$2:$R$3001,'Girdi — Faturalar ve tahsilat'!$C$2:$C$3001,$A100,'Girdi — Faturalar ve tahsilat'!$T$2:$T$3001,$Z$5,'Girdi — Faturalar ve tahsilat'!$S$2:$S$3001,"31-60"))</f>
        <v/>
      </c>
      <c r="L100" s="13" t="str">
        <f aca="false">IF(A100="","",SUMIFS('Girdi — Faturalar ve tahsilat'!$R$2:$R$3001,'Girdi — Faturalar ve tahsilat'!$C$2:$C$3001,$A100,'Girdi — Faturalar ve tahsilat'!$T$2:$T$3001,$Z$5,'Girdi — Faturalar ve tahsilat'!$S$2:$S$3001,"61-90"))</f>
        <v/>
      </c>
      <c r="M100" s="13" t="str">
        <f aca="false">IF(A100="","",SUMIFS('Girdi — Faturalar ve tahsilat'!$R$2:$R$3001,'Girdi — Faturalar ve tahsilat'!$C$2:$C$3001,$A100,'Girdi — Faturalar ve tahsilat'!$T$2:$T$3001,$Z$5,'Girdi — Faturalar ve tahsilat'!$S$2:$S$3001,"90+"))</f>
        <v/>
      </c>
      <c r="N100" s="21" t="str">
        <f aca="false">IF(F100="","",RANK(F100,$F$17:$F$216,0)+COUNTIF($F$17:F100,F100)-1)</f>
        <v/>
      </c>
    </row>
    <row r="101" customFormat="false" ht="15" hidden="false" customHeight="false" outlineLevel="0" collapsed="false">
      <c r="A101" s="16" t="str">
        <f aca="false">IFERROR(INDEX('Girdi — Faturalar ve tahsilat'!$C$2:$C$3001,MATCH(85,'Girdi — Faturalar ve tahsilat'!$U$2:$U$3001,0)),"")</f>
        <v/>
      </c>
      <c r="B101" s="16" t="str">
        <f aca="false">IF(A101="","",INDEX('Girdi — Faturalar ve tahsilat'!$D$2:$D$3001,MATCH(85,'Girdi — Faturalar ve tahsilat'!$U$2:$U$3001,0)))</f>
        <v/>
      </c>
      <c r="C101" s="13" t="str">
        <f aca="false">IF(A101="","",SUMIFS('Girdi — Faturalar ve tahsilat'!$F$2:$F$3001,'Girdi — Faturalar ve tahsilat'!$C$2:$C$3001,$A101,'Girdi — Faturalar ve tahsilat'!$T$2:$T$3001,$Z$5))</f>
        <v/>
      </c>
      <c r="D101" s="15" t="str">
        <f aca="false">IF(OR(A101="",N(C101)=0),"",SUMIFS('Girdi — Faturalar ve tahsilat'!$P$2:$P$3001,'Girdi — Faturalar ve tahsilat'!$C$2:$C$3001,$A101,'Girdi — Faturalar ve tahsilat'!$T$2:$T$3001,$Z$5)/C101)</f>
        <v/>
      </c>
      <c r="E101" s="15" t="str">
        <f aca="false">IF(OR(A101="",N(C101)=0),"",SUMIFS('Girdi — Faturalar ve tahsilat'!$Q$2:$Q$3001,'Girdi — Faturalar ve tahsilat'!$C$2:$C$3001,$A101,'Girdi — Faturalar ve tahsilat'!$T$2:$T$3001,$Z$5)/C101)</f>
        <v/>
      </c>
      <c r="F101" s="20" t="str">
        <f aca="false">IF(D101="","",E101-D101)</f>
        <v/>
      </c>
      <c r="G101" s="13" t="str">
        <f aca="false">IF(F101="","",C101*$D$4*F101/365)</f>
        <v/>
      </c>
      <c r="H101" s="13" t="str">
        <f aca="false">IF(A101="","",SUMIFS('Girdi — Faturalar ve tahsilat'!$R$2:$R$3001,'Girdi — Faturalar ve tahsilat'!$C$2:$C$3001,$A101,'Girdi — Faturalar ve tahsilat'!$T$2:$T$3001,$Z$5))</f>
        <v/>
      </c>
      <c r="I101" s="13" t="str">
        <f aca="false">IF(A101="","",SUMIFS('Girdi — Faturalar ve tahsilat'!$R$2:$R$3001,'Girdi — Faturalar ve tahsilat'!$C$2:$C$3001,$A101,'Girdi — Faturalar ve tahsilat'!$T$2:$T$3001,$Z$5,'Girdi — Faturalar ve tahsilat'!$O$2:$O$3001,"&gt;0"))</f>
        <v/>
      </c>
      <c r="J101" s="13" t="str">
        <f aca="false">IF(A101="","",SUMIFS('Girdi — Faturalar ve tahsilat'!$R$2:$R$3001,'Girdi — Faturalar ve tahsilat'!$C$2:$C$3001,$A101,'Girdi — Faturalar ve tahsilat'!$T$2:$T$3001,$Z$5,'Girdi — Faturalar ve tahsilat'!$S$2:$S$3001,"1-30"))</f>
        <v/>
      </c>
      <c r="K101" s="13" t="str">
        <f aca="false">IF(A101="","",SUMIFS('Girdi — Faturalar ve tahsilat'!$R$2:$R$3001,'Girdi — Faturalar ve tahsilat'!$C$2:$C$3001,$A101,'Girdi — Faturalar ve tahsilat'!$T$2:$T$3001,$Z$5,'Girdi — Faturalar ve tahsilat'!$S$2:$S$3001,"31-60"))</f>
        <v/>
      </c>
      <c r="L101" s="13" t="str">
        <f aca="false">IF(A101="","",SUMIFS('Girdi — Faturalar ve tahsilat'!$R$2:$R$3001,'Girdi — Faturalar ve tahsilat'!$C$2:$C$3001,$A101,'Girdi — Faturalar ve tahsilat'!$T$2:$T$3001,$Z$5,'Girdi — Faturalar ve tahsilat'!$S$2:$S$3001,"61-90"))</f>
        <v/>
      </c>
      <c r="M101" s="13" t="str">
        <f aca="false">IF(A101="","",SUMIFS('Girdi — Faturalar ve tahsilat'!$R$2:$R$3001,'Girdi — Faturalar ve tahsilat'!$C$2:$C$3001,$A101,'Girdi — Faturalar ve tahsilat'!$T$2:$T$3001,$Z$5,'Girdi — Faturalar ve tahsilat'!$S$2:$S$3001,"90+"))</f>
        <v/>
      </c>
      <c r="N101" s="21" t="str">
        <f aca="false">IF(F101="","",RANK(F101,$F$17:$F$216,0)+COUNTIF($F$17:F101,F101)-1)</f>
        <v/>
      </c>
    </row>
    <row r="102" customFormat="false" ht="15" hidden="false" customHeight="false" outlineLevel="0" collapsed="false">
      <c r="A102" s="16" t="str">
        <f aca="false">IFERROR(INDEX('Girdi — Faturalar ve tahsilat'!$C$2:$C$3001,MATCH(86,'Girdi — Faturalar ve tahsilat'!$U$2:$U$3001,0)),"")</f>
        <v/>
      </c>
      <c r="B102" s="16" t="str">
        <f aca="false">IF(A102="","",INDEX('Girdi — Faturalar ve tahsilat'!$D$2:$D$3001,MATCH(86,'Girdi — Faturalar ve tahsilat'!$U$2:$U$3001,0)))</f>
        <v/>
      </c>
      <c r="C102" s="13" t="str">
        <f aca="false">IF(A102="","",SUMIFS('Girdi — Faturalar ve tahsilat'!$F$2:$F$3001,'Girdi — Faturalar ve tahsilat'!$C$2:$C$3001,$A102,'Girdi — Faturalar ve tahsilat'!$T$2:$T$3001,$Z$5))</f>
        <v/>
      </c>
      <c r="D102" s="15" t="str">
        <f aca="false">IF(OR(A102="",N(C102)=0),"",SUMIFS('Girdi — Faturalar ve tahsilat'!$P$2:$P$3001,'Girdi — Faturalar ve tahsilat'!$C$2:$C$3001,$A102,'Girdi — Faturalar ve tahsilat'!$T$2:$T$3001,$Z$5)/C102)</f>
        <v/>
      </c>
      <c r="E102" s="15" t="str">
        <f aca="false">IF(OR(A102="",N(C102)=0),"",SUMIFS('Girdi — Faturalar ve tahsilat'!$Q$2:$Q$3001,'Girdi — Faturalar ve tahsilat'!$C$2:$C$3001,$A102,'Girdi — Faturalar ve tahsilat'!$T$2:$T$3001,$Z$5)/C102)</f>
        <v/>
      </c>
      <c r="F102" s="20" t="str">
        <f aca="false">IF(D102="","",E102-D102)</f>
        <v/>
      </c>
      <c r="G102" s="13" t="str">
        <f aca="false">IF(F102="","",C102*$D$4*F102/365)</f>
        <v/>
      </c>
      <c r="H102" s="13" t="str">
        <f aca="false">IF(A102="","",SUMIFS('Girdi — Faturalar ve tahsilat'!$R$2:$R$3001,'Girdi — Faturalar ve tahsilat'!$C$2:$C$3001,$A102,'Girdi — Faturalar ve tahsilat'!$T$2:$T$3001,$Z$5))</f>
        <v/>
      </c>
      <c r="I102" s="13" t="str">
        <f aca="false">IF(A102="","",SUMIFS('Girdi — Faturalar ve tahsilat'!$R$2:$R$3001,'Girdi — Faturalar ve tahsilat'!$C$2:$C$3001,$A102,'Girdi — Faturalar ve tahsilat'!$T$2:$T$3001,$Z$5,'Girdi — Faturalar ve tahsilat'!$O$2:$O$3001,"&gt;0"))</f>
        <v/>
      </c>
      <c r="J102" s="13" t="str">
        <f aca="false">IF(A102="","",SUMIFS('Girdi — Faturalar ve tahsilat'!$R$2:$R$3001,'Girdi — Faturalar ve tahsilat'!$C$2:$C$3001,$A102,'Girdi — Faturalar ve tahsilat'!$T$2:$T$3001,$Z$5,'Girdi — Faturalar ve tahsilat'!$S$2:$S$3001,"1-30"))</f>
        <v/>
      </c>
      <c r="K102" s="13" t="str">
        <f aca="false">IF(A102="","",SUMIFS('Girdi — Faturalar ve tahsilat'!$R$2:$R$3001,'Girdi — Faturalar ve tahsilat'!$C$2:$C$3001,$A102,'Girdi — Faturalar ve tahsilat'!$T$2:$T$3001,$Z$5,'Girdi — Faturalar ve tahsilat'!$S$2:$S$3001,"31-60"))</f>
        <v/>
      </c>
      <c r="L102" s="13" t="str">
        <f aca="false">IF(A102="","",SUMIFS('Girdi — Faturalar ve tahsilat'!$R$2:$R$3001,'Girdi — Faturalar ve tahsilat'!$C$2:$C$3001,$A102,'Girdi — Faturalar ve tahsilat'!$T$2:$T$3001,$Z$5,'Girdi — Faturalar ve tahsilat'!$S$2:$S$3001,"61-90"))</f>
        <v/>
      </c>
      <c r="M102" s="13" t="str">
        <f aca="false">IF(A102="","",SUMIFS('Girdi — Faturalar ve tahsilat'!$R$2:$R$3001,'Girdi — Faturalar ve tahsilat'!$C$2:$C$3001,$A102,'Girdi — Faturalar ve tahsilat'!$T$2:$T$3001,$Z$5,'Girdi — Faturalar ve tahsilat'!$S$2:$S$3001,"90+"))</f>
        <v/>
      </c>
      <c r="N102" s="21" t="str">
        <f aca="false">IF(F102="","",RANK(F102,$F$17:$F$216,0)+COUNTIF($F$17:F102,F102)-1)</f>
        <v/>
      </c>
    </row>
    <row r="103" customFormat="false" ht="15" hidden="false" customHeight="false" outlineLevel="0" collapsed="false">
      <c r="A103" s="16" t="str">
        <f aca="false">IFERROR(INDEX('Girdi — Faturalar ve tahsilat'!$C$2:$C$3001,MATCH(87,'Girdi — Faturalar ve tahsilat'!$U$2:$U$3001,0)),"")</f>
        <v/>
      </c>
      <c r="B103" s="16" t="str">
        <f aca="false">IF(A103="","",INDEX('Girdi — Faturalar ve tahsilat'!$D$2:$D$3001,MATCH(87,'Girdi — Faturalar ve tahsilat'!$U$2:$U$3001,0)))</f>
        <v/>
      </c>
      <c r="C103" s="13" t="str">
        <f aca="false">IF(A103="","",SUMIFS('Girdi — Faturalar ve tahsilat'!$F$2:$F$3001,'Girdi — Faturalar ve tahsilat'!$C$2:$C$3001,$A103,'Girdi — Faturalar ve tahsilat'!$T$2:$T$3001,$Z$5))</f>
        <v/>
      </c>
      <c r="D103" s="15" t="str">
        <f aca="false">IF(OR(A103="",N(C103)=0),"",SUMIFS('Girdi — Faturalar ve tahsilat'!$P$2:$P$3001,'Girdi — Faturalar ve tahsilat'!$C$2:$C$3001,$A103,'Girdi — Faturalar ve tahsilat'!$T$2:$T$3001,$Z$5)/C103)</f>
        <v/>
      </c>
      <c r="E103" s="15" t="str">
        <f aca="false">IF(OR(A103="",N(C103)=0),"",SUMIFS('Girdi — Faturalar ve tahsilat'!$Q$2:$Q$3001,'Girdi — Faturalar ve tahsilat'!$C$2:$C$3001,$A103,'Girdi — Faturalar ve tahsilat'!$T$2:$T$3001,$Z$5)/C103)</f>
        <v/>
      </c>
      <c r="F103" s="20" t="str">
        <f aca="false">IF(D103="","",E103-D103)</f>
        <v/>
      </c>
      <c r="G103" s="13" t="str">
        <f aca="false">IF(F103="","",C103*$D$4*F103/365)</f>
        <v/>
      </c>
      <c r="H103" s="13" t="str">
        <f aca="false">IF(A103="","",SUMIFS('Girdi — Faturalar ve tahsilat'!$R$2:$R$3001,'Girdi — Faturalar ve tahsilat'!$C$2:$C$3001,$A103,'Girdi — Faturalar ve tahsilat'!$T$2:$T$3001,$Z$5))</f>
        <v/>
      </c>
      <c r="I103" s="13" t="str">
        <f aca="false">IF(A103="","",SUMIFS('Girdi — Faturalar ve tahsilat'!$R$2:$R$3001,'Girdi — Faturalar ve tahsilat'!$C$2:$C$3001,$A103,'Girdi — Faturalar ve tahsilat'!$T$2:$T$3001,$Z$5,'Girdi — Faturalar ve tahsilat'!$O$2:$O$3001,"&gt;0"))</f>
        <v/>
      </c>
      <c r="J103" s="13" t="str">
        <f aca="false">IF(A103="","",SUMIFS('Girdi — Faturalar ve tahsilat'!$R$2:$R$3001,'Girdi — Faturalar ve tahsilat'!$C$2:$C$3001,$A103,'Girdi — Faturalar ve tahsilat'!$T$2:$T$3001,$Z$5,'Girdi — Faturalar ve tahsilat'!$S$2:$S$3001,"1-30"))</f>
        <v/>
      </c>
      <c r="K103" s="13" t="str">
        <f aca="false">IF(A103="","",SUMIFS('Girdi — Faturalar ve tahsilat'!$R$2:$R$3001,'Girdi — Faturalar ve tahsilat'!$C$2:$C$3001,$A103,'Girdi — Faturalar ve tahsilat'!$T$2:$T$3001,$Z$5,'Girdi — Faturalar ve tahsilat'!$S$2:$S$3001,"31-60"))</f>
        <v/>
      </c>
      <c r="L103" s="13" t="str">
        <f aca="false">IF(A103="","",SUMIFS('Girdi — Faturalar ve tahsilat'!$R$2:$R$3001,'Girdi — Faturalar ve tahsilat'!$C$2:$C$3001,$A103,'Girdi — Faturalar ve tahsilat'!$T$2:$T$3001,$Z$5,'Girdi — Faturalar ve tahsilat'!$S$2:$S$3001,"61-90"))</f>
        <v/>
      </c>
      <c r="M103" s="13" t="str">
        <f aca="false">IF(A103="","",SUMIFS('Girdi — Faturalar ve tahsilat'!$R$2:$R$3001,'Girdi — Faturalar ve tahsilat'!$C$2:$C$3001,$A103,'Girdi — Faturalar ve tahsilat'!$T$2:$T$3001,$Z$5,'Girdi — Faturalar ve tahsilat'!$S$2:$S$3001,"90+"))</f>
        <v/>
      </c>
      <c r="N103" s="21" t="str">
        <f aca="false">IF(F103="","",RANK(F103,$F$17:$F$216,0)+COUNTIF($F$17:F103,F103)-1)</f>
        <v/>
      </c>
    </row>
    <row r="104" customFormat="false" ht="15" hidden="false" customHeight="false" outlineLevel="0" collapsed="false">
      <c r="A104" s="16" t="str">
        <f aca="false">IFERROR(INDEX('Girdi — Faturalar ve tahsilat'!$C$2:$C$3001,MATCH(88,'Girdi — Faturalar ve tahsilat'!$U$2:$U$3001,0)),"")</f>
        <v/>
      </c>
      <c r="B104" s="16" t="str">
        <f aca="false">IF(A104="","",INDEX('Girdi — Faturalar ve tahsilat'!$D$2:$D$3001,MATCH(88,'Girdi — Faturalar ve tahsilat'!$U$2:$U$3001,0)))</f>
        <v/>
      </c>
      <c r="C104" s="13" t="str">
        <f aca="false">IF(A104="","",SUMIFS('Girdi — Faturalar ve tahsilat'!$F$2:$F$3001,'Girdi — Faturalar ve tahsilat'!$C$2:$C$3001,$A104,'Girdi — Faturalar ve tahsilat'!$T$2:$T$3001,$Z$5))</f>
        <v/>
      </c>
      <c r="D104" s="15" t="str">
        <f aca="false">IF(OR(A104="",N(C104)=0),"",SUMIFS('Girdi — Faturalar ve tahsilat'!$P$2:$P$3001,'Girdi — Faturalar ve tahsilat'!$C$2:$C$3001,$A104,'Girdi — Faturalar ve tahsilat'!$T$2:$T$3001,$Z$5)/C104)</f>
        <v/>
      </c>
      <c r="E104" s="15" t="str">
        <f aca="false">IF(OR(A104="",N(C104)=0),"",SUMIFS('Girdi — Faturalar ve tahsilat'!$Q$2:$Q$3001,'Girdi — Faturalar ve tahsilat'!$C$2:$C$3001,$A104,'Girdi — Faturalar ve tahsilat'!$T$2:$T$3001,$Z$5)/C104)</f>
        <v/>
      </c>
      <c r="F104" s="20" t="str">
        <f aca="false">IF(D104="","",E104-D104)</f>
        <v/>
      </c>
      <c r="G104" s="13" t="str">
        <f aca="false">IF(F104="","",C104*$D$4*F104/365)</f>
        <v/>
      </c>
      <c r="H104" s="13" t="str">
        <f aca="false">IF(A104="","",SUMIFS('Girdi — Faturalar ve tahsilat'!$R$2:$R$3001,'Girdi — Faturalar ve tahsilat'!$C$2:$C$3001,$A104,'Girdi — Faturalar ve tahsilat'!$T$2:$T$3001,$Z$5))</f>
        <v/>
      </c>
      <c r="I104" s="13" t="str">
        <f aca="false">IF(A104="","",SUMIFS('Girdi — Faturalar ve tahsilat'!$R$2:$R$3001,'Girdi — Faturalar ve tahsilat'!$C$2:$C$3001,$A104,'Girdi — Faturalar ve tahsilat'!$T$2:$T$3001,$Z$5,'Girdi — Faturalar ve tahsilat'!$O$2:$O$3001,"&gt;0"))</f>
        <v/>
      </c>
      <c r="J104" s="13" t="str">
        <f aca="false">IF(A104="","",SUMIFS('Girdi — Faturalar ve tahsilat'!$R$2:$R$3001,'Girdi — Faturalar ve tahsilat'!$C$2:$C$3001,$A104,'Girdi — Faturalar ve tahsilat'!$T$2:$T$3001,$Z$5,'Girdi — Faturalar ve tahsilat'!$S$2:$S$3001,"1-30"))</f>
        <v/>
      </c>
      <c r="K104" s="13" t="str">
        <f aca="false">IF(A104="","",SUMIFS('Girdi — Faturalar ve tahsilat'!$R$2:$R$3001,'Girdi — Faturalar ve tahsilat'!$C$2:$C$3001,$A104,'Girdi — Faturalar ve tahsilat'!$T$2:$T$3001,$Z$5,'Girdi — Faturalar ve tahsilat'!$S$2:$S$3001,"31-60"))</f>
        <v/>
      </c>
      <c r="L104" s="13" t="str">
        <f aca="false">IF(A104="","",SUMIFS('Girdi — Faturalar ve tahsilat'!$R$2:$R$3001,'Girdi — Faturalar ve tahsilat'!$C$2:$C$3001,$A104,'Girdi — Faturalar ve tahsilat'!$T$2:$T$3001,$Z$5,'Girdi — Faturalar ve tahsilat'!$S$2:$S$3001,"61-90"))</f>
        <v/>
      </c>
      <c r="M104" s="13" t="str">
        <f aca="false">IF(A104="","",SUMIFS('Girdi — Faturalar ve tahsilat'!$R$2:$R$3001,'Girdi — Faturalar ve tahsilat'!$C$2:$C$3001,$A104,'Girdi — Faturalar ve tahsilat'!$T$2:$T$3001,$Z$5,'Girdi — Faturalar ve tahsilat'!$S$2:$S$3001,"90+"))</f>
        <v/>
      </c>
      <c r="N104" s="21" t="str">
        <f aca="false">IF(F104="","",RANK(F104,$F$17:$F$216,0)+COUNTIF($F$17:F104,F104)-1)</f>
        <v/>
      </c>
    </row>
    <row r="105" customFormat="false" ht="15" hidden="false" customHeight="false" outlineLevel="0" collapsed="false">
      <c r="A105" s="16" t="str">
        <f aca="false">IFERROR(INDEX('Girdi — Faturalar ve tahsilat'!$C$2:$C$3001,MATCH(89,'Girdi — Faturalar ve tahsilat'!$U$2:$U$3001,0)),"")</f>
        <v/>
      </c>
      <c r="B105" s="16" t="str">
        <f aca="false">IF(A105="","",INDEX('Girdi — Faturalar ve tahsilat'!$D$2:$D$3001,MATCH(89,'Girdi — Faturalar ve tahsilat'!$U$2:$U$3001,0)))</f>
        <v/>
      </c>
      <c r="C105" s="13" t="str">
        <f aca="false">IF(A105="","",SUMIFS('Girdi — Faturalar ve tahsilat'!$F$2:$F$3001,'Girdi — Faturalar ve tahsilat'!$C$2:$C$3001,$A105,'Girdi — Faturalar ve tahsilat'!$T$2:$T$3001,$Z$5))</f>
        <v/>
      </c>
      <c r="D105" s="15" t="str">
        <f aca="false">IF(OR(A105="",N(C105)=0),"",SUMIFS('Girdi — Faturalar ve tahsilat'!$P$2:$P$3001,'Girdi — Faturalar ve tahsilat'!$C$2:$C$3001,$A105,'Girdi — Faturalar ve tahsilat'!$T$2:$T$3001,$Z$5)/C105)</f>
        <v/>
      </c>
      <c r="E105" s="15" t="str">
        <f aca="false">IF(OR(A105="",N(C105)=0),"",SUMIFS('Girdi — Faturalar ve tahsilat'!$Q$2:$Q$3001,'Girdi — Faturalar ve tahsilat'!$C$2:$C$3001,$A105,'Girdi — Faturalar ve tahsilat'!$T$2:$T$3001,$Z$5)/C105)</f>
        <v/>
      </c>
      <c r="F105" s="20" t="str">
        <f aca="false">IF(D105="","",E105-D105)</f>
        <v/>
      </c>
      <c r="G105" s="13" t="str">
        <f aca="false">IF(F105="","",C105*$D$4*F105/365)</f>
        <v/>
      </c>
      <c r="H105" s="13" t="str">
        <f aca="false">IF(A105="","",SUMIFS('Girdi — Faturalar ve tahsilat'!$R$2:$R$3001,'Girdi — Faturalar ve tahsilat'!$C$2:$C$3001,$A105,'Girdi — Faturalar ve tahsilat'!$T$2:$T$3001,$Z$5))</f>
        <v/>
      </c>
      <c r="I105" s="13" t="str">
        <f aca="false">IF(A105="","",SUMIFS('Girdi — Faturalar ve tahsilat'!$R$2:$R$3001,'Girdi — Faturalar ve tahsilat'!$C$2:$C$3001,$A105,'Girdi — Faturalar ve tahsilat'!$T$2:$T$3001,$Z$5,'Girdi — Faturalar ve tahsilat'!$O$2:$O$3001,"&gt;0"))</f>
        <v/>
      </c>
      <c r="J105" s="13" t="str">
        <f aca="false">IF(A105="","",SUMIFS('Girdi — Faturalar ve tahsilat'!$R$2:$R$3001,'Girdi — Faturalar ve tahsilat'!$C$2:$C$3001,$A105,'Girdi — Faturalar ve tahsilat'!$T$2:$T$3001,$Z$5,'Girdi — Faturalar ve tahsilat'!$S$2:$S$3001,"1-30"))</f>
        <v/>
      </c>
      <c r="K105" s="13" t="str">
        <f aca="false">IF(A105="","",SUMIFS('Girdi — Faturalar ve tahsilat'!$R$2:$R$3001,'Girdi — Faturalar ve tahsilat'!$C$2:$C$3001,$A105,'Girdi — Faturalar ve tahsilat'!$T$2:$T$3001,$Z$5,'Girdi — Faturalar ve tahsilat'!$S$2:$S$3001,"31-60"))</f>
        <v/>
      </c>
      <c r="L105" s="13" t="str">
        <f aca="false">IF(A105="","",SUMIFS('Girdi — Faturalar ve tahsilat'!$R$2:$R$3001,'Girdi — Faturalar ve tahsilat'!$C$2:$C$3001,$A105,'Girdi — Faturalar ve tahsilat'!$T$2:$T$3001,$Z$5,'Girdi — Faturalar ve tahsilat'!$S$2:$S$3001,"61-90"))</f>
        <v/>
      </c>
      <c r="M105" s="13" t="str">
        <f aca="false">IF(A105="","",SUMIFS('Girdi — Faturalar ve tahsilat'!$R$2:$R$3001,'Girdi — Faturalar ve tahsilat'!$C$2:$C$3001,$A105,'Girdi — Faturalar ve tahsilat'!$T$2:$T$3001,$Z$5,'Girdi — Faturalar ve tahsilat'!$S$2:$S$3001,"90+"))</f>
        <v/>
      </c>
      <c r="N105" s="21" t="str">
        <f aca="false">IF(F105="","",RANK(F105,$F$17:$F$216,0)+COUNTIF($F$17:F105,F105)-1)</f>
        <v/>
      </c>
    </row>
    <row r="106" customFormat="false" ht="15" hidden="false" customHeight="false" outlineLevel="0" collapsed="false">
      <c r="A106" s="16" t="str">
        <f aca="false">IFERROR(INDEX('Girdi — Faturalar ve tahsilat'!$C$2:$C$3001,MATCH(90,'Girdi — Faturalar ve tahsilat'!$U$2:$U$3001,0)),"")</f>
        <v/>
      </c>
      <c r="B106" s="16" t="str">
        <f aca="false">IF(A106="","",INDEX('Girdi — Faturalar ve tahsilat'!$D$2:$D$3001,MATCH(90,'Girdi — Faturalar ve tahsilat'!$U$2:$U$3001,0)))</f>
        <v/>
      </c>
      <c r="C106" s="13" t="str">
        <f aca="false">IF(A106="","",SUMIFS('Girdi — Faturalar ve tahsilat'!$F$2:$F$3001,'Girdi — Faturalar ve tahsilat'!$C$2:$C$3001,$A106,'Girdi — Faturalar ve tahsilat'!$T$2:$T$3001,$Z$5))</f>
        <v/>
      </c>
      <c r="D106" s="15" t="str">
        <f aca="false">IF(OR(A106="",N(C106)=0),"",SUMIFS('Girdi — Faturalar ve tahsilat'!$P$2:$P$3001,'Girdi — Faturalar ve tahsilat'!$C$2:$C$3001,$A106,'Girdi — Faturalar ve tahsilat'!$T$2:$T$3001,$Z$5)/C106)</f>
        <v/>
      </c>
      <c r="E106" s="15" t="str">
        <f aca="false">IF(OR(A106="",N(C106)=0),"",SUMIFS('Girdi — Faturalar ve tahsilat'!$Q$2:$Q$3001,'Girdi — Faturalar ve tahsilat'!$C$2:$C$3001,$A106,'Girdi — Faturalar ve tahsilat'!$T$2:$T$3001,$Z$5)/C106)</f>
        <v/>
      </c>
      <c r="F106" s="20" t="str">
        <f aca="false">IF(D106="","",E106-D106)</f>
        <v/>
      </c>
      <c r="G106" s="13" t="str">
        <f aca="false">IF(F106="","",C106*$D$4*F106/365)</f>
        <v/>
      </c>
      <c r="H106" s="13" t="str">
        <f aca="false">IF(A106="","",SUMIFS('Girdi — Faturalar ve tahsilat'!$R$2:$R$3001,'Girdi — Faturalar ve tahsilat'!$C$2:$C$3001,$A106,'Girdi — Faturalar ve tahsilat'!$T$2:$T$3001,$Z$5))</f>
        <v/>
      </c>
      <c r="I106" s="13" t="str">
        <f aca="false">IF(A106="","",SUMIFS('Girdi — Faturalar ve tahsilat'!$R$2:$R$3001,'Girdi — Faturalar ve tahsilat'!$C$2:$C$3001,$A106,'Girdi — Faturalar ve tahsilat'!$T$2:$T$3001,$Z$5,'Girdi — Faturalar ve tahsilat'!$O$2:$O$3001,"&gt;0"))</f>
        <v/>
      </c>
      <c r="J106" s="13" t="str">
        <f aca="false">IF(A106="","",SUMIFS('Girdi — Faturalar ve tahsilat'!$R$2:$R$3001,'Girdi — Faturalar ve tahsilat'!$C$2:$C$3001,$A106,'Girdi — Faturalar ve tahsilat'!$T$2:$T$3001,$Z$5,'Girdi — Faturalar ve tahsilat'!$S$2:$S$3001,"1-30"))</f>
        <v/>
      </c>
      <c r="K106" s="13" t="str">
        <f aca="false">IF(A106="","",SUMIFS('Girdi — Faturalar ve tahsilat'!$R$2:$R$3001,'Girdi — Faturalar ve tahsilat'!$C$2:$C$3001,$A106,'Girdi — Faturalar ve tahsilat'!$T$2:$T$3001,$Z$5,'Girdi — Faturalar ve tahsilat'!$S$2:$S$3001,"31-60"))</f>
        <v/>
      </c>
      <c r="L106" s="13" t="str">
        <f aca="false">IF(A106="","",SUMIFS('Girdi — Faturalar ve tahsilat'!$R$2:$R$3001,'Girdi — Faturalar ve tahsilat'!$C$2:$C$3001,$A106,'Girdi — Faturalar ve tahsilat'!$T$2:$T$3001,$Z$5,'Girdi — Faturalar ve tahsilat'!$S$2:$S$3001,"61-90"))</f>
        <v/>
      </c>
      <c r="M106" s="13" t="str">
        <f aca="false">IF(A106="","",SUMIFS('Girdi — Faturalar ve tahsilat'!$R$2:$R$3001,'Girdi — Faturalar ve tahsilat'!$C$2:$C$3001,$A106,'Girdi — Faturalar ve tahsilat'!$T$2:$T$3001,$Z$5,'Girdi — Faturalar ve tahsilat'!$S$2:$S$3001,"90+"))</f>
        <v/>
      </c>
      <c r="N106" s="21" t="str">
        <f aca="false">IF(F106="","",RANK(F106,$F$17:$F$216,0)+COUNTIF($F$17:F106,F106)-1)</f>
        <v/>
      </c>
    </row>
    <row r="107" customFormat="false" ht="15" hidden="false" customHeight="false" outlineLevel="0" collapsed="false">
      <c r="A107" s="16" t="str">
        <f aca="false">IFERROR(INDEX('Girdi — Faturalar ve tahsilat'!$C$2:$C$3001,MATCH(91,'Girdi — Faturalar ve tahsilat'!$U$2:$U$3001,0)),"")</f>
        <v/>
      </c>
      <c r="B107" s="16" t="str">
        <f aca="false">IF(A107="","",INDEX('Girdi — Faturalar ve tahsilat'!$D$2:$D$3001,MATCH(91,'Girdi — Faturalar ve tahsilat'!$U$2:$U$3001,0)))</f>
        <v/>
      </c>
      <c r="C107" s="13" t="str">
        <f aca="false">IF(A107="","",SUMIFS('Girdi — Faturalar ve tahsilat'!$F$2:$F$3001,'Girdi — Faturalar ve tahsilat'!$C$2:$C$3001,$A107,'Girdi — Faturalar ve tahsilat'!$T$2:$T$3001,$Z$5))</f>
        <v/>
      </c>
      <c r="D107" s="15" t="str">
        <f aca="false">IF(OR(A107="",N(C107)=0),"",SUMIFS('Girdi — Faturalar ve tahsilat'!$P$2:$P$3001,'Girdi — Faturalar ve tahsilat'!$C$2:$C$3001,$A107,'Girdi — Faturalar ve tahsilat'!$T$2:$T$3001,$Z$5)/C107)</f>
        <v/>
      </c>
      <c r="E107" s="15" t="str">
        <f aca="false">IF(OR(A107="",N(C107)=0),"",SUMIFS('Girdi — Faturalar ve tahsilat'!$Q$2:$Q$3001,'Girdi — Faturalar ve tahsilat'!$C$2:$C$3001,$A107,'Girdi — Faturalar ve tahsilat'!$T$2:$T$3001,$Z$5)/C107)</f>
        <v/>
      </c>
      <c r="F107" s="20" t="str">
        <f aca="false">IF(D107="","",E107-D107)</f>
        <v/>
      </c>
      <c r="G107" s="13" t="str">
        <f aca="false">IF(F107="","",C107*$D$4*F107/365)</f>
        <v/>
      </c>
      <c r="H107" s="13" t="str">
        <f aca="false">IF(A107="","",SUMIFS('Girdi — Faturalar ve tahsilat'!$R$2:$R$3001,'Girdi — Faturalar ve tahsilat'!$C$2:$C$3001,$A107,'Girdi — Faturalar ve tahsilat'!$T$2:$T$3001,$Z$5))</f>
        <v/>
      </c>
      <c r="I107" s="13" t="str">
        <f aca="false">IF(A107="","",SUMIFS('Girdi — Faturalar ve tahsilat'!$R$2:$R$3001,'Girdi — Faturalar ve tahsilat'!$C$2:$C$3001,$A107,'Girdi — Faturalar ve tahsilat'!$T$2:$T$3001,$Z$5,'Girdi — Faturalar ve tahsilat'!$O$2:$O$3001,"&gt;0"))</f>
        <v/>
      </c>
      <c r="J107" s="13" t="str">
        <f aca="false">IF(A107="","",SUMIFS('Girdi — Faturalar ve tahsilat'!$R$2:$R$3001,'Girdi — Faturalar ve tahsilat'!$C$2:$C$3001,$A107,'Girdi — Faturalar ve tahsilat'!$T$2:$T$3001,$Z$5,'Girdi — Faturalar ve tahsilat'!$S$2:$S$3001,"1-30"))</f>
        <v/>
      </c>
      <c r="K107" s="13" t="str">
        <f aca="false">IF(A107="","",SUMIFS('Girdi — Faturalar ve tahsilat'!$R$2:$R$3001,'Girdi — Faturalar ve tahsilat'!$C$2:$C$3001,$A107,'Girdi — Faturalar ve tahsilat'!$T$2:$T$3001,$Z$5,'Girdi — Faturalar ve tahsilat'!$S$2:$S$3001,"31-60"))</f>
        <v/>
      </c>
      <c r="L107" s="13" t="str">
        <f aca="false">IF(A107="","",SUMIFS('Girdi — Faturalar ve tahsilat'!$R$2:$R$3001,'Girdi — Faturalar ve tahsilat'!$C$2:$C$3001,$A107,'Girdi — Faturalar ve tahsilat'!$T$2:$T$3001,$Z$5,'Girdi — Faturalar ve tahsilat'!$S$2:$S$3001,"61-90"))</f>
        <v/>
      </c>
      <c r="M107" s="13" t="str">
        <f aca="false">IF(A107="","",SUMIFS('Girdi — Faturalar ve tahsilat'!$R$2:$R$3001,'Girdi — Faturalar ve tahsilat'!$C$2:$C$3001,$A107,'Girdi — Faturalar ve tahsilat'!$T$2:$T$3001,$Z$5,'Girdi — Faturalar ve tahsilat'!$S$2:$S$3001,"90+"))</f>
        <v/>
      </c>
      <c r="N107" s="21" t="str">
        <f aca="false">IF(F107="","",RANK(F107,$F$17:$F$216,0)+COUNTIF($F$17:F107,F107)-1)</f>
        <v/>
      </c>
    </row>
    <row r="108" customFormat="false" ht="15" hidden="false" customHeight="false" outlineLevel="0" collapsed="false">
      <c r="A108" s="16" t="str">
        <f aca="false">IFERROR(INDEX('Girdi — Faturalar ve tahsilat'!$C$2:$C$3001,MATCH(92,'Girdi — Faturalar ve tahsilat'!$U$2:$U$3001,0)),"")</f>
        <v/>
      </c>
      <c r="B108" s="16" t="str">
        <f aca="false">IF(A108="","",INDEX('Girdi — Faturalar ve tahsilat'!$D$2:$D$3001,MATCH(92,'Girdi — Faturalar ve tahsilat'!$U$2:$U$3001,0)))</f>
        <v/>
      </c>
      <c r="C108" s="13" t="str">
        <f aca="false">IF(A108="","",SUMIFS('Girdi — Faturalar ve tahsilat'!$F$2:$F$3001,'Girdi — Faturalar ve tahsilat'!$C$2:$C$3001,$A108,'Girdi — Faturalar ve tahsilat'!$T$2:$T$3001,$Z$5))</f>
        <v/>
      </c>
      <c r="D108" s="15" t="str">
        <f aca="false">IF(OR(A108="",N(C108)=0),"",SUMIFS('Girdi — Faturalar ve tahsilat'!$P$2:$P$3001,'Girdi — Faturalar ve tahsilat'!$C$2:$C$3001,$A108,'Girdi — Faturalar ve tahsilat'!$T$2:$T$3001,$Z$5)/C108)</f>
        <v/>
      </c>
      <c r="E108" s="15" t="str">
        <f aca="false">IF(OR(A108="",N(C108)=0),"",SUMIFS('Girdi — Faturalar ve tahsilat'!$Q$2:$Q$3001,'Girdi — Faturalar ve tahsilat'!$C$2:$C$3001,$A108,'Girdi — Faturalar ve tahsilat'!$T$2:$T$3001,$Z$5)/C108)</f>
        <v/>
      </c>
      <c r="F108" s="20" t="str">
        <f aca="false">IF(D108="","",E108-D108)</f>
        <v/>
      </c>
      <c r="G108" s="13" t="str">
        <f aca="false">IF(F108="","",C108*$D$4*F108/365)</f>
        <v/>
      </c>
      <c r="H108" s="13" t="str">
        <f aca="false">IF(A108="","",SUMIFS('Girdi — Faturalar ve tahsilat'!$R$2:$R$3001,'Girdi — Faturalar ve tahsilat'!$C$2:$C$3001,$A108,'Girdi — Faturalar ve tahsilat'!$T$2:$T$3001,$Z$5))</f>
        <v/>
      </c>
      <c r="I108" s="13" t="str">
        <f aca="false">IF(A108="","",SUMIFS('Girdi — Faturalar ve tahsilat'!$R$2:$R$3001,'Girdi — Faturalar ve tahsilat'!$C$2:$C$3001,$A108,'Girdi — Faturalar ve tahsilat'!$T$2:$T$3001,$Z$5,'Girdi — Faturalar ve tahsilat'!$O$2:$O$3001,"&gt;0"))</f>
        <v/>
      </c>
      <c r="J108" s="13" t="str">
        <f aca="false">IF(A108="","",SUMIFS('Girdi — Faturalar ve tahsilat'!$R$2:$R$3001,'Girdi — Faturalar ve tahsilat'!$C$2:$C$3001,$A108,'Girdi — Faturalar ve tahsilat'!$T$2:$T$3001,$Z$5,'Girdi — Faturalar ve tahsilat'!$S$2:$S$3001,"1-30"))</f>
        <v/>
      </c>
      <c r="K108" s="13" t="str">
        <f aca="false">IF(A108="","",SUMIFS('Girdi — Faturalar ve tahsilat'!$R$2:$R$3001,'Girdi — Faturalar ve tahsilat'!$C$2:$C$3001,$A108,'Girdi — Faturalar ve tahsilat'!$T$2:$T$3001,$Z$5,'Girdi — Faturalar ve tahsilat'!$S$2:$S$3001,"31-60"))</f>
        <v/>
      </c>
      <c r="L108" s="13" t="str">
        <f aca="false">IF(A108="","",SUMIFS('Girdi — Faturalar ve tahsilat'!$R$2:$R$3001,'Girdi — Faturalar ve tahsilat'!$C$2:$C$3001,$A108,'Girdi — Faturalar ve tahsilat'!$T$2:$T$3001,$Z$5,'Girdi — Faturalar ve tahsilat'!$S$2:$S$3001,"61-90"))</f>
        <v/>
      </c>
      <c r="M108" s="13" t="str">
        <f aca="false">IF(A108="","",SUMIFS('Girdi — Faturalar ve tahsilat'!$R$2:$R$3001,'Girdi — Faturalar ve tahsilat'!$C$2:$C$3001,$A108,'Girdi — Faturalar ve tahsilat'!$T$2:$T$3001,$Z$5,'Girdi — Faturalar ve tahsilat'!$S$2:$S$3001,"90+"))</f>
        <v/>
      </c>
      <c r="N108" s="21" t="str">
        <f aca="false">IF(F108="","",RANK(F108,$F$17:$F$216,0)+COUNTIF($F$17:F108,F108)-1)</f>
        <v/>
      </c>
    </row>
    <row r="109" customFormat="false" ht="15" hidden="false" customHeight="false" outlineLevel="0" collapsed="false">
      <c r="A109" s="16" t="str">
        <f aca="false">IFERROR(INDEX('Girdi — Faturalar ve tahsilat'!$C$2:$C$3001,MATCH(93,'Girdi — Faturalar ve tahsilat'!$U$2:$U$3001,0)),"")</f>
        <v/>
      </c>
      <c r="B109" s="16" t="str">
        <f aca="false">IF(A109="","",INDEX('Girdi — Faturalar ve tahsilat'!$D$2:$D$3001,MATCH(93,'Girdi — Faturalar ve tahsilat'!$U$2:$U$3001,0)))</f>
        <v/>
      </c>
      <c r="C109" s="13" t="str">
        <f aca="false">IF(A109="","",SUMIFS('Girdi — Faturalar ve tahsilat'!$F$2:$F$3001,'Girdi — Faturalar ve tahsilat'!$C$2:$C$3001,$A109,'Girdi — Faturalar ve tahsilat'!$T$2:$T$3001,$Z$5))</f>
        <v/>
      </c>
      <c r="D109" s="15" t="str">
        <f aca="false">IF(OR(A109="",N(C109)=0),"",SUMIFS('Girdi — Faturalar ve tahsilat'!$P$2:$P$3001,'Girdi — Faturalar ve tahsilat'!$C$2:$C$3001,$A109,'Girdi — Faturalar ve tahsilat'!$T$2:$T$3001,$Z$5)/C109)</f>
        <v/>
      </c>
      <c r="E109" s="15" t="str">
        <f aca="false">IF(OR(A109="",N(C109)=0),"",SUMIFS('Girdi — Faturalar ve tahsilat'!$Q$2:$Q$3001,'Girdi — Faturalar ve tahsilat'!$C$2:$C$3001,$A109,'Girdi — Faturalar ve tahsilat'!$T$2:$T$3001,$Z$5)/C109)</f>
        <v/>
      </c>
      <c r="F109" s="20" t="str">
        <f aca="false">IF(D109="","",E109-D109)</f>
        <v/>
      </c>
      <c r="G109" s="13" t="str">
        <f aca="false">IF(F109="","",C109*$D$4*F109/365)</f>
        <v/>
      </c>
      <c r="H109" s="13" t="str">
        <f aca="false">IF(A109="","",SUMIFS('Girdi — Faturalar ve tahsilat'!$R$2:$R$3001,'Girdi — Faturalar ve tahsilat'!$C$2:$C$3001,$A109,'Girdi — Faturalar ve tahsilat'!$T$2:$T$3001,$Z$5))</f>
        <v/>
      </c>
      <c r="I109" s="13" t="str">
        <f aca="false">IF(A109="","",SUMIFS('Girdi — Faturalar ve tahsilat'!$R$2:$R$3001,'Girdi — Faturalar ve tahsilat'!$C$2:$C$3001,$A109,'Girdi — Faturalar ve tahsilat'!$T$2:$T$3001,$Z$5,'Girdi — Faturalar ve tahsilat'!$O$2:$O$3001,"&gt;0"))</f>
        <v/>
      </c>
      <c r="J109" s="13" t="str">
        <f aca="false">IF(A109="","",SUMIFS('Girdi — Faturalar ve tahsilat'!$R$2:$R$3001,'Girdi — Faturalar ve tahsilat'!$C$2:$C$3001,$A109,'Girdi — Faturalar ve tahsilat'!$T$2:$T$3001,$Z$5,'Girdi — Faturalar ve tahsilat'!$S$2:$S$3001,"1-30"))</f>
        <v/>
      </c>
      <c r="K109" s="13" t="str">
        <f aca="false">IF(A109="","",SUMIFS('Girdi — Faturalar ve tahsilat'!$R$2:$R$3001,'Girdi — Faturalar ve tahsilat'!$C$2:$C$3001,$A109,'Girdi — Faturalar ve tahsilat'!$T$2:$T$3001,$Z$5,'Girdi — Faturalar ve tahsilat'!$S$2:$S$3001,"31-60"))</f>
        <v/>
      </c>
      <c r="L109" s="13" t="str">
        <f aca="false">IF(A109="","",SUMIFS('Girdi — Faturalar ve tahsilat'!$R$2:$R$3001,'Girdi — Faturalar ve tahsilat'!$C$2:$C$3001,$A109,'Girdi — Faturalar ve tahsilat'!$T$2:$T$3001,$Z$5,'Girdi — Faturalar ve tahsilat'!$S$2:$S$3001,"61-90"))</f>
        <v/>
      </c>
      <c r="M109" s="13" t="str">
        <f aca="false">IF(A109="","",SUMIFS('Girdi — Faturalar ve tahsilat'!$R$2:$R$3001,'Girdi — Faturalar ve tahsilat'!$C$2:$C$3001,$A109,'Girdi — Faturalar ve tahsilat'!$T$2:$T$3001,$Z$5,'Girdi — Faturalar ve tahsilat'!$S$2:$S$3001,"90+"))</f>
        <v/>
      </c>
      <c r="N109" s="21" t="str">
        <f aca="false">IF(F109="","",RANK(F109,$F$17:$F$216,0)+COUNTIF($F$17:F109,F109)-1)</f>
        <v/>
      </c>
    </row>
    <row r="110" customFormat="false" ht="15" hidden="false" customHeight="false" outlineLevel="0" collapsed="false">
      <c r="A110" s="16" t="str">
        <f aca="false">IFERROR(INDEX('Girdi — Faturalar ve tahsilat'!$C$2:$C$3001,MATCH(94,'Girdi — Faturalar ve tahsilat'!$U$2:$U$3001,0)),"")</f>
        <v/>
      </c>
      <c r="B110" s="16" t="str">
        <f aca="false">IF(A110="","",INDEX('Girdi — Faturalar ve tahsilat'!$D$2:$D$3001,MATCH(94,'Girdi — Faturalar ve tahsilat'!$U$2:$U$3001,0)))</f>
        <v/>
      </c>
      <c r="C110" s="13" t="str">
        <f aca="false">IF(A110="","",SUMIFS('Girdi — Faturalar ve tahsilat'!$F$2:$F$3001,'Girdi — Faturalar ve tahsilat'!$C$2:$C$3001,$A110,'Girdi — Faturalar ve tahsilat'!$T$2:$T$3001,$Z$5))</f>
        <v/>
      </c>
      <c r="D110" s="15" t="str">
        <f aca="false">IF(OR(A110="",N(C110)=0),"",SUMIFS('Girdi — Faturalar ve tahsilat'!$P$2:$P$3001,'Girdi — Faturalar ve tahsilat'!$C$2:$C$3001,$A110,'Girdi — Faturalar ve tahsilat'!$T$2:$T$3001,$Z$5)/C110)</f>
        <v/>
      </c>
      <c r="E110" s="15" t="str">
        <f aca="false">IF(OR(A110="",N(C110)=0),"",SUMIFS('Girdi — Faturalar ve tahsilat'!$Q$2:$Q$3001,'Girdi — Faturalar ve tahsilat'!$C$2:$C$3001,$A110,'Girdi — Faturalar ve tahsilat'!$T$2:$T$3001,$Z$5)/C110)</f>
        <v/>
      </c>
      <c r="F110" s="20" t="str">
        <f aca="false">IF(D110="","",E110-D110)</f>
        <v/>
      </c>
      <c r="G110" s="13" t="str">
        <f aca="false">IF(F110="","",C110*$D$4*F110/365)</f>
        <v/>
      </c>
      <c r="H110" s="13" t="str">
        <f aca="false">IF(A110="","",SUMIFS('Girdi — Faturalar ve tahsilat'!$R$2:$R$3001,'Girdi — Faturalar ve tahsilat'!$C$2:$C$3001,$A110,'Girdi — Faturalar ve tahsilat'!$T$2:$T$3001,$Z$5))</f>
        <v/>
      </c>
      <c r="I110" s="13" t="str">
        <f aca="false">IF(A110="","",SUMIFS('Girdi — Faturalar ve tahsilat'!$R$2:$R$3001,'Girdi — Faturalar ve tahsilat'!$C$2:$C$3001,$A110,'Girdi — Faturalar ve tahsilat'!$T$2:$T$3001,$Z$5,'Girdi — Faturalar ve tahsilat'!$O$2:$O$3001,"&gt;0"))</f>
        <v/>
      </c>
      <c r="J110" s="13" t="str">
        <f aca="false">IF(A110="","",SUMIFS('Girdi — Faturalar ve tahsilat'!$R$2:$R$3001,'Girdi — Faturalar ve tahsilat'!$C$2:$C$3001,$A110,'Girdi — Faturalar ve tahsilat'!$T$2:$T$3001,$Z$5,'Girdi — Faturalar ve tahsilat'!$S$2:$S$3001,"1-30"))</f>
        <v/>
      </c>
      <c r="K110" s="13" t="str">
        <f aca="false">IF(A110="","",SUMIFS('Girdi — Faturalar ve tahsilat'!$R$2:$R$3001,'Girdi — Faturalar ve tahsilat'!$C$2:$C$3001,$A110,'Girdi — Faturalar ve tahsilat'!$T$2:$T$3001,$Z$5,'Girdi — Faturalar ve tahsilat'!$S$2:$S$3001,"31-60"))</f>
        <v/>
      </c>
      <c r="L110" s="13" t="str">
        <f aca="false">IF(A110="","",SUMIFS('Girdi — Faturalar ve tahsilat'!$R$2:$R$3001,'Girdi — Faturalar ve tahsilat'!$C$2:$C$3001,$A110,'Girdi — Faturalar ve tahsilat'!$T$2:$T$3001,$Z$5,'Girdi — Faturalar ve tahsilat'!$S$2:$S$3001,"61-90"))</f>
        <v/>
      </c>
      <c r="M110" s="13" t="str">
        <f aca="false">IF(A110="","",SUMIFS('Girdi — Faturalar ve tahsilat'!$R$2:$R$3001,'Girdi — Faturalar ve tahsilat'!$C$2:$C$3001,$A110,'Girdi — Faturalar ve tahsilat'!$T$2:$T$3001,$Z$5,'Girdi — Faturalar ve tahsilat'!$S$2:$S$3001,"90+"))</f>
        <v/>
      </c>
      <c r="N110" s="21" t="str">
        <f aca="false">IF(F110="","",RANK(F110,$F$17:$F$216,0)+COUNTIF($F$17:F110,F110)-1)</f>
        <v/>
      </c>
    </row>
    <row r="111" customFormat="false" ht="15" hidden="false" customHeight="false" outlineLevel="0" collapsed="false">
      <c r="A111" s="16" t="str">
        <f aca="false">IFERROR(INDEX('Girdi — Faturalar ve tahsilat'!$C$2:$C$3001,MATCH(95,'Girdi — Faturalar ve tahsilat'!$U$2:$U$3001,0)),"")</f>
        <v/>
      </c>
      <c r="B111" s="16" t="str">
        <f aca="false">IF(A111="","",INDEX('Girdi — Faturalar ve tahsilat'!$D$2:$D$3001,MATCH(95,'Girdi — Faturalar ve tahsilat'!$U$2:$U$3001,0)))</f>
        <v/>
      </c>
      <c r="C111" s="13" t="str">
        <f aca="false">IF(A111="","",SUMIFS('Girdi — Faturalar ve tahsilat'!$F$2:$F$3001,'Girdi — Faturalar ve tahsilat'!$C$2:$C$3001,$A111,'Girdi — Faturalar ve tahsilat'!$T$2:$T$3001,$Z$5))</f>
        <v/>
      </c>
      <c r="D111" s="15" t="str">
        <f aca="false">IF(OR(A111="",N(C111)=0),"",SUMIFS('Girdi — Faturalar ve tahsilat'!$P$2:$P$3001,'Girdi — Faturalar ve tahsilat'!$C$2:$C$3001,$A111,'Girdi — Faturalar ve tahsilat'!$T$2:$T$3001,$Z$5)/C111)</f>
        <v/>
      </c>
      <c r="E111" s="15" t="str">
        <f aca="false">IF(OR(A111="",N(C111)=0),"",SUMIFS('Girdi — Faturalar ve tahsilat'!$Q$2:$Q$3001,'Girdi — Faturalar ve tahsilat'!$C$2:$C$3001,$A111,'Girdi — Faturalar ve tahsilat'!$T$2:$T$3001,$Z$5)/C111)</f>
        <v/>
      </c>
      <c r="F111" s="20" t="str">
        <f aca="false">IF(D111="","",E111-D111)</f>
        <v/>
      </c>
      <c r="G111" s="13" t="str">
        <f aca="false">IF(F111="","",C111*$D$4*F111/365)</f>
        <v/>
      </c>
      <c r="H111" s="13" t="str">
        <f aca="false">IF(A111="","",SUMIFS('Girdi — Faturalar ve tahsilat'!$R$2:$R$3001,'Girdi — Faturalar ve tahsilat'!$C$2:$C$3001,$A111,'Girdi — Faturalar ve tahsilat'!$T$2:$T$3001,$Z$5))</f>
        <v/>
      </c>
      <c r="I111" s="13" t="str">
        <f aca="false">IF(A111="","",SUMIFS('Girdi — Faturalar ve tahsilat'!$R$2:$R$3001,'Girdi — Faturalar ve tahsilat'!$C$2:$C$3001,$A111,'Girdi — Faturalar ve tahsilat'!$T$2:$T$3001,$Z$5,'Girdi — Faturalar ve tahsilat'!$O$2:$O$3001,"&gt;0"))</f>
        <v/>
      </c>
      <c r="J111" s="13" t="str">
        <f aca="false">IF(A111="","",SUMIFS('Girdi — Faturalar ve tahsilat'!$R$2:$R$3001,'Girdi — Faturalar ve tahsilat'!$C$2:$C$3001,$A111,'Girdi — Faturalar ve tahsilat'!$T$2:$T$3001,$Z$5,'Girdi — Faturalar ve tahsilat'!$S$2:$S$3001,"1-30"))</f>
        <v/>
      </c>
      <c r="K111" s="13" t="str">
        <f aca="false">IF(A111="","",SUMIFS('Girdi — Faturalar ve tahsilat'!$R$2:$R$3001,'Girdi — Faturalar ve tahsilat'!$C$2:$C$3001,$A111,'Girdi — Faturalar ve tahsilat'!$T$2:$T$3001,$Z$5,'Girdi — Faturalar ve tahsilat'!$S$2:$S$3001,"31-60"))</f>
        <v/>
      </c>
      <c r="L111" s="13" t="str">
        <f aca="false">IF(A111="","",SUMIFS('Girdi — Faturalar ve tahsilat'!$R$2:$R$3001,'Girdi — Faturalar ve tahsilat'!$C$2:$C$3001,$A111,'Girdi — Faturalar ve tahsilat'!$T$2:$T$3001,$Z$5,'Girdi — Faturalar ve tahsilat'!$S$2:$S$3001,"61-90"))</f>
        <v/>
      </c>
      <c r="M111" s="13" t="str">
        <f aca="false">IF(A111="","",SUMIFS('Girdi — Faturalar ve tahsilat'!$R$2:$R$3001,'Girdi — Faturalar ve tahsilat'!$C$2:$C$3001,$A111,'Girdi — Faturalar ve tahsilat'!$T$2:$T$3001,$Z$5,'Girdi — Faturalar ve tahsilat'!$S$2:$S$3001,"90+"))</f>
        <v/>
      </c>
      <c r="N111" s="21" t="str">
        <f aca="false">IF(F111="","",RANK(F111,$F$17:$F$216,0)+COUNTIF($F$17:F111,F111)-1)</f>
        <v/>
      </c>
    </row>
    <row r="112" customFormat="false" ht="15" hidden="false" customHeight="false" outlineLevel="0" collapsed="false">
      <c r="A112" s="16" t="str">
        <f aca="false">IFERROR(INDEX('Girdi — Faturalar ve tahsilat'!$C$2:$C$3001,MATCH(96,'Girdi — Faturalar ve tahsilat'!$U$2:$U$3001,0)),"")</f>
        <v/>
      </c>
      <c r="B112" s="16" t="str">
        <f aca="false">IF(A112="","",INDEX('Girdi — Faturalar ve tahsilat'!$D$2:$D$3001,MATCH(96,'Girdi — Faturalar ve tahsilat'!$U$2:$U$3001,0)))</f>
        <v/>
      </c>
      <c r="C112" s="13" t="str">
        <f aca="false">IF(A112="","",SUMIFS('Girdi — Faturalar ve tahsilat'!$F$2:$F$3001,'Girdi — Faturalar ve tahsilat'!$C$2:$C$3001,$A112,'Girdi — Faturalar ve tahsilat'!$T$2:$T$3001,$Z$5))</f>
        <v/>
      </c>
      <c r="D112" s="15" t="str">
        <f aca="false">IF(OR(A112="",N(C112)=0),"",SUMIFS('Girdi — Faturalar ve tahsilat'!$P$2:$P$3001,'Girdi — Faturalar ve tahsilat'!$C$2:$C$3001,$A112,'Girdi — Faturalar ve tahsilat'!$T$2:$T$3001,$Z$5)/C112)</f>
        <v/>
      </c>
      <c r="E112" s="15" t="str">
        <f aca="false">IF(OR(A112="",N(C112)=0),"",SUMIFS('Girdi — Faturalar ve tahsilat'!$Q$2:$Q$3001,'Girdi — Faturalar ve tahsilat'!$C$2:$C$3001,$A112,'Girdi — Faturalar ve tahsilat'!$T$2:$T$3001,$Z$5)/C112)</f>
        <v/>
      </c>
      <c r="F112" s="20" t="str">
        <f aca="false">IF(D112="","",E112-D112)</f>
        <v/>
      </c>
      <c r="G112" s="13" t="str">
        <f aca="false">IF(F112="","",C112*$D$4*F112/365)</f>
        <v/>
      </c>
      <c r="H112" s="13" t="str">
        <f aca="false">IF(A112="","",SUMIFS('Girdi — Faturalar ve tahsilat'!$R$2:$R$3001,'Girdi — Faturalar ve tahsilat'!$C$2:$C$3001,$A112,'Girdi — Faturalar ve tahsilat'!$T$2:$T$3001,$Z$5))</f>
        <v/>
      </c>
      <c r="I112" s="13" t="str">
        <f aca="false">IF(A112="","",SUMIFS('Girdi — Faturalar ve tahsilat'!$R$2:$R$3001,'Girdi — Faturalar ve tahsilat'!$C$2:$C$3001,$A112,'Girdi — Faturalar ve tahsilat'!$T$2:$T$3001,$Z$5,'Girdi — Faturalar ve tahsilat'!$O$2:$O$3001,"&gt;0"))</f>
        <v/>
      </c>
      <c r="J112" s="13" t="str">
        <f aca="false">IF(A112="","",SUMIFS('Girdi — Faturalar ve tahsilat'!$R$2:$R$3001,'Girdi — Faturalar ve tahsilat'!$C$2:$C$3001,$A112,'Girdi — Faturalar ve tahsilat'!$T$2:$T$3001,$Z$5,'Girdi — Faturalar ve tahsilat'!$S$2:$S$3001,"1-30"))</f>
        <v/>
      </c>
      <c r="K112" s="13" t="str">
        <f aca="false">IF(A112="","",SUMIFS('Girdi — Faturalar ve tahsilat'!$R$2:$R$3001,'Girdi — Faturalar ve tahsilat'!$C$2:$C$3001,$A112,'Girdi — Faturalar ve tahsilat'!$T$2:$T$3001,$Z$5,'Girdi — Faturalar ve tahsilat'!$S$2:$S$3001,"31-60"))</f>
        <v/>
      </c>
      <c r="L112" s="13" t="str">
        <f aca="false">IF(A112="","",SUMIFS('Girdi — Faturalar ve tahsilat'!$R$2:$R$3001,'Girdi — Faturalar ve tahsilat'!$C$2:$C$3001,$A112,'Girdi — Faturalar ve tahsilat'!$T$2:$T$3001,$Z$5,'Girdi — Faturalar ve tahsilat'!$S$2:$S$3001,"61-90"))</f>
        <v/>
      </c>
      <c r="M112" s="13" t="str">
        <f aca="false">IF(A112="","",SUMIFS('Girdi — Faturalar ve tahsilat'!$R$2:$R$3001,'Girdi — Faturalar ve tahsilat'!$C$2:$C$3001,$A112,'Girdi — Faturalar ve tahsilat'!$T$2:$T$3001,$Z$5,'Girdi — Faturalar ve tahsilat'!$S$2:$S$3001,"90+"))</f>
        <v/>
      </c>
      <c r="N112" s="21" t="str">
        <f aca="false">IF(F112="","",RANK(F112,$F$17:$F$216,0)+COUNTIF($F$17:F112,F112)-1)</f>
        <v/>
      </c>
    </row>
    <row r="113" customFormat="false" ht="15" hidden="false" customHeight="false" outlineLevel="0" collapsed="false">
      <c r="A113" s="16" t="str">
        <f aca="false">IFERROR(INDEX('Girdi — Faturalar ve tahsilat'!$C$2:$C$3001,MATCH(97,'Girdi — Faturalar ve tahsilat'!$U$2:$U$3001,0)),"")</f>
        <v/>
      </c>
      <c r="B113" s="16" t="str">
        <f aca="false">IF(A113="","",INDEX('Girdi — Faturalar ve tahsilat'!$D$2:$D$3001,MATCH(97,'Girdi — Faturalar ve tahsilat'!$U$2:$U$3001,0)))</f>
        <v/>
      </c>
      <c r="C113" s="13" t="str">
        <f aca="false">IF(A113="","",SUMIFS('Girdi — Faturalar ve tahsilat'!$F$2:$F$3001,'Girdi — Faturalar ve tahsilat'!$C$2:$C$3001,$A113,'Girdi — Faturalar ve tahsilat'!$T$2:$T$3001,$Z$5))</f>
        <v/>
      </c>
      <c r="D113" s="15" t="str">
        <f aca="false">IF(OR(A113="",N(C113)=0),"",SUMIFS('Girdi — Faturalar ve tahsilat'!$P$2:$P$3001,'Girdi — Faturalar ve tahsilat'!$C$2:$C$3001,$A113,'Girdi — Faturalar ve tahsilat'!$T$2:$T$3001,$Z$5)/C113)</f>
        <v/>
      </c>
      <c r="E113" s="15" t="str">
        <f aca="false">IF(OR(A113="",N(C113)=0),"",SUMIFS('Girdi — Faturalar ve tahsilat'!$Q$2:$Q$3001,'Girdi — Faturalar ve tahsilat'!$C$2:$C$3001,$A113,'Girdi — Faturalar ve tahsilat'!$T$2:$T$3001,$Z$5)/C113)</f>
        <v/>
      </c>
      <c r="F113" s="20" t="str">
        <f aca="false">IF(D113="","",E113-D113)</f>
        <v/>
      </c>
      <c r="G113" s="13" t="str">
        <f aca="false">IF(F113="","",C113*$D$4*F113/365)</f>
        <v/>
      </c>
      <c r="H113" s="13" t="str">
        <f aca="false">IF(A113="","",SUMIFS('Girdi — Faturalar ve tahsilat'!$R$2:$R$3001,'Girdi — Faturalar ve tahsilat'!$C$2:$C$3001,$A113,'Girdi — Faturalar ve tahsilat'!$T$2:$T$3001,$Z$5))</f>
        <v/>
      </c>
      <c r="I113" s="13" t="str">
        <f aca="false">IF(A113="","",SUMIFS('Girdi — Faturalar ve tahsilat'!$R$2:$R$3001,'Girdi — Faturalar ve tahsilat'!$C$2:$C$3001,$A113,'Girdi — Faturalar ve tahsilat'!$T$2:$T$3001,$Z$5,'Girdi — Faturalar ve tahsilat'!$O$2:$O$3001,"&gt;0"))</f>
        <v/>
      </c>
      <c r="J113" s="13" t="str">
        <f aca="false">IF(A113="","",SUMIFS('Girdi — Faturalar ve tahsilat'!$R$2:$R$3001,'Girdi — Faturalar ve tahsilat'!$C$2:$C$3001,$A113,'Girdi — Faturalar ve tahsilat'!$T$2:$T$3001,$Z$5,'Girdi — Faturalar ve tahsilat'!$S$2:$S$3001,"1-30"))</f>
        <v/>
      </c>
      <c r="K113" s="13" t="str">
        <f aca="false">IF(A113="","",SUMIFS('Girdi — Faturalar ve tahsilat'!$R$2:$R$3001,'Girdi — Faturalar ve tahsilat'!$C$2:$C$3001,$A113,'Girdi — Faturalar ve tahsilat'!$T$2:$T$3001,$Z$5,'Girdi — Faturalar ve tahsilat'!$S$2:$S$3001,"31-60"))</f>
        <v/>
      </c>
      <c r="L113" s="13" t="str">
        <f aca="false">IF(A113="","",SUMIFS('Girdi — Faturalar ve tahsilat'!$R$2:$R$3001,'Girdi — Faturalar ve tahsilat'!$C$2:$C$3001,$A113,'Girdi — Faturalar ve tahsilat'!$T$2:$T$3001,$Z$5,'Girdi — Faturalar ve tahsilat'!$S$2:$S$3001,"61-90"))</f>
        <v/>
      </c>
      <c r="M113" s="13" t="str">
        <f aca="false">IF(A113="","",SUMIFS('Girdi — Faturalar ve tahsilat'!$R$2:$R$3001,'Girdi — Faturalar ve tahsilat'!$C$2:$C$3001,$A113,'Girdi — Faturalar ve tahsilat'!$T$2:$T$3001,$Z$5,'Girdi — Faturalar ve tahsilat'!$S$2:$S$3001,"90+"))</f>
        <v/>
      </c>
      <c r="N113" s="21" t="str">
        <f aca="false">IF(F113="","",RANK(F113,$F$17:$F$216,0)+COUNTIF($F$17:F113,F113)-1)</f>
        <v/>
      </c>
    </row>
    <row r="114" customFormat="false" ht="15" hidden="false" customHeight="false" outlineLevel="0" collapsed="false">
      <c r="A114" s="16" t="str">
        <f aca="false">IFERROR(INDEX('Girdi — Faturalar ve tahsilat'!$C$2:$C$3001,MATCH(98,'Girdi — Faturalar ve tahsilat'!$U$2:$U$3001,0)),"")</f>
        <v/>
      </c>
      <c r="B114" s="16" t="str">
        <f aca="false">IF(A114="","",INDEX('Girdi — Faturalar ve tahsilat'!$D$2:$D$3001,MATCH(98,'Girdi — Faturalar ve tahsilat'!$U$2:$U$3001,0)))</f>
        <v/>
      </c>
      <c r="C114" s="13" t="str">
        <f aca="false">IF(A114="","",SUMIFS('Girdi — Faturalar ve tahsilat'!$F$2:$F$3001,'Girdi — Faturalar ve tahsilat'!$C$2:$C$3001,$A114,'Girdi — Faturalar ve tahsilat'!$T$2:$T$3001,$Z$5))</f>
        <v/>
      </c>
      <c r="D114" s="15" t="str">
        <f aca="false">IF(OR(A114="",N(C114)=0),"",SUMIFS('Girdi — Faturalar ve tahsilat'!$P$2:$P$3001,'Girdi — Faturalar ve tahsilat'!$C$2:$C$3001,$A114,'Girdi — Faturalar ve tahsilat'!$T$2:$T$3001,$Z$5)/C114)</f>
        <v/>
      </c>
      <c r="E114" s="15" t="str">
        <f aca="false">IF(OR(A114="",N(C114)=0),"",SUMIFS('Girdi — Faturalar ve tahsilat'!$Q$2:$Q$3001,'Girdi — Faturalar ve tahsilat'!$C$2:$C$3001,$A114,'Girdi — Faturalar ve tahsilat'!$T$2:$T$3001,$Z$5)/C114)</f>
        <v/>
      </c>
      <c r="F114" s="20" t="str">
        <f aca="false">IF(D114="","",E114-D114)</f>
        <v/>
      </c>
      <c r="G114" s="13" t="str">
        <f aca="false">IF(F114="","",C114*$D$4*F114/365)</f>
        <v/>
      </c>
      <c r="H114" s="13" t="str">
        <f aca="false">IF(A114="","",SUMIFS('Girdi — Faturalar ve tahsilat'!$R$2:$R$3001,'Girdi — Faturalar ve tahsilat'!$C$2:$C$3001,$A114,'Girdi — Faturalar ve tahsilat'!$T$2:$T$3001,$Z$5))</f>
        <v/>
      </c>
      <c r="I114" s="13" t="str">
        <f aca="false">IF(A114="","",SUMIFS('Girdi — Faturalar ve tahsilat'!$R$2:$R$3001,'Girdi — Faturalar ve tahsilat'!$C$2:$C$3001,$A114,'Girdi — Faturalar ve tahsilat'!$T$2:$T$3001,$Z$5,'Girdi — Faturalar ve tahsilat'!$O$2:$O$3001,"&gt;0"))</f>
        <v/>
      </c>
      <c r="J114" s="13" t="str">
        <f aca="false">IF(A114="","",SUMIFS('Girdi — Faturalar ve tahsilat'!$R$2:$R$3001,'Girdi — Faturalar ve tahsilat'!$C$2:$C$3001,$A114,'Girdi — Faturalar ve tahsilat'!$T$2:$T$3001,$Z$5,'Girdi — Faturalar ve tahsilat'!$S$2:$S$3001,"1-30"))</f>
        <v/>
      </c>
      <c r="K114" s="13" t="str">
        <f aca="false">IF(A114="","",SUMIFS('Girdi — Faturalar ve tahsilat'!$R$2:$R$3001,'Girdi — Faturalar ve tahsilat'!$C$2:$C$3001,$A114,'Girdi — Faturalar ve tahsilat'!$T$2:$T$3001,$Z$5,'Girdi — Faturalar ve tahsilat'!$S$2:$S$3001,"31-60"))</f>
        <v/>
      </c>
      <c r="L114" s="13" t="str">
        <f aca="false">IF(A114="","",SUMIFS('Girdi — Faturalar ve tahsilat'!$R$2:$R$3001,'Girdi — Faturalar ve tahsilat'!$C$2:$C$3001,$A114,'Girdi — Faturalar ve tahsilat'!$T$2:$T$3001,$Z$5,'Girdi — Faturalar ve tahsilat'!$S$2:$S$3001,"61-90"))</f>
        <v/>
      </c>
      <c r="M114" s="13" t="str">
        <f aca="false">IF(A114="","",SUMIFS('Girdi — Faturalar ve tahsilat'!$R$2:$R$3001,'Girdi — Faturalar ve tahsilat'!$C$2:$C$3001,$A114,'Girdi — Faturalar ve tahsilat'!$T$2:$T$3001,$Z$5,'Girdi — Faturalar ve tahsilat'!$S$2:$S$3001,"90+"))</f>
        <v/>
      </c>
      <c r="N114" s="21" t="str">
        <f aca="false">IF(F114="","",RANK(F114,$F$17:$F$216,0)+COUNTIF($F$17:F114,F114)-1)</f>
        <v/>
      </c>
    </row>
    <row r="115" customFormat="false" ht="15" hidden="false" customHeight="false" outlineLevel="0" collapsed="false">
      <c r="A115" s="16" t="str">
        <f aca="false">IFERROR(INDEX('Girdi — Faturalar ve tahsilat'!$C$2:$C$3001,MATCH(99,'Girdi — Faturalar ve tahsilat'!$U$2:$U$3001,0)),"")</f>
        <v/>
      </c>
      <c r="B115" s="16" t="str">
        <f aca="false">IF(A115="","",INDEX('Girdi — Faturalar ve tahsilat'!$D$2:$D$3001,MATCH(99,'Girdi — Faturalar ve tahsilat'!$U$2:$U$3001,0)))</f>
        <v/>
      </c>
      <c r="C115" s="13" t="str">
        <f aca="false">IF(A115="","",SUMIFS('Girdi — Faturalar ve tahsilat'!$F$2:$F$3001,'Girdi — Faturalar ve tahsilat'!$C$2:$C$3001,$A115,'Girdi — Faturalar ve tahsilat'!$T$2:$T$3001,$Z$5))</f>
        <v/>
      </c>
      <c r="D115" s="15" t="str">
        <f aca="false">IF(OR(A115="",N(C115)=0),"",SUMIFS('Girdi — Faturalar ve tahsilat'!$P$2:$P$3001,'Girdi — Faturalar ve tahsilat'!$C$2:$C$3001,$A115,'Girdi — Faturalar ve tahsilat'!$T$2:$T$3001,$Z$5)/C115)</f>
        <v/>
      </c>
      <c r="E115" s="15" t="str">
        <f aca="false">IF(OR(A115="",N(C115)=0),"",SUMIFS('Girdi — Faturalar ve tahsilat'!$Q$2:$Q$3001,'Girdi — Faturalar ve tahsilat'!$C$2:$C$3001,$A115,'Girdi — Faturalar ve tahsilat'!$T$2:$T$3001,$Z$5)/C115)</f>
        <v/>
      </c>
      <c r="F115" s="20" t="str">
        <f aca="false">IF(D115="","",E115-D115)</f>
        <v/>
      </c>
      <c r="G115" s="13" t="str">
        <f aca="false">IF(F115="","",C115*$D$4*F115/365)</f>
        <v/>
      </c>
      <c r="H115" s="13" t="str">
        <f aca="false">IF(A115="","",SUMIFS('Girdi — Faturalar ve tahsilat'!$R$2:$R$3001,'Girdi — Faturalar ve tahsilat'!$C$2:$C$3001,$A115,'Girdi — Faturalar ve tahsilat'!$T$2:$T$3001,$Z$5))</f>
        <v/>
      </c>
      <c r="I115" s="13" t="str">
        <f aca="false">IF(A115="","",SUMIFS('Girdi — Faturalar ve tahsilat'!$R$2:$R$3001,'Girdi — Faturalar ve tahsilat'!$C$2:$C$3001,$A115,'Girdi — Faturalar ve tahsilat'!$T$2:$T$3001,$Z$5,'Girdi — Faturalar ve tahsilat'!$O$2:$O$3001,"&gt;0"))</f>
        <v/>
      </c>
      <c r="J115" s="13" t="str">
        <f aca="false">IF(A115="","",SUMIFS('Girdi — Faturalar ve tahsilat'!$R$2:$R$3001,'Girdi — Faturalar ve tahsilat'!$C$2:$C$3001,$A115,'Girdi — Faturalar ve tahsilat'!$T$2:$T$3001,$Z$5,'Girdi — Faturalar ve tahsilat'!$S$2:$S$3001,"1-30"))</f>
        <v/>
      </c>
      <c r="K115" s="13" t="str">
        <f aca="false">IF(A115="","",SUMIFS('Girdi — Faturalar ve tahsilat'!$R$2:$R$3001,'Girdi — Faturalar ve tahsilat'!$C$2:$C$3001,$A115,'Girdi — Faturalar ve tahsilat'!$T$2:$T$3001,$Z$5,'Girdi — Faturalar ve tahsilat'!$S$2:$S$3001,"31-60"))</f>
        <v/>
      </c>
      <c r="L115" s="13" t="str">
        <f aca="false">IF(A115="","",SUMIFS('Girdi — Faturalar ve tahsilat'!$R$2:$R$3001,'Girdi — Faturalar ve tahsilat'!$C$2:$C$3001,$A115,'Girdi — Faturalar ve tahsilat'!$T$2:$T$3001,$Z$5,'Girdi — Faturalar ve tahsilat'!$S$2:$S$3001,"61-90"))</f>
        <v/>
      </c>
      <c r="M115" s="13" t="str">
        <f aca="false">IF(A115="","",SUMIFS('Girdi — Faturalar ve tahsilat'!$R$2:$R$3001,'Girdi — Faturalar ve tahsilat'!$C$2:$C$3001,$A115,'Girdi — Faturalar ve tahsilat'!$T$2:$T$3001,$Z$5,'Girdi — Faturalar ve tahsilat'!$S$2:$S$3001,"90+"))</f>
        <v/>
      </c>
      <c r="N115" s="21" t="str">
        <f aca="false">IF(F115="","",RANK(F115,$F$17:$F$216,0)+COUNTIF($F$17:F115,F115)-1)</f>
        <v/>
      </c>
    </row>
    <row r="116" customFormat="false" ht="15" hidden="false" customHeight="false" outlineLevel="0" collapsed="false">
      <c r="A116" s="16" t="str">
        <f aca="false">IFERROR(INDEX('Girdi — Faturalar ve tahsilat'!$C$2:$C$3001,MATCH(100,'Girdi — Faturalar ve tahsilat'!$U$2:$U$3001,0)),"")</f>
        <v/>
      </c>
      <c r="B116" s="16" t="str">
        <f aca="false">IF(A116="","",INDEX('Girdi — Faturalar ve tahsilat'!$D$2:$D$3001,MATCH(100,'Girdi — Faturalar ve tahsilat'!$U$2:$U$3001,0)))</f>
        <v/>
      </c>
      <c r="C116" s="13" t="str">
        <f aca="false">IF(A116="","",SUMIFS('Girdi — Faturalar ve tahsilat'!$F$2:$F$3001,'Girdi — Faturalar ve tahsilat'!$C$2:$C$3001,$A116,'Girdi — Faturalar ve tahsilat'!$T$2:$T$3001,$Z$5))</f>
        <v/>
      </c>
      <c r="D116" s="15" t="str">
        <f aca="false">IF(OR(A116="",N(C116)=0),"",SUMIFS('Girdi — Faturalar ve tahsilat'!$P$2:$P$3001,'Girdi — Faturalar ve tahsilat'!$C$2:$C$3001,$A116,'Girdi — Faturalar ve tahsilat'!$T$2:$T$3001,$Z$5)/C116)</f>
        <v/>
      </c>
      <c r="E116" s="15" t="str">
        <f aca="false">IF(OR(A116="",N(C116)=0),"",SUMIFS('Girdi — Faturalar ve tahsilat'!$Q$2:$Q$3001,'Girdi — Faturalar ve tahsilat'!$C$2:$C$3001,$A116,'Girdi — Faturalar ve tahsilat'!$T$2:$T$3001,$Z$5)/C116)</f>
        <v/>
      </c>
      <c r="F116" s="20" t="str">
        <f aca="false">IF(D116="","",E116-D116)</f>
        <v/>
      </c>
      <c r="G116" s="13" t="str">
        <f aca="false">IF(F116="","",C116*$D$4*F116/365)</f>
        <v/>
      </c>
      <c r="H116" s="13" t="str">
        <f aca="false">IF(A116="","",SUMIFS('Girdi — Faturalar ve tahsilat'!$R$2:$R$3001,'Girdi — Faturalar ve tahsilat'!$C$2:$C$3001,$A116,'Girdi — Faturalar ve tahsilat'!$T$2:$T$3001,$Z$5))</f>
        <v/>
      </c>
      <c r="I116" s="13" t="str">
        <f aca="false">IF(A116="","",SUMIFS('Girdi — Faturalar ve tahsilat'!$R$2:$R$3001,'Girdi — Faturalar ve tahsilat'!$C$2:$C$3001,$A116,'Girdi — Faturalar ve tahsilat'!$T$2:$T$3001,$Z$5,'Girdi — Faturalar ve tahsilat'!$O$2:$O$3001,"&gt;0"))</f>
        <v/>
      </c>
      <c r="J116" s="13" t="str">
        <f aca="false">IF(A116="","",SUMIFS('Girdi — Faturalar ve tahsilat'!$R$2:$R$3001,'Girdi — Faturalar ve tahsilat'!$C$2:$C$3001,$A116,'Girdi — Faturalar ve tahsilat'!$T$2:$T$3001,$Z$5,'Girdi — Faturalar ve tahsilat'!$S$2:$S$3001,"1-30"))</f>
        <v/>
      </c>
      <c r="K116" s="13" t="str">
        <f aca="false">IF(A116="","",SUMIFS('Girdi — Faturalar ve tahsilat'!$R$2:$R$3001,'Girdi — Faturalar ve tahsilat'!$C$2:$C$3001,$A116,'Girdi — Faturalar ve tahsilat'!$T$2:$T$3001,$Z$5,'Girdi — Faturalar ve tahsilat'!$S$2:$S$3001,"31-60"))</f>
        <v/>
      </c>
      <c r="L116" s="13" t="str">
        <f aca="false">IF(A116="","",SUMIFS('Girdi — Faturalar ve tahsilat'!$R$2:$R$3001,'Girdi — Faturalar ve tahsilat'!$C$2:$C$3001,$A116,'Girdi — Faturalar ve tahsilat'!$T$2:$T$3001,$Z$5,'Girdi — Faturalar ve tahsilat'!$S$2:$S$3001,"61-90"))</f>
        <v/>
      </c>
      <c r="M116" s="13" t="str">
        <f aca="false">IF(A116="","",SUMIFS('Girdi — Faturalar ve tahsilat'!$R$2:$R$3001,'Girdi — Faturalar ve tahsilat'!$C$2:$C$3001,$A116,'Girdi — Faturalar ve tahsilat'!$T$2:$T$3001,$Z$5,'Girdi — Faturalar ve tahsilat'!$S$2:$S$3001,"90+"))</f>
        <v/>
      </c>
      <c r="N116" s="21" t="str">
        <f aca="false">IF(F116="","",RANK(F116,$F$17:$F$216,0)+COUNTIF($F$17:F116,F116)-1)</f>
        <v/>
      </c>
    </row>
    <row r="117" customFormat="false" ht="15" hidden="false" customHeight="false" outlineLevel="0" collapsed="false">
      <c r="A117" s="16" t="str">
        <f aca="false">IFERROR(INDEX('Girdi — Faturalar ve tahsilat'!$C$2:$C$3001,MATCH(101,'Girdi — Faturalar ve tahsilat'!$U$2:$U$3001,0)),"")</f>
        <v/>
      </c>
      <c r="B117" s="16" t="str">
        <f aca="false">IF(A117="","",INDEX('Girdi — Faturalar ve tahsilat'!$D$2:$D$3001,MATCH(101,'Girdi — Faturalar ve tahsilat'!$U$2:$U$3001,0)))</f>
        <v/>
      </c>
      <c r="C117" s="13" t="str">
        <f aca="false">IF(A117="","",SUMIFS('Girdi — Faturalar ve tahsilat'!$F$2:$F$3001,'Girdi — Faturalar ve tahsilat'!$C$2:$C$3001,$A117,'Girdi — Faturalar ve tahsilat'!$T$2:$T$3001,$Z$5))</f>
        <v/>
      </c>
      <c r="D117" s="15" t="str">
        <f aca="false">IF(OR(A117="",N(C117)=0),"",SUMIFS('Girdi — Faturalar ve tahsilat'!$P$2:$P$3001,'Girdi — Faturalar ve tahsilat'!$C$2:$C$3001,$A117,'Girdi — Faturalar ve tahsilat'!$T$2:$T$3001,$Z$5)/C117)</f>
        <v/>
      </c>
      <c r="E117" s="15" t="str">
        <f aca="false">IF(OR(A117="",N(C117)=0),"",SUMIFS('Girdi — Faturalar ve tahsilat'!$Q$2:$Q$3001,'Girdi — Faturalar ve tahsilat'!$C$2:$C$3001,$A117,'Girdi — Faturalar ve tahsilat'!$T$2:$T$3001,$Z$5)/C117)</f>
        <v/>
      </c>
      <c r="F117" s="20" t="str">
        <f aca="false">IF(D117="","",E117-D117)</f>
        <v/>
      </c>
      <c r="G117" s="13" t="str">
        <f aca="false">IF(F117="","",C117*$D$4*F117/365)</f>
        <v/>
      </c>
      <c r="H117" s="13" t="str">
        <f aca="false">IF(A117="","",SUMIFS('Girdi — Faturalar ve tahsilat'!$R$2:$R$3001,'Girdi — Faturalar ve tahsilat'!$C$2:$C$3001,$A117,'Girdi — Faturalar ve tahsilat'!$T$2:$T$3001,$Z$5))</f>
        <v/>
      </c>
      <c r="I117" s="13" t="str">
        <f aca="false">IF(A117="","",SUMIFS('Girdi — Faturalar ve tahsilat'!$R$2:$R$3001,'Girdi — Faturalar ve tahsilat'!$C$2:$C$3001,$A117,'Girdi — Faturalar ve tahsilat'!$T$2:$T$3001,$Z$5,'Girdi — Faturalar ve tahsilat'!$O$2:$O$3001,"&gt;0"))</f>
        <v/>
      </c>
      <c r="J117" s="13" t="str">
        <f aca="false">IF(A117="","",SUMIFS('Girdi — Faturalar ve tahsilat'!$R$2:$R$3001,'Girdi — Faturalar ve tahsilat'!$C$2:$C$3001,$A117,'Girdi — Faturalar ve tahsilat'!$T$2:$T$3001,$Z$5,'Girdi — Faturalar ve tahsilat'!$S$2:$S$3001,"1-30"))</f>
        <v/>
      </c>
      <c r="K117" s="13" t="str">
        <f aca="false">IF(A117="","",SUMIFS('Girdi — Faturalar ve tahsilat'!$R$2:$R$3001,'Girdi — Faturalar ve tahsilat'!$C$2:$C$3001,$A117,'Girdi — Faturalar ve tahsilat'!$T$2:$T$3001,$Z$5,'Girdi — Faturalar ve tahsilat'!$S$2:$S$3001,"31-60"))</f>
        <v/>
      </c>
      <c r="L117" s="13" t="str">
        <f aca="false">IF(A117="","",SUMIFS('Girdi — Faturalar ve tahsilat'!$R$2:$R$3001,'Girdi — Faturalar ve tahsilat'!$C$2:$C$3001,$A117,'Girdi — Faturalar ve tahsilat'!$T$2:$T$3001,$Z$5,'Girdi — Faturalar ve tahsilat'!$S$2:$S$3001,"61-90"))</f>
        <v/>
      </c>
      <c r="M117" s="13" t="str">
        <f aca="false">IF(A117="","",SUMIFS('Girdi — Faturalar ve tahsilat'!$R$2:$R$3001,'Girdi — Faturalar ve tahsilat'!$C$2:$C$3001,$A117,'Girdi — Faturalar ve tahsilat'!$T$2:$T$3001,$Z$5,'Girdi — Faturalar ve tahsilat'!$S$2:$S$3001,"90+"))</f>
        <v/>
      </c>
      <c r="N117" s="21" t="str">
        <f aca="false">IF(F117="","",RANK(F117,$F$17:$F$216,0)+COUNTIF($F$17:F117,F117)-1)</f>
        <v/>
      </c>
    </row>
    <row r="118" customFormat="false" ht="15" hidden="false" customHeight="false" outlineLevel="0" collapsed="false">
      <c r="A118" s="16" t="str">
        <f aca="false">IFERROR(INDEX('Girdi — Faturalar ve tahsilat'!$C$2:$C$3001,MATCH(102,'Girdi — Faturalar ve tahsilat'!$U$2:$U$3001,0)),"")</f>
        <v/>
      </c>
      <c r="B118" s="16" t="str">
        <f aca="false">IF(A118="","",INDEX('Girdi — Faturalar ve tahsilat'!$D$2:$D$3001,MATCH(102,'Girdi — Faturalar ve tahsilat'!$U$2:$U$3001,0)))</f>
        <v/>
      </c>
      <c r="C118" s="13" t="str">
        <f aca="false">IF(A118="","",SUMIFS('Girdi — Faturalar ve tahsilat'!$F$2:$F$3001,'Girdi — Faturalar ve tahsilat'!$C$2:$C$3001,$A118,'Girdi — Faturalar ve tahsilat'!$T$2:$T$3001,$Z$5))</f>
        <v/>
      </c>
      <c r="D118" s="15" t="str">
        <f aca="false">IF(OR(A118="",N(C118)=0),"",SUMIFS('Girdi — Faturalar ve tahsilat'!$P$2:$P$3001,'Girdi — Faturalar ve tahsilat'!$C$2:$C$3001,$A118,'Girdi — Faturalar ve tahsilat'!$T$2:$T$3001,$Z$5)/C118)</f>
        <v/>
      </c>
      <c r="E118" s="15" t="str">
        <f aca="false">IF(OR(A118="",N(C118)=0),"",SUMIFS('Girdi — Faturalar ve tahsilat'!$Q$2:$Q$3001,'Girdi — Faturalar ve tahsilat'!$C$2:$C$3001,$A118,'Girdi — Faturalar ve tahsilat'!$T$2:$T$3001,$Z$5)/C118)</f>
        <v/>
      </c>
      <c r="F118" s="20" t="str">
        <f aca="false">IF(D118="","",E118-D118)</f>
        <v/>
      </c>
      <c r="G118" s="13" t="str">
        <f aca="false">IF(F118="","",C118*$D$4*F118/365)</f>
        <v/>
      </c>
      <c r="H118" s="13" t="str">
        <f aca="false">IF(A118="","",SUMIFS('Girdi — Faturalar ve tahsilat'!$R$2:$R$3001,'Girdi — Faturalar ve tahsilat'!$C$2:$C$3001,$A118,'Girdi — Faturalar ve tahsilat'!$T$2:$T$3001,$Z$5))</f>
        <v/>
      </c>
      <c r="I118" s="13" t="str">
        <f aca="false">IF(A118="","",SUMIFS('Girdi — Faturalar ve tahsilat'!$R$2:$R$3001,'Girdi — Faturalar ve tahsilat'!$C$2:$C$3001,$A118,'Girdi — Faturalar ve tahsilat'!$T$2:$T$3001,$Z$5,'Girdi — Faturalar ve tahsilat'!$O$2:$O$3001,"&gt;0"))</f>
        <v/>
      </c>
      <c r="J118" s="13" t="str">
        <f aca="false">IF(A118="","",SUMIFS('Girdi — Faturalar ve tahsilat'!$R$2:$R$3001,'Girdi — Faturalar ve tahsilat'!$C$2:$C$3001,$A118,'Girdi — Faturalar ve tahsilat'!$T$2:$T$3001,$Z$5,'Girdi — Faturalar ve tahsilat'!$S$2:$S$3001,"1-30"))</f>
        <v/>
      </c>
      <c r="K118" s="13" t="str">
        <f aca="false">IF(A118="","",SUMIFS('Girdi — Faturalar ve tahsilat'!$R$2:$R$3001,'Girdi — Faturalar ve tahsilat'!$C$2:$C$3001,$A118,'Girdi — Faturalar ve tahsilat'!$T$2:$T$3001,$Z$5,'Girdi — Faturalar ve tahsilat'!$S$2:$S$3001,"31-60"))</f>
        <v/>
      </c>
      <c r="L118" s="13" t="str">
        <f aca="false">IF(A118="","",SUMIFS('Girdi — Faturalar ve tahsilat'!$R$2:$R$3001,'Girdi — Faturalar ve tahsilat'!$C$2:$C$3001,$A118,'Girdi — Faturalar ve tahsilat'!$T$2:$T$3001,$Z$5,'Girdi — Faturalar ve tahsilat'!$S$2:$S$3001,"61-90"))</f>
        <v/>
      </c>
      <c r="M118" s="13" t="str">
        <f aca="false">IF(A118="","",SUMIFS('Girdi — Faturalar ve tahsilat'!$R$2:$R$3001,'Girdi — Faturalar ve tahsilat'!$C$2:$C$3001,$A118,'Girdi — Faturalar ve tahsilat'!$T$2:$T$3001,$Z$5,'Girdi — Faturalar ve tahsilat'!$S$2:$S$3001,"90+"))</f>
        <v/>
      </c>
      <c r="N118" s="21" t="str">
        <f aca="false">IF(F118="","",RANK(F118,$F$17:$F$216,0)+COUNTIF($F$17:F118,F118)-1)</f>
        <v/>
      </c>
    </row>
    <row r="119" customFormat="false" ht="15" hidden="false" customHeight="false" outlineLevel="0" collapsed="false">
      <c r="A119" s="16" t="str">
        <f aca="false">IFERROR(INDEX('Girdi — Faturalar ve tahsilat'!$C$2:$C$3001,MATCH(103,'Girdi — Faturalar ve tahsilat'!$U$2:$U$3001,0)),"")</f>
        <v/>
      </c>
      <c r="B119" s="16" t="str">
        <f aca="false">IF(A119="","",INDEX('Girdi — Faturalar ve tahsilat'!$D$2:$D$3001,MATCH(103,'Girdi — Faturalar ve tahsilat'!$U$2:$U$3001,0)))</f>
        <v/>
      </c>
      <c r="C119" s="13" t="str">
        <f aca="false">IF(A119="","",SUMIFS('Girdi — Faturalar ve tahsilat'!$F$2:$F$3001,'Girdi — Faturalar ve tahsilat'!$C$2:$C$3001,$A119,'Girdi — Faturalar ve tahsilat'!$T$2:$T$3001,$Z$5))</f>
        <v/>
      </c>
      <c r="D119" s="15" t="str">
        <f aca="false">IF(OR(A119="",N(C119)=0),"",SUMIFS('Girdi — Faturalar ve tahsilat'!$P$2:$P$3001,'Girdi — Faturalar ve tahsilat'!$C$2:$C$3001,$A119,'Girdi — Faturalar ve tahsilat'!$T$2:$T$3001,$Z$5)/C119)</f>
        <v/>
      </c>
      <c r="E119" s="15" t="str">
        <f aca="false">IF(OR(A119="",N(C119)=0),"",SUMIFS('Girdi — Faturalar ve tahsilat'!$Q$2:$Q$3001,'Girdi — Faturalar ve tahsilat'!$C$2:$C$3001,$A119,'Girdi — Faturalar ve tahsilat'!$T$2:$T$3001,$Z$5)/C119)</f>
        <v/>
      </c>
      <c r="F119" s="20" t="str">
        <f aca="false">IF(D119="","",E119-D119)</f>
        <v/>
      </c>
      <c r="G119" s="13" t="str">
        <f aca="false">IF(F119="","",C119*$D$4*F119/365)</f>
        <v/>
      </c>
      <c r="H119" s="13" t="str">
        <f aca="false">IF(A119="","",SUMIFS('Girdi — Faturalar ve tahsilat'!$R$2:$R$3001,'Girdi — Faturalar ve tahsilat'!$C$2:$C$3001,$A119,'Girdi — Faturalar ve tahsilat'!$T$2:$T$3001,$Z$5))</f>
        <v/>
      </c>
      <c r="I119" s="13" t="str">
        <f aca="false">IF(A119="","",SUMIFS('Girdi — Faturalar ve tahsilat'!$R$2:$R$3001,'Girdi — Faturalar ve tahsilat'!$C$2:$C$3001,$A119,'Girdi — Faturalar ve tahsilat'!$T$2:$T$3001,$Z$5,'Girdi — Faturalar ve tahsilat'!$O$2:$O$3001,"&gt;0"))</f>
        <v/>
      </c>
      <c r="J119" s="13" t="str">
        <f aca="false">IF(A119="","",SUMIFS('Girdi — Faturalar ve tahsilat'!$R$2:$R$3001,'Girdi — Faturalar ve tahsilat'!$C$2:$C$3001,$A119,'Girdi — Faturalar ve tahsilat'!$T$2:$T$3001,$Z$5,'Girdi — Faturalar ve tahsilat'!$S$2:$S$3001,"1-30"))</f>
        <v/>
      </c>
      <c r="K119" s="13" t="str">
        <f aca="false">IF(A119="","",SUMIFS('Girdi — Faturalar ve tahsilat'!$R$2:$R$3001,'Girdi — Faturalar ve tahsilat'!$C$2:$C$3001,$A119,'Girdi — Faturalar ve tahsilat'!$T$2:$T$3001,$Z$5,'Girdi — Faturalar ve tahsilat'!$S$2:$S$3001,"31-60"))</f>
        <v/>
      </c>
      <c r="L119" s="13" t="str">
        <f aca="false">IF(A119="","",SUMIFS('Girdi — Faturalar ve tahsilat'!$R$2:$R$3001,'Girdi — Faturalar ve tahsilat'!$C$2:$C$3001,$A119,'Girdi — Faturalar ve tahsilat'!$T$2:$T$3001,$Z$5,'Girdi — Faturalar ve tahsilat'!$S$2:$S$3001,"61-90"))</f>
        <v/>
      </c>
      <c r="M119" s="13" t="str">
        <f aca="false">IF(A119="","",SUMIFS('Girdi — Faturalar ve tahsilat'!$R$2:$R$3001,'Girdi — Faturalar ve tahsilat'!$C$2:$C$3001,$A119,'Girdi — Faturalar ve tahsilat'!$T$2:$T$3001,$Z$5,'Girdi — Faturalar ve tahsilat'!$S$2:$S$3001,"90+"))</f>
        <v/>
      </c>
      <c r="N119" s="21" t="str">
        <f aca="false">IF(F119="","",RANK(F119,$F$17:$F$216,0)+COUNTIF($F$17:F119,F119)-1)</f>
        <v/>
      </c>
    </row>
    <row r="120" customFormat="false" ht="15" hidden="false" customHeight="false" outlineLevel="0" collapsed="false">
      <c r="A120" s="16" t="str">
        <f aca="false">IFERROR(INDEX('Girdi — Faturalar ve tahsilat'!$C$2:$C$3001,MATCH(104,'Girdi — Faturalar ve tahsilat'!$U$2:$U$3001,0)),"")</f>
        <v/>
      </c>
      <c r="B120" s="16" t="str">
        <f aca="false">IF(A120="","",INDEX('Girdi — Faturalar ve tahsilat'!$D$2:$D$3001,MATCH(104,'Girdi — Faturalar ve tahsilat'!$U$2:$U$3001,0)))</f>
        <v/>
      </c>
      <c r="C120" s="13" t="str">
        <f aca="false">IF(A120="","",SUMIFS('Girdi — Faturalar ve tahsilat'!$F$2:$F$3001,'Girdi — Faturalar ve tahsilat'!$C$2:$C$3001,$A120,'Girdi — Faturalar ve tahsilat'!$T$2:$T$3001,$Z$5))</f>
        <v/>
      </c>
      <c r="D120" s="15" t="str">
        <f aca="false">IF(OR(A120="",N(C120)=0),"",SUMIFS('Girdi — Faturalar ve tahsilat'!$P$2:$P$3001,'Girdi — Faturalar ve tahsilat'!$C$2:$C$3001,$A120,'Girdi — Faturalar ve tahsilat'!$T$2:$T$3001,$Z$5)/C120)</f>
        <v/>
      </c>
      <c r="E120" s="15" t="str">
        <f aca="false">IF(OR(A120="",N(C120)=0),"",SUMIFS('Girdi — Faturalar ve tahsilat'!$Q$2:$Q$3001,'Girdi — Faturalar ve tahsilat'!$C$2:$C$3001,$A120,'Girdi — Faturalar ve tahsilat'!$T$2:$T$3001,$Z$5)/C120)</f>
        <v/>
      </c>
      <c r="F120" s="20" t="str">
        <f aca="false">IF(D120="","",E120-D120)</f>
        <v/>
      </c>
      <c r="G120" s="13" t="str">
        <f aca="false">IF(F120="","",C120*$D$4*F120/365)</f>
        <v/>
      </c>
      <c r="H120" s="13" t="str">
        <f aca="false">IF(A120="","",SUMIFS('Girdi — Faturalar ve tahsilat'!$R$2:$R$3001,'Girdi — Faturalar ve tahsilat'!$C$2:$C$3001,$A120,'Girdi — Faturalar ve tahsilat'!$T$2:$T$3001,$Z$5))</f>
        <v/>
      </c>
      <c r="I120" s="13" t="str">
        <f aca="false">IF(A120="","",SUMIFS('Girdi — Faturalar ve tahsilat'!$R$2:$R$3001,'Girdi — Faturalar ve tahsilat'!$C$2:$C$3001,$A120,'Girdi — Faturalar ve tahsilat'!$T$2:$T$3001,$Z$5,'Girdi — Faturalar ve tahsilat'!$O$2:$O$3001,"&gt;0"))</f>
        <v/>
      </c>
      <c r="J120" s="13" t="str">
        <f aca="false">IF(A120="","",SUMIFS('Girdi — Faturalar ve tahsilat'!$R$2:$R$3001,'Girdi — Faturalar ve tahsilat'!$C$2:$C$3001,$A120,'Girdi — Faturalar ve tahsilat'!$T$2:$T$3001,$Z$5,'Girdi — Faturalar ve tahsilat'!$S$2:$S$3001,"1-30"))</f>
        <v/>
      </c>
      <c r="K120" s="13" t="str">
        <f aca="false">IF(A120="","",SUMIFS('Girdi — Faturalar ve tahsilat'!$R$2:$R$3001,'Girdi — Faturalar ve tahsilat'!$C$2:$C$3001,$A120,'Girdi — Faturalar ve tahsilat'!$T$2:$T$3001,$Z$5,'Girdi — Faturalar ve tahsilat'!$S$2:$S$3001,"31-60"))</f>
        <v/>
      </c>
      <c r="L120" s="13" t="str">
        <f aca="false">IF(A120="","",SUMIFS('Girdi — Faturalar ve tahsilat'!$R$2:$R$3001,'Girdi — Faturalar ve tahsilat'!$C$2:$C$3001,$A120,'Girdi — Faturalar ve tahsilat'!$T$2:$T$3001,$Z$5,'Girdi — Faturalar ve tahsilat'!$S$2:$S$3001,"61-90"))</f>
        <v/>
      </c>
      <c r="M120" s="13" t="str">
        <f aca="false">IF(A120="","",SUMIFS('Girdi — Faturalar ve tahsilat'!$R$2:$R$3001,'Girdi — Faturalar ve tahsilat'!$C$2:$C$3001,$A120,'Girdi — Faturalar ve tahsilat'!$T$2:$T$3001,$Z$5,'Girdi — Faturalar ve tahsilat'!$S$2:$S$3001,"90+"))</f>
        <v/>
      </c>
      <c r="N120" s="21" t="str">
        <f aca="false">IF(F120="","",RANK(F120,$F$17:$F$216,0)+COUNTIF($F$17:F120,F120)-1)</f>
        <v/>
      </c>
    </row>
    <row r="121" customFormat="false" ht="15" hidden="false" customHeight="false" outlineLevel="0" collapsed="false">
      <c r="A121" s="16" t="str">
        <f aca="false">IFERROR(INDEX('Girdi — Faturalar ve tahsilat'!$C$2:$C$3001,MATCH(105,'Girdi — Faturalar ve tahsilat'!$U$2:$U$3001,0)),"")</f>
        <v/>
      </c>
      <c r="B121" s="16" t="str">
        <f aca="false">IF(A121="","",INDEX('Girdi — Faturalar ve tahsilat'!$D$2:$D$3001,MATCH(105,'Girdi — Faturalar ve tahsilat'!$U$2:$U$3001,0)))</f>
        <v/>
      </c>
      <c r="C121" s="13" t="str">
        <f aca="false">IF(A121="","",SUMIFS('Girdi — Faturalar ve tahsilat'!$F$2:$F$3001,'Girdi — Faturalar ve tahsilat'!$C$2:$C$3001,$A121,'Girdi — Faturalar ve tahsilat'!$T$2:$T$3001,$Z$5))</f>
        <v/>
      </c>
      <c r="D121" s="15" t="str">
        <f aca="false">IF(OR(A121="",N(C121)=0),"",SUMIFS('Girdi — Faturalar ve tahsilat'!$P$2:$P$3001,'Girdi — Faturalar ve tahsilat'!$C$2:$C$3001,$A121,'Girdi — Faturalar ve tahsilat'!$T$2:$T$3001,$Z$5)/C121)</f>
        <v/>
      </c>
      <c r="E121" s="15" t="str">
        <f aca="false">IF(OR(A121="",N(C121)=0),"",SUMIFS('Girdi — Faturalar ve tahsilat'!$Q$2:$Q$3001,'Girdi — Faturalar ve tahsilat'!$C$2:$C$3001,$A121,'Girdi — Faturalar ve tahsilat'!$T$2:$T$3001,$Z$5)/C121)</f>
        <v/>
      </c>
      <c r="F121" s="20" t="str">
        <f aca="false">IF(D121="","",E121-D121)</f>
        <v/>
      </c>
      <c r="G121" s="13" t="str">
        <f aca="false">IF(F121="","",C121*$D$4*F121/365)</f>
        <v/>
      </c>
      <c r="H121" s="13" t="str">
        <f aca="false">IF(A121="","",SUMIFS('Girdi — Faturalar ve tahsilat'!$R$2:$R$3001,'Girdi — Faturalar ve tahsilat'!$C$2:$C$3001,$A121,'Girdi — Faturalar ve tahsilat'!$T$2:$T$3001,$Z$5))</f>
        <v/>
      </c>
      <c r="I121" s="13" t="str">
        <f aca="false">IF(A121="","",SUMIFS('Girdi — Faturalar ve tahsilat'!$R$2:$R$3001,'Girdi — Faturalar ve tahsilat'!$C$2:$C$3001,$A121,'Girdi — Faturalar ve tahsilat'!$T$2:$T$3001,$Z$5,'Girdi — Faturalar ve tahsilat'!$O$2:$O$3001,"&gt;0"))</f>
        <v/>
      </c>
      <c r="J121" s="13" t="str">
        <f aca="false">IF(A121="","",SUMIFS('Girdi — Faturalar ve tahsilat'!$R$2:$R$3001,'Girdi — Faturalar ve tahsilat'!$C$2:$C$3001,$A121,'Girdi — Faturalar ve tahsilat'!$T$2:$T$3001,$Z$5,'Girdi — Faturalar ve tahsilat'!$S$2:$S$3001,"1-30"))</f>
        <v/>
      </c>
      <c r="K121" s="13" t="str">
        <f aca="false">IF(A121="","",SUMIFS('Girdi — Faturalar ve tahsilat'!$R$2:$R$3001,'Girdi — Faturalar ve tahsilat'!$C$2:$C$3001,$A121,'Girdi — Faturalar ve tahsilat'!$T$2:$T$3001,$Z$5,'Girdi — Faturalar ve tahsilat'!$S$2:$S$3001,"31-60"))</f>
        <v/>
      </c>
      <c r="L121" s="13" t="str">
        <f aca="false">IF(A121="","",SUMIFS('Girdi — Faturalar ve tahsilat'!$R$2:$R$3001,'Girdi — Faturalar ve tahsilat'!$C$2:$C$3001,$A121,'Girdi — Faturalar ve tahsilat'!$T$2:$T$3001,$Z$5,'Girdi — Faturalar ve tahsilat'!$S$2:$S$3001,"61-90"))</f>
        <v/>
      </c>
      <c r="M121" s="13" t="str">
        <f aca="false">IF(A121="","",SUMIFS('Girdi — Faturalar ve tahsilat'!$R$2:$R$3001,'Girdi — Faturalar ve tahsilat'!$C$2:$C$3001,$A121,'Girdi — Faturalar ve tahsilat'!$T$2:$T$3001,$Z$5,'Girdi — Faturalar ve tahsilat'!$S$2:$S$3001,"90+"))</f>
        <v/>
      </c>
      <c r="N121" s="21" t="str">
        <f aca="false">IF(F121="","",RANK(F121,$F$17:$F$216,0)+COUNTIF($F$17:F121,F121)-1)</f>
        <v/>
      </c>
    </row>
    <row r="122" customFormat="false" ht="15" hidden="false" customHeight="false" outlineLevel="0" collapsed="false">
      <c r="A122" s="16" t="str">
        <f aca="false">IFERROR(INDEX('Girdi — Faturalar ve tahsilat'!$C$2:$C$3001,MATCH(106,'Girdi — Faturalar ve tahsilat'!$U$2:$U$3001,0)),"")</f>
        <v/>
      </c>
      <c r="B122" s="16" t="str">
        <f aca="false">IF(A122="","",INDEX('Girdi — Faturalar ve tahsilat'!$D$2:$D$3001,MATCH(106,'Girdi — Faturalar ve tahsilat'!$U$2:$U$3001,0)))</f>
        <v/>
      </c>
      <c r="C122" s="13" t="str">
        <f aca="false">IF(A122="","",SUMIFS('Girdi — Faturalar ve tahsilat'!$F$2:$F$3001,'Girdi — Faturalar ve tahsilat'!$C$2:$C$3001,$A122,'Girdi — Faturalar ve tahsilat'!$T$2:$T$3001,$Z$5))</f>
        <v/>
      </c>
      <c r="D122" s="15" t="str">
        <f aca="false">IF(OR(A122="",N(C122)=0),"",SUMIFS('Girdi — Faturalar ve tahsilat'!$P$2:$P$3001,'Girdi — Faturalar ve tahsilat'!$C$2:$C$3001,$A122,'Girdi — Faturalar ve tahsilat'!$T$2:$T$3001,$Z$5)/C122)</f>
        <v/>
      </c>
      <c r="E122" s="15" t="str">
        <f aca="false">IF(OR(A122="",N(C122)=0),"",SUMIFS('Girdi — Faturalar ve tahsilat'!$Q$2:$Q$3001,'Girdi — Faturalar ve tahsilat'!$C$2:$C$3001,$A122,'Girdi — Faturalar ve tahsilat'!$T$2:$T$3001,$Z$5)/C122)</f>
        <v/>
      </c>
      <c r="F122" s="20" t="str">
        <f aca="false">IF(D122="","",E122-D122)</f>
        <v/>
      </c>
      <c r="G122" s="13" t="str">
        <f aca="false">IF(F122="","",C122*$D$4*F122/365)</f>
        <v/>
      </c>
      <c r="H122" s="13" t="str">
        <f aca="false">IF(A122="","",SUMIFS('Girdi — Faturalar ve tahsilat'!$R$2:$R$3001,'Girdi — Faturalar ve tahsilat'!$C$2:$C$3001,$A122,'Girdi — Faturalar ve tahsilat'!$T$2:$T$3001,$Z$5))</f>
        <v/>
      </c>
      <c r="I122" s="13" t="str">
        <f aca="false">IF(A122="","",SUMIFS('Girdi — Faturalar ve tahsilat'!$R$2:$R$3001,'Girdi — Faturalar ve tahsilat'!$C$2:$C$3001,$A122,'Girdi — Faturalar ve tahsilat'!$T$2:$T$3001,$Z$5,'Girdi — Faturalar ve tahsilat'!$O$2:$O$3001,"&gt;0"))</f>
        <v/>
      </c>
      <c r="J122" s="13" t="str">
        <f aca="false">IF(A122="","",SUMIFS('Girdi — Faturalar ve tahsilat'!$R$2:$R$3001,'Girdi — Faturalar ve tahsilat'!$C$2:$C$3001,$A122,'Girdi — Faturalar ve tahsilat'!$T$2:$T$3001,$Z$5,'Girdi — Faturalar ve tahsilat'!$S$2:$S$3001,"1-30"))</f>
        <v/>
      </c>
      <c r="K122" s="13" t="str">
        <f aca="false">IF(A122="","",SUMIFS('Girdi — Faturalar ve tahsilat'!$R$2:$R$3001,'Girdi — Faturalar ve tahsilat'!$C$2:$C$3001,$A122,'Girdi — Faturalar ve tahsilat'!$T$2:$T$3001,$Z$5,'Girdi — Faturalar ve tahsilat'!$S$2:$S$3001,"31-60"))</f>
        <v/>
      </c>
      <c r="L122" s="13" t="str">
        <f aca="false">IF(A122="","",SUMIFS('Girdi — Faturalar ve tahsilat'!$R$2:$R$3001,'Girdi — Faturalar ve tahsilat'!$C$2:$C$3001,$A122,'Girdi — Faturalar ve tahsilat'!$T$2:$T$3001,$Z$5,'Girdi — Faturalar ve tahsilat'!$S$2:$S$3001,"61-90"))</f>
        <v/>
      </c>
      <c r="M122" s="13" t="str">
        <f aca="false">IF(A122="","",SUMIFS('Girdi — Faturalar ve tahsilat'!$R$2:$R$3001,'Girdi — Faturalar ve tahsilat'!$C$2:$C$3001,$A122,'Girdi — Faturalar ve tahsilat'!$T$2:$T$3001,$Z$5,'Girdi — Faturalar ve tahsilat'!$S$2:$S$3001,"90+"))</f>
        <v/>
      </c>
      <c r="N122" s="21" t="str">
        <f aca="false">IF(F122="","",RANK(F122,$F$17:$F$216,0)+COUNTIF($F$17:F122,F122)-1)</f>
        <v/>
      </c>
    </row>
    <row r="123" customFormat="false" ht="15" hidden="false" customHeight="false" outlineLevel="0" collapsed="false">
      <c r="A123" s="16" t="str">
        <f aca="false">IFERROR(INDEX('Girdi — Faturalar ve tahsilat'!$C$2:$C$3001,MATCH(107,'Girdi — Faturalar ve tahsilat'!$U$2:$U$3001,0)),"")</f>
        <v/>
      </c>
      <c r="B123" s="16" t="str">
        <f aca="false">IF(A123="","",INDEX('Girdi — Faturalar ve tahsilat'!$D$2:$D$3001,MATCH(107,'Girdi — Faturalar ve tahsilat'!$U$2:$U$3001,0)))</f>
        <v/>
      </c>
      <c r="C123" s="13" t="str">
        <f aca="false">IF(A123="","",SUMIFS('Girdi — Faturalar ve tahsilat'!$F$2:$F$3001,'Girdi — Faturalar ve tahsilat'!$C$2:$C$3001,$A123,'Girdi — Faturalar ve tahsilat'!$T$2:$T$3001,$Z$5))</f>
        <v/>
      </c>
      <c r="D123" s="15" t="str">
        <f aca="false">IF(OR(A123="",N(C123)=0),"",SUMIFS('Girdi — Faturalar ve tahsilat'!$P$2:$P$3001,'Girdi — Faturalar ve tahsilat'!$C$2:$C$3001,$A123,'Girdi — Faturalar ve tahsilat'!$T$2:$T$3001,$Z$5)/C123)</f>
        <v/>
      </c>
      <c r="E123" s="15" t="str">
        <f aca="false">IF(OR(A123="",N(C123)=0),"",SUMIFS('Girdi — Faturalar ve tahsilat'!$Q$2:$Q$3001,'Girdi — Faturalar ve tahsilat'!$C$2:$C$3001,$A123,'Girdi — Faturalar ve tahsilat'!$T$2:$T$3001,$Z$5)/C123)</f>
        <v/>
      </c>
      <c r="F123" s="20" t="str">
        <f aca="false">IF(D123="","",E123-D123)</f>
        <v/>
      </c>
      <c r="G123" s="13" t="str">
        <f aca="false">IF(F123="","",C123*$D$4*F123/365)</f>
        <v/>
      </c>
      <c r="H123" s="13" t="str">
        <f aca="false">IF(A123="","",SUMIFS('Girdi — Faturalar ve tahsilat'!$R$2:$R$3001,'Girdi — Faturalar ve tahsilat'!$C$2:$C$3001,$A123,'Girdi — Faturalar ve tahsilat'!$T$2:$T$3001,$Z$5))</f>
        <v/>
      </c>
      <c r="I123" s="13" t="str">
        <f aca="false">IF(A123="","",SUMIFS('Girdi — Faturalar ve tahsilat'!$R$2:$R$3001,'Girdi — Faturalar ve tahsilat'!$C$2:$C$3001,$A123,'Girdi — Faturalar ve tahsilat'!$T$2:$T$3001,$Z$5,'Girdi — Faturalar ve tahsilat'!$O$2:$O$3001,"&gt;0"))</f>
        <v/>
      </c>
      <c r="J123" s="13" t="str">
        <f aca="false">IF(A123="","",SUMIFS('Girdi — Faturalar ve tahsilat'!$R$2:$R$3001,'Girdi — Faturalar ve tahsilat'!$C$2:$C$3001,$A123,'Girdi — Faturalar ve tahsilat'!$T$2:$T$3001,$Z$5,'Girdi — Faturalar ve tahsilat'!$S$2:$S$3001,"1-30"))</f>
        <v/>
      </c>
      <c r="K123" s="13" t="str">
        <f aca="false">IF(A123="","",SUMIFS('Girdi — Faturalar ve tahsilat'!$R$2:$R$3001,'Girdi — Faturalar ve tahsilat'!$C$2:$C$3001,$A123,'Girdi — Faturalar ve tahsilat'!$T$2:$T$3001,$Z$5,'Girdi — Faturalar ve tahsilat'!$S$2:$S$3001,"31-60"))</f>
        <v/>
      </c>
      <c r="L123" s="13" t="str">
        <f aca="false">IF(A123="","",SUMIFS('Girdi — Faturalar ve tahsilat'!$R$2:$R$3001,'Girdi — Faturalar ve tahsilat'!$C$2:$C$3001,$A123,'Girdi — Faturalar ve tahsilat'!$T$2:$T$3001,$Z$5,'Girdi — Faturalar ve tahsilat'!$S$2:$S$3001,"61-90"))</f>
        <v/>
      </c>
      <c r="M123" s="13" t="str">
        <f aca="false">IF(A123="","",SUMIFS('Girdi — Faturalar ve tahsilat'!$R$2:$R$3001,'Girdi — Faturalar ve tahsilat'!$C$2:$C$3001,$A123,'Girdi — Faturalar ve tahsilat'!$T$2:$T$3001,$Z$5,'Girdi — Faturalar ve tahsilat'!$S$2:$S$3001,"90+"))</f>
        <v/>
      </c>
      <c r="N123" s="21" t="str">
        <f aca="false">IF(F123="","",RANK(F123,$F$17:$F$216,0)+COUNTIF($F$17:F123,F123)-1)</f>
        <v/>
      </c>
    </row>
    <row r="124" customFormat="false" ht="15" hidden="false" customHeight="false" outlineLevel="0" collapsed="false">
      <c r="A124" s="16" t="str">
        <f aca="false">IFERROR(INDEX('Girdi — Faturalar ve tahsilat'!$C$2:$C$3001,MATCH(108,'Girdi — Faturalar ve tahsilat'!$U$2:$U$3001,0)),"")</f>
        <v/>
      </c>
      <c r="B124" s="16" t="str">
        <f aca="false">IF(A124="","",INDEX('Girdi — Faturalar ve tahsilat'!$D$2:$D$3001,MATCH(108,'Girdi — Faturalar ve tahsilat'!$U$2:$U$3001,0)))</f>
        <v/>
      </c>
      <c r="C124" s="13" t="str">
        <f aca="false">IF(A124="","",SUMIFS('Girdi — Faturalar ve tahsilat'!$F$2:$F$3001,'Girdi — Faturalar ve tahsilat'!$C$2:$C$3001,$A124,'Girdi — Faturalar ve tahsilat'!$T$2:$T$3001,$Z$5))</f>
        <v/>
      </c>
      <c r="D124" s="15" t="str">
        <f aca="false">IF(OR(A124="",N(C124)=0),"",SUMIFS('Girdi — Faturalar ve tahsilat'!$P$2:$P$3001,'Girdi — Faturalar ve tahsilat'!$C$2:$C$3001,$A124,'Girdi — Faturalar ve tahsilat'!$T$2:$T$3001,$Z$5)/C124)</f>
        <v/>
      </c>
      <c r="E124" s="15" t="str">
        <f aca="false">IF(OR(A124="",N(C124)=0),"",SUMIFS('Girdi — Faturalar ve tahsilat'!$Q$2:$Q$3001,'Girdi — Faturalar ve tahsilat'!$C$2:$C$3001,$A124,'Girdi — Faturalar ve tahsilat'!$T$2:$T$3001,$Z$5)/C124)</f>
        <v/>
      </c>
      <c r="F124" s="20" t="str">
        <f aca="false">IF(D124="","",E124-D124)</f>
        <v/>
      </c>
      <c r="G124" s="13" t="str">
        <f aca="false">IF(F124="","",C124*$D$4*F124/365)</f>
        <v/>
      </c>
      <c r="H124" s="13" t="str">
        <f aca="false">IF(A124="","",SUMIFS('Girdi — Faturalar ve tahsilat'!$R$2:$R$3001,'Girdi — Faturalar ve tahsilat'!$C$2:$C$3001,$A124,'Girdi — Faturalar ve tahsilat'!$T$2:$T$3001,$Z$5))</f>
        <v/>
      </c>
      <c r="I124" s="13" t="str">
        <f aca="false">IF(A124="","",SUMIFS('Girdi — Faturalar ve tahsilat'!$R$2:$R$3001,'Girdi — Faturalar ve tahsilat'!$C$2:$C$3001,$A124,'Girdi — Faturalar ve tahsilat'!$T$2:$T$3001,$Z$5,'Girdi — Faturalar ve tahsilat'!$O$2:$O$3001,"&gt;0"))</f>
        <v/>
      </c>
      <c r="J124" s="13" t="str">
        <f aca="false">IF(A124="","",SUMIFS('Girdi — Faturalar ve tahsilat'!$R$2:$R$3001,'Girdi — Faturalar ve tahsilat'!$C$2:$C$3001,$A124,'Girdi — Faturalar ve tahsilat'!$T$2:$T$3001,$Z$5,'Girdi — Faturalar ve tahsilat'!$S$2:$S$3001,"1-30"))</f>
        <v/>
      </c>
      <c r="K124" s="13" t="str">
        <f aca="false">IF(A124="","",SUMIFS('Girdi — Faturalar ve tahsilat'!$R$2:$R$3001,'Girdi — Faturalar ve tahsilat'!$C$2:$C$3001,$A124,'Girdi — Faturalar ve tahsilat'!$T$2:$T$3001,$Z$5,'Girdi — Faturalar ve tahsilat'!$S$2:$S$3001,"31-60"))</f>
        <v/>
      </c>
      <c r="L124" s="13" t="str">
        <f aca="false">IF(A124="","",SUMIFS('Girdi — Faturalar ve tahsilat'!$R$2:$R$3001,'Girdi — Faturalar ve tahsilat'!$C$2:$C$3001,$A124,'Girdi — Faturalar ve tahsilat'!$T$2:$T$3001,$Z$5,'Girdi — Faturalar ve tahsilat'!$S$2:$S$3001,"61-90"))</f>
        <v/>
      </c>
      <c r="M124" s="13" t="str">
        <f aca="false">IF(A124="","",SUMIFS('Girdi — Faturalar ve tahsilat'!$R$2:$R$3001,'Girdi — Faturalar ve tahsilat'!$C$2:$C$3001,$A124,'Girdi — Faturalar ve tahsilat'!$T$2:$T$3001,$Z$5,'Girdi — Faturalar ve tahsilat'!$S$2:$S$3001,"90+"))</f>
        <v/>
      </c>
      <c r="N124" s="21" t="str">
        <f aca="false">IF(F124="","",RANK(F124,$F$17:$F$216,0)+COUNTIF($F$17:F124,F124)-1)</f>
        <v/>
      </c>
    </row>
    <row r="125" customFormat="false" ht="15" hidden="false" customHeight="false" outlineLevel="0" collapsed="false">
      <c r="A125" s="16" t="str">
        <f aca="false">IFERROR(INDEX('Girdi — Faturalar ve tahsilat'!$C$2:$C$3001,MATCH(109,'Girdi — Faturalar ve tahsilat'!$U$2:$U$3001,0)),"")</f>
        <v/>
      </c>
      <c r="B125" s="16" t="str">
        <f aca="false">IF(A125="","",INDEX('Girdi — Faturalar ve tahsilat'!$D$2:$D$3001,MATCH(109,'Girdi — Faturalar ve tahsilat'!$U$2:$U$3001,0)))</f>
        <v/>
      </c>
      <c r="C125" s="13" t="str">
        <f aca="false">IF(A125="","",SUMIFS('Girdi — Faturalar ve tahsilat'!$F$2:$F$3001,'Girdi — Faturalar ve tahsilat'!$C$2:$C$3001,$A125,'Girdi — Faturalar ve tahsilat'!$T$2:$T$3001,$Z$5))</f>
        <v/>
      </c>
      <c r="D125" s="15" t="str">
        <f aca="false">IF(OR(A125="",N(C125)=0),"",SUMIFS('Girdi — Faturalar ve tahsilat'!$P$2:$P$3001,'Girdi — Faturalar ve tahsilat'!$C$2:$C$3001,$A125,'Girdi — Faturalar ve tahsilat'!$T$2:$T$3001,$Z$5)/C125)</f>
        <v/>
      </c>
      <c r="E125" s="15" t="str">
        <f aca="false">IF(OR(A125="",N(C125)=0),"",SUMIFS('Girdi — Faturalar ve tahsilat'!$Q$2:$Q$3001,'Girdi — Faturalar ve tahsilat'!$C$2:$C$3001,$A125,'Girdi — Faturalar ve tahsilat'!$T$2:$T$3001,$Z$5)/C125)</f>
        <v/>
      </c>
      <c r="F125" s="20" t="str">
        <f aca="false">IF(D125="","",E125-D125)</f>
        <v/>
      </c>
      <c r="G125" s="13" t="str">
        <f aca="false">IF(F125="","",C125*$D$4*F125/365)</f>
        <v/>
      </c>
      <c r="H125" s="13" t="str">
        <f aca="false">IF(A125="","",SUMIFS('Girdi — Faturalar ve tahsilat'!$R$2:$R$3001,'Girdi — Faturalar ve tahsilat'!$C$2:$C$3001,$A125,'Girdi — Faturalar ve tahsilat'!$T$2:$T$3001,$Z$5))</f>
        <v/>
      </c>
      <c r="I125" s="13" t="str">
        <f aca="false">IF(A125="","",SUMIFS('Girdi — Faturalar ve tahsilat'!$R$2:$R$3001,'Girdi — Faturalar ve tahsilat'!$C$2:$C$3001,$A125,'Girdi — Faturalar ve tahsilat'!$T$2:$T$3001,$Z$5,'Girdi — Faturalar ve tahsilat'!$O$2:$O$3001,"&gt;0"))</f>
        <v/>
      </c>
      <c r="J125" s="13" t="str">
        <f aca="false">IF(A125="","",SUMIFS('Girdi — Faturalar ve tahsilat'!$R$2:$R$3001,'Girdi — Faturalar ve tahsilat'!$C$2:$C$3001,$A125,'Girdi — Faturalar ve tahsilat'!$T$2:$T$3001,$Z$5,'Girdi — Faturalar ve tahsilat'!$S$2:$S$3001,"1-30"))</f>
        <v/>
      </c>
      <c r="K125" s="13" t="str">
        <f aca="false">IF(A125="","",SUMIFS('Girdi — Faturalar ve tahsilat'!$R$2:$R$3001,'Girdi — Faturalar ve tahsilat'!$C$2:$C$3001,$A125,'Girdi — Faturalar ve tahsilat'!$T$2:$T$3001,$Z$5,'Girdi — Faturalar ve tahsilat'!$S$2:$S$3001,"31-60"))</f>
        <v/>
      </c>
      <c r="L125" s="13" t="str">
        <f aca="false">IF(A125="","",SUMIFS('Girdi — Faturalar ve tahsilat'!$R$2:$R$3001,'Girdi — Faturalar ve tahsilat'!$C$2:$C$3001,$A125,'Girdi — Faturalar ve tahsilat'!$T$2:$T$3001,$Z$5,'Girdi — Faturalar ve tahsilat'!$S$2:$S$3001,"61-90"))</f>
        <v/>
      </c>
      <c r="M125" s="13" t="str">
        <f aca="false">IF(A125="","",SUMIFS('Girdi — Faturalar ve tahsilat'!$R$2:$R$3001,'Girdi — Faturalar ve tahsilat'!$C$2:$C$3001,$A125,'Girdi — Faturalar ve tahsilat'!$T$2:$T$3001,$Z$5,'Girdi — Faturalar ve tahsilat'!$S$2:$S$3001,"90+"))</f>
        <v/>
      </c>
      <c r="N125" s="21" t="str">
        <f aca="false">IF(F125="","",RANK(F125,$F$17:$F$216,0)+COUNTIF($F$17:F125,F125)-1)</f>
        <v/>
      </c>
    </row>
    <row r="126" customFormat="false" ht="15" hidden="false" customHeight="false" outlineLevel="0" collapsed="false">
      <c r="A126" s="16" t="str">
        <f aca="false">IFERROR(INDEX('Girdi — Faturalar ve tahsilat'!$C$2:$C$3001,MATCH(110,'Girdi — Faturalar ve tahsilat'!$U$2:$U$3001,0)),"")</f>
        <v/>
      </c>
      <c r="B126" s="16" t="str">
        <f aca="false">IF(A126="","",INDEX('Girdi — Faturalar ve tahsilat'!$D$2:$D$3001,MATCH(110,'Girdi — Faturalar ve tahsilat'!$U$2:$U$3001,0)))</f>
        <v/>
      </c>
      <c r="C126" s="13" t="str">
        <f aca="false">IF(A126="","",SUMIFS('Girdi — Faturalar ve tahsilat'!$F$2:$F$3001,'Girdi — Faturalar ve tahsilat'!$C$2:$C$3001,$A126,'Girdi — Faturalar ve tahsilat'!$T$2:$T$3001,$Z$5))</f>
        <v/>
      </c>
      <c r="D126" s="15" t="str">
        <f aca="false">IF(OR(A126="",N(C126)=0),"",SUMIFS('Girdi — Faturalar ve tahsilat'!$P$2:$P$3001,'Girdi — Faturalar ve tahsilat'!$C$2:$C$3001,$A126,'Girdi — Faturalar ve tahsilat'!$T$2:$T$3001,$Z$5)/C126)</f>
        <v/>
      </c>
      <c r="E126" s="15" t="str">
        <f aca="false">IF(OR(A126="",N(C126)=0),"",SUMIFS('Girdi — Faturalar ve tahsilat'!$Q$2:$Q$3001,'Girdi — Faturalar ve tahsilat'!$C$2:$C$3001,$A126,'Girdi — Faturalar ve tahsilat'!$T$2:$T$3001,$Z$5)/C126)</f>
        <v/>
      </c>
      <c r="F126" s="20" t="str">
        <f aca="false">IF(D126="","",E126-D126)</f>
        <v/>
      </c>
      <c r="G126" s="13" t="str">
        <f aca="false">IF(F126="","",C126*$D$4*F126/365)</f>
        <v/>
      </c>
      <c r="H126" s="13" t="str">
        <f aca="false">IF(A126="","",SUMIFS('Girdi — Faturalar ve tahsilat'!$R$2:$R$3001,'Girdi — Faturalar ve tahsilat'!$C$2:$C$3001,$A126,'Girdi — Faturalar ve tahsilat'!$T$2:$T$3001,$Z$5))</f>
        <v/>
      </c>
      <c r="I126" s="13" t="str">
        <f aca="false">IF(A126="","",SUMIFS('Girdi — Faturalar ve tahsilat'!$R$2:$R$3001,'Girdi — Faturalar ve tahsilat'!$C$2:$C$3001,$A126,'Girdi — Faturalar ve tahsilat'!$T$2:$T$3001,$Z$5,'Girdi — Faturalar ve tahsilat'!$O$2:$O$3001,"&gt;0"))</f>
        <v/>
      </c>
      <c r="J126" s="13" t="str">
        <f aca="false">IF(A126="","",SUMIFS('Girdi — Faturalar ve tahsilat'!$R$2:$R$3001,'Girdi — Faturalar ve tahsilat'!$C$2:$C$3001,$A126,'Girdi — Faturalar ve tahsilat'!$T$2:$T$3001,$Z$5,'Girdi — Faturalar ve tahsilat'!$S$2:$S$3001,"1-30"))</f>
        <v/>
      </c>
      <c r="K126" s="13" t="str">
        <f aca="false">IF(A126="","",SUMIFS('Girdi — Faturalar ve tahsilat'!$R$2:$R$3001,'Girdi — Faturalar ve tahsilat'!$C$2:$C$3001,$A126,'Girdi — Faturalar ve tahsilat'!$T$2:$T$3001,$Z$5,'Girdi — Faturalar ve tahsilat'!$S$2:$S$3001,"31-60"))</f>
        <v/>
      </c>
      <c r="L126" s="13" t="str">
        <f aca="false">IF(A126="","",SUMIFS('Girdi — Faturalar ve tahsilat'!$R$2:$R$3001,'Girdi — Faturalar ve tahsilat'!$C$2:$C$3001,$A126,'Girdi — Faturalar ve tahsilat'!$T$2:$T$3001,$Z$5,'Girdi — Faturalar ve tahsilat'!$S$2:$S$3001,"61-90"))</f>
        <v/>
      </c>
      <c r="M126" s="13" t="str">
        <f aca="false">IF(A126="","",SUMIFS('Girdi — Faturalar ve tahsilat'!$R$2:$R$3001,'Girdi — Faturalar ve tahsilat'!$C$2:$C$3001,$A126,'Girdi — Faturalar ve tahsilat'!$T$2:$T$3001,$Z$5,'Girdi — Faturalar ve tahsilat'!$S$2:$S$3001,"90+"))</f>
        <v/>
      </c>
      <c r="N126" s="21" t="str">
        <f aca="false">IF(F126="","",RANK(F126,$F$17:$F$216,0)+COUNTIF($F$17:F126,F126)-1)</f>
        <v/>
      </c>
    </row>
    <row r="127" customFormat="false" ht="15" hidden="false" customHeight="false" outlineLevel="0" collapsed="false">
      <c r="A127" s="16" t="str">
        <f aca="false">IFERROR(INDEX('Girdi — Faturalar ve tahsilat'!$C$2:$C$3001,MATCH(111,'Girdi — Faturalar ve tahsilat'!$U$2:$U$3001,0)),"")</f>
        <v/>
      </c>
      <c r="B127" s="16" t="str">
        <f aca="false">IF(A127="","",INDEX('Girdi — Faturalar ve tahsilat'!$D$2:$D$3001,MATCH(111,'Girdi — Faturalar ve tahsilat'!$U$2:$U$3001,0)))</f>
        <v/>
      </c>
      <c r="C127" s="13" t="str">
        <f aca="false">IF(A127="","",SUMIFS('Girdi — Faturalar ve tahsilat'!$F$2:$F$3001,'Girdi — Faturalar ve tahsilat'!$C$2:$C$3001,$A127,'Girdi — Faturalar ve tahsilat'!$T$2:$T$3001,$Z$5))</f>
        <v/>
      </c>
      <c r="D127" s="15" t="str">
        <f aca="false">IF(OR(A127="",N(C127)=0),"",SUMIFS('Girdi — Faturalar ve tahsilat'!$P$2:$P$3001,'Girdi — Faturalar ve tahsilat'!$C$2:$C$3001,$A127,'Girdi — Faturalar ve tahsilat'!$T$2:$T$3001,$Z$5)/C127)</f>
        <v/>
      </c>
      <c r="E127" s="15" t="str">
        <f aca="false">IF(OR(A127="",N(C127)=0),"",SUMIFS('Girdi — Faturalar ve tahsilat'!$Q$2:$Q$3001,'Girdi — Faturalar ve tahsilat'!$C$2:$C$3001,$A127,'Girdi — Faturalar ve tahsilat'!$T$2:$T$3001,$Z$5)/C127)</f>
        <v/>
      </c>
      <c r="F127" s="20" t="str">
        <f aca="false">IF(D127="","",E127-D127)</f>
        <v/>
      </c>
      <c r="G127" s="13" t="str">
        <f aca="false">IF(F127="","",C127*$D$4*F127/365)</f>
        <v/>
      </c>
      <c r="H127" s="13" t="str">
        <f aca="false">IF(A127="","",SUMIFS('Girdi — Faturalar ve tahsilat'!$R$2:$R$3001,'Girdi — Faturalar ve tahsilat'!$C$2:$C$3001,$A127,'Girdi — Faturalar ve tahsilat'!$T$2:$T$3001,$Z$5))</f>
        <v/>
      </c>
      <c r="I127" s="13" t="str">
        <f aca="false">IF(A127="","",SUMIFS('Girdi — Faturalar ve tahsilat'!$R$2:$R$3001,'Girdi — Faturalar ve tahsilat'!$C$2:$C$3001,$A127,'Girdi — Faturalar ve tahsilat'!$T$2:$T$3001,$Z$5,'Girdi — Faturalar ve tahsilat'!$O$2:$O$3001,"&gt;0"))</f>
        <v/>
      </c>
      <c r="J127" s="13" t="str">
        <f aca="false">IF(A127="","",SUMIFS('Girdi — Faturalar ve tahsilat'!$R$2:$R$3001,'Girdi — Faturalar ve tahsilat'!$C$2:$C$3001,$A127,'Girdi — Faturalar ve tahsilat'!$T$2:$T$3001,$Z$5,'Girdi — Faturalar ve tahsilat'!$S$2:$S$3001,"1-30"))</f>
        <v/>
      </c>
      <c r="K127" s="13" t="str">
        <f aca="false">IF(A127="","",SUMIFS('Girdi — Faturalar ve tahsilat'!$R$2:$R$3001,'Girdi — Faturalar ve tahsilat'!$C$2:$C$3001,$A127,'Girdi — Faturalar ve tahsilat'!$T$2:$T$3001,$Z$5,'Girdi — Faturalar ve tahsilat'!$S$2:$S$3001,"31-60"))</f>
        <v/>
      </c>
      <c r="L127" s="13" t="str">
        <f aca="false">IF(A127="","",SUMIFS('Girdi — Faturalar ve tahsilat'!$R$2:$R$3001,'Girdi — Faturalar ve tahsilat'!$C$2:$C$3001,$A127,'Girdi — Faturalar ve tahsilat'!$T$2:$T$3001,$Z$5,'Girdi — Faturalar ve tahsilat'!$S$2:$S$3001,"61-90"))</f>
        <v/>
      </c>
      <c r="M127" s="13" t="str">
        <f aca="false">IF(A127="","",SUMIFS('Girdi — Faturalar ve tahsilat'!$R$2:$R$3001,'Girdi — Faturalar ve tahsilat'!$C$2:$C$3001,$A127,'Girdi — Faturalar ve tahsilat'!$T$2:$T$3001,$Z$5,'Girdi — Faturalar ve tahsilat'!$S$2:$S$3001,"90+"))</f>
        <v/>
      </c>
      <c r="N127" s="21" t="str">
        <f aca="false">IF(F127="","",RANK(F127,$F$17:$F$216,0)+COUNTIF($F$17:F127,F127)-1)</f>
        <v/>
      </c>
    </row>
    <row r="128" customFormat="false" ht="15" hidden="false" customHeight="false" outlineLevel="0" collapsed="false">
      <c r="A128" s="16" t="str">
        <f aca="false">IFERROR(INDEX('Girdi — Faturalar ve tahsilat'!$C$2:$C$3001,MATCH(112,'Girdi — Faturalar ve tahsilat'!$U$2:$U$3001,0)),"")</f>
        <v/>
      </c>
      <c r="B128" s="16" t="str">
        <f aca="false">IF(A128="","",INDEX('Girdi — Faturalar ve tahsilat'!$D$2:$D$3001,MATCH(112,'Girdi — Faturalar ve tahsilat'!$U$2:$U$3001,0)))</f>
        <v/>
      </c>
      <c r="C128" s="13" t="str">
        <f aca="false">IF(A128="","",SUMIFS('Girdi — Faturalar ve tahsilat'!$F$2:$F$3001,'Girdi — Faturalar ve tahsilat'!$C$2:$C$3001,$A128,'Girdi — Faturalar ve tahsilat'!$T$2:$T$3001,$Z$5))</f>
        <v/>
      </c>
      <c r="D128" s="15" t="str">
        <f aca="false">IF(OR(A128="",N(C128)=0),"",SUMIFS('Girdi — Faturalar ve tahsilat'!$P$2:$P$3001,'Girdi — Faturalar ve tahsilat'!$C$2:$C$3001,$A128,'Girdi — Faturalar ve tahsilat'!$T$2:$T$3001,$Z$5)/C128)</f>
        <v/>
      </c>
      <c r="E128" s="15" t="str">
        <f aca="false">IF(OR(A128="",N(C128)=0),"",SUMIFS('Girdi — Faturalar ve tahsilat'!$Q$2:$Q$3001,'Girdi — Faturalar ve tahsilat'!$C$2:$C$3001,$A128,'Girdi — Faturalar ve tahsilat'!$T$2:$T$3001,$Z$5)/C128)</f>
        <v/>
      </c>
      <c r="F128" s="20" t="str">
        <f aca="false">IF(D128="","",E128-D128)</f>
        <v/>
      </c>
      <c r="G128" s="13" t="str">
        <f aca="false">IF(F128="","",C128*$D$4*F128/365)</f>
        <v/>
      </c>
      <c r="H128" s="13" t="str">
        <f aca="false">IF(A128="","",SUMIFS('Girdi — Faturalar ve tahsilat'!$R$2:$R$3001,'Girdi — Faturalar ve tahsilat'!$C$2:$C$3001,$A128,'Girdi — Faturalar ve tahsilat'!$T$2:$T$3001,$Z$5))</f>
        <v/>
      </c>
      <c r="I128" s="13" t="str">
        <f aca="false">IF(A128="","",SUMIFS('Girdi — Faturalar ve tahsilat'!$R$2:$R$3001,'Girdi — Faturalar ve tahsilat'!$C$2:$C$3001,$A128,'Girdi — Faturalar ve tahsilat'!$T$2:$T$3001,$Z$5,'Girdi — Faturalar ve tahsilat'!$O$2:$O$3001,"&gt;0"))</f>
        <v/>
      </c>
      <c r="J128" s="13" t="str">
        <f aca="false">IF(A128="","",SUMIFS('Girdi — Faturalar ve tahsilat'!$R$2:$R$3001,'Girdi — Faturalar ve tahsilat'!$C$2:$C$3001,$A128,'Girdi — Faturalar ve tahsilat'!$T$2:$T$3001,$Z$5,'Girdi — Faturalar ve tahsilat'!$S$2:$S$3001,"1-30"))</f>
        <v/>
      </c>
      <c r="K128" s="13" t="str">
        <f aca="false">IF(A128="","",SUMIFS('Girdi — Faturalar ve tahsilat'!$R$2:$R$3001,'Girdi — Faturalar ve tahsilat'!$C$2:$C$3001,$A128,'Girdi — Faturalar ve tahsilat'!$T$2:$T$3001,$Z$5,'Girdi — Faturalar ve tahsilat'!$S$2:$S$3001,"31-60"))</f>
        <v/>
      </c>
      <c r="L128" s="13" t="str">
        <f aca="false">IF(A128="","",SUMIFS('Girdi — Faturalar ve tahsilat'!$R$2:$R$3001,'Girdi — Faturalar ve tahsilat'!$C$2:$C$3001,$A128,'Girdi — Faturalar ve tahsilat'!$T$2:$T$3001,$Z$5,'Girdi — Faturalar ve tahsilat'!$S$2:$S$3001,"61-90"))</f>
        <v/>
      </c>
      <c r="M128" s="13" t="str">
        <f aca="false">IF(A128="","",SUMIFS('Girdi — Faturalar ve tahsilat'!$R$2:$R$3001,'Girdi — Faturalar ve tahsilat'!$C$2:$C$3001,$A128,'Girdi — Faturalar ve tahsilat'!$T$2:$T$3001,$Z$5,'Girdi — Faturalar ve tahsilat'!$S$2:$S$3001,"90+"))</f>
        <v/>
      </c>
      <c r="N128" s="21" t="str">
        <f aca="false">IF(F128="","",RANK(F128,$F$17:$F$216,0)+COUNTIF($F$17:F128,F128)-1)</f>
        <v/>
      </c>
    </row>
    <row r="129" customFormat="false" ht="15" hidden="false" customHeight="false" outlineLevel="0" collapsed="false">
      <c r="A129" s="16" t="str">
        <f aca="false">IFERROR(INDEX('Girdi — Faturalar ve tahsilat'!$C$2:$C$3001,MATCH(113,'Girdi — Faturalar ve tahsilat'!$U$2:$U$3001,0)),"")</f>
        <v/>
      </c>
      <c r="B129" s="16" t="str">
        <f aca="false">IF(A129="","",INDEX('Girdi — Faturalar ve tahsilat'!$D$2:$D$3001,MATCH(113,'Girdi — Faturalar ve tahsilat'!$U$2:$U$3001,0)))</f>
        <v/>
      </c>
      <c r="C129" s="13" t="str">
        <f aca="false">IF(A129="","",SUMIFS('Girdi — Faturalar ve tahsilat'!$F$2:$F$3001,'Girdi — Faturalar ve tahsilat'!$C$2:$C$3001,$A129,'Girdi — Faturalar ve tahsilat'!$T$2:$T$3001,$Z$5))</f>
        <v/>
      </c>
      <c r="D129" s="15" t="str">
        <f aca="false">IF(OR(A129="",N(C129)=0),"",SUMIFS('Girdi — Faturalar ve tahsilat'!$P$2:$P$3001,'Girdi — Faturalar ve tahsilat'!$C$2:$C$3001,$A129,'Girdi — Faturalar ve tahsilat'!$T$2:$T$3001,$Z$5)/C129)</f>
        <v/>
      </c>
      <c r="E129" s="15" t="str">
        <f aca="false">IF(OR(A129="",N(C129)=0),"",SUMIFS('Girdi — Faturalar ve tahsilat'!$Q$2:$Q$3001,'Girdi — Faturalar ve tahsilat'!$C$2:$C$3001,$A129,'Girdi — Faturalar ve tahsilat'!$T$2:$T$3001,$Z$5)/C129)</f>
        <v/>
      </c>
      <c r="F129" s="20" t="str">
        <f aca="false">IF(D129="","",E129-D129)</f>
        <v/>
      </c>
      <c r="G129" s="13" t="str">
        <f aca="false">IF(F129="","",C129*$D$4*F129/365)</f>
        <v/>
      </c>
      <c r="H129" s="13" t="str">
        <f aca="false">IF(A129="","",SUMIFS('Girdi — Faturalar ve tahsilat'!$R$2:$R$3001,'Girdi — Faturalar ve tahsilat'!$C$2:$C$3001,$A129,'Girdi — Faturalar ve tahsilat'!$T$2:$T$3001,$Z$5))</f>
        <v/>
      </c>
      <c r="I129" s="13" t="str">
        <f aca="false">IF(A129="","",SUMIFS('Girdi — Faturalar ve tahsilat'!$R$2:$R$3001,'Girdi — Faturalar ve tahsilat'!$C$2:$C$3001,$A129,'Girdi — Faturalar ve tahsilat'!$T$2:$T$3001,$Z$5,'Girdi — Faturalar ve tahsilat'!$O$2:$O$3001,"&gt;0"))</f>
        <v/>
      </c>
      <c r="J129" s="13" t="str">
        <f aca="false">IF(A129="","",SUMIFS('Girdi — Faturalar ve tahsilat'!$R$2:$R$3001,'Girdi — Faturalar ve tahsilat'!$C$2:$C$3001,$A129,'Girdi — Faturalar ve tahsilat'!$T$2:$T$3001,$Z$5,'Girdi — Faturalar ve tahsilat'!$S$2:$S$3001,"1-30"))</f>
        <v/>
      </c>
      <c r="K129" s="13" t="str">
        <f aca="false">IF(A129="","",SUMIFS('Girdi — Faturalar ve tahsilat'!$R$2:$R$3001,'Girdi — Faturalar ve tahsilat'!$C$2:$C$3001,$A129,'Girdi — Faturalar ve tahsilat'!$T$2:$T$3001,$Z$5,'Girdi — Faturalar ve tahsilat'!$S$2:$S$3001,"31-60"))</f>
        <v/>
      </c>
      <c r="L129" s="13" t="str">
        <f aca="false">IF(A129="","",SUMIFS('Girdi — Faturalar ve tahsilat'!$R$2:$R$3001,'Girdi — Faturalar ve tahsilat'!$C$2:$C$3001,$A129,'Girdi — Faturalar ve tahsilat'!$T$2:$T$3001,$Z$5,'Girdi — Faturalar ve tahsilat'!$S$2:$S$3001,"61-90"))</f>
        <v/>
      </c>
      <c r="M129" s="13" t="str">
        <f aca="false">IF(A129="","",SUMIFS('Girdi — Faturalar ve tahsilat'!$R$2:$R$3001,'Girdi — Faturalar ve tahsilat'!$C$2:$C$3001,$A129,'Girdi — Faturalar ve tahsilat'!$T$2:$T$3001,$Z$5,'Girdi — Faturalar ve tahsilat'!$S$2:$S$3001,"90+"))</f>
        <v/>
      </c>
      <c r="N129" s="21" t="str">
        <f aca="false">IF(F129="","",RANK(F129,$F$17:$F$216,0)+COUNTIF($F$17:F129,F129)-1)</f>
        <v/>
      </c>
    </row>
    <row r="130" customFormat="false" ht="15" hidden="false" customHeight="false" outlineLevel="0" collapsed="false">
      <c r="A130" s="16" t="str">
        <f aca="false">IFERROR(INDEX('Girdi — Faturalar ve tahsilat'!$C$2:$C$3001,MATCH(114,'Girdi — Faturalar ve tahsilat'!$U$2:$U$3001,0)),"")</f>
        <v/>
      </c>
      <c r="B130" s="16" t="str">
        <f aca="false">IF(A130="","",INDEX('Girdi — Faturalar ve tahsilat'!$D$2:$D$3001,MATCH(114,'Girdi — Faturalar ve tahsilat'!$U$2:$U$3001,0)))</f>
        <v/>
      </c>
      <c r="C130" s="13" t="str">
        <f aca="false">IF(A130="","",SUMIFS('Girdi — Faturalar ve tahsilat'!$F$2:$F$3001,'Girdi — Faturalar ve tahsilat'!$C$2:$C$3001,$A130,'Girdi — Faturalar ve tahsilat'!$T$2:$T$3001,$Z$5))</f>
        <v/>
      </c>
      <c r="D130" s="15" t="str">
        <f aca="false">IF(OR(A130="",N(C130)=0),"",SUMIFS('Girdi — Faturalar ve tahsilat'!$P$2:$P$3001,'Girdi — Faturalar ve tahsilat'!$C$2:$C$3001,$A130,'Girdi — Faturalar ve tahsilat'!$T$2:$T$3001,$Z$5)/C130)</f>
        <v/>
      </c>
      <c r="E130" s="15" t="str">
        <f aca="false">IF(OR(A130="",N(C130)=0),"",SUMIFS('Girdi — Faturalar ve tahsilat'!$Q$2:$Q$3001,'Girdi — Faturalar ve tahsilat'!$C$2:$C$3001,$A130,'Girdi — Faturalar ve tahsilat'!$T$2:$T$3001,$Z$5)/C130)</f>
        <v/>
      </c>
      <c r="F130" s="20" t="str">
        <f aca="false">IF(D130="","",E130-D130)</f>
        <v/>
      </c>
      <c r="G130" s="13" t="str">
        <f aca="false">IF(F130="","",C130*$D$4*F130/365)</f>
        <v/>
      </c>
      <c r="H130" s="13" t="str">
        <f aca="false">IF(A130="","",SUMIFS('Girdi — Faturalar ve tahsilat'!$R$2:$R$3001,'Girdi — Faturalar ve tahsilat'!$C$2:$C$3001,$A130,'Girdi — Faturalar ve tahsilat'!$T$2:$T$3001,$Z$5))</f>
        <v/>
      </c>
      <c r="I130" s="13" t="str">
        <f aca="false">IF(A130="","",SUMIFS('Girdi — Faturalar ve tahsilat'!$R$2:$R$3001,'Girdi — Faturalar ve tahsilat'!$C$2:$C$3001,$A130,'Girdi — Faturalar ve tahsilat'!$T$2:$T$3001,$Z$5,'Girdi — Faturalar ve tahsilat'!$O$2:$O$3001,"&gt;0"))</f>
        <v/>
      </c>
      <c r="J130" s="13" t="str">
        <f aca="false">IF(A130="","",SUMIFS('Girdi — Faturalar ve tahsilat'!$R$2:$R$3001,'Girdi — Faturalar ve tahsilat'!$C$2:$C$3001,$A130,'Girdi — Faturalar ve tahsilat'!$T$2:$T$3001,$Z$5,'Girdi — Faturalar ve tahsilat'!$S$2:$S$3001,"1-30"))</f>
        <v/>
      </c>
      <c r="K130" s="13" t="str">
        <f aca="false">IF(A130="","",SUMIFS('Girdi — Faturalar ve tahsilat'!$R$2:$R$3001,'Girdi — Faturalar ve tahsilat'!$C$2:$C$3001,$A130,'Girdi — Faturalar ve tahsilat'!$T$2:$T$3001,$Z$5,'Girdi — Faturalar ve tahsilat'!$S$2:$S$3001,"31-60"))</f>
        <v/>
      </c>
      <c r="L130" s="13" t="str">
        <f aca="false">IF(A130="","",SUMIFS('Girdi — Faturalar ve tahsilat'!$R$2:$R$3001,'Girdi — Faturalar ve tahsilat'!$C$2:$C$3001,$A130,'Girdi — Faturalar ve tahsilat'!$T$2:$T$3001,$Z$5,'Girdi — Faturalar ve tahsilat'!$S$2:$S$3001,"61-90"))</f>
        <v/>
      </c>
      <c r="M130" s="13" t="str">
        <f aca="false">IF(A130="","",SUMIFS('Girdi — Faturalar ve tahsilat'!$R$2:$R$3001,'Girdi — Faturalar ve tahsilat'!$C$2:$C$3001,$A130,'Girdi — Faturalar ve tahsilat'!$T$2:$T$3001,$Z$5,'Girdi — Faturalar ve tahsilat'!$S$2:$S$3001,"90+"))</f>
        <v/>
      </c>
      <c r="N130" s="21" t="str">
        <f aca="false">IF(F130="","",RANK(F130,$F$17:$F$216,0)+COUNTIF($F$17:F130,F130)-1)</f>
        <v/>
      </c>
    </row>
    <row r="131" customFormat="false" ht="15" hidden="false" customHeight="false" outlineLevel="0" collapsed="false">
      <c r="A131" s="16" t="str">
        <f aca="false">IFERROR(INDEX('Girdi — Faturalar ve tahsilat'!$C$2:$C$3001,MATCH(115,'Girdi — Faturalar ve tahsilat'!$U$2:$U$3001,0)),"")</f>
        <v/>
      </c>
      <c r="B131" s="16" t="str">
        <f aca="false">IF(A131="","",INDEX('Girdi — Faturalar ve tahsilat'!$D$2:$D$3001,MATCH(115,'Girdi — Faturalar ve tahsilat'!$U$2:$U$3001,0)))</f>
        <v/>
      </c>
      <c r="C131" s="13" t="str">
        <f aca="false">IF(A131="","",SUMIFS('Girdi — Faturalar ve tahsilat'!$F$2:$F$3001,'Girdi — Faturalar ve tahsilat'!$C$2:$C$3001,$A131,'Girdi — Faturalar ve tahsilat'!$T$2:$T$3001,$Z$5))</f>
        <v/>
      </c>
      <c r="D131" s="15" t="str">
        <f aca="false">IF(OR(A131="",N(C131)=0),"",SUMIFS('Girdi — Faturalar ve tahsilat'!$P$2:$P$3001,'Girdi — Faturalar ve tahsilat'!$C$2:$C$3001,$A131,'Girdi — Faturalar ve tahsilat'!$T$2:$T$3001,$Z$5)/C131)</f>
        <v/>
      </c>
      <c r="E131" s="15" t="str">
        <f aca="false">IF(OR(A131="",N(C131)=0),"",SUMIFS('Girdi — Faturalar ve tahsilat'!$Q$2:$Q$3001,'Girdi — Faturalar ve tahsilat'!$C$2:$C$3001,$A131,'Girdi — Faturalar ve tahsilat'!$T$2:$T$3001,$Z$5)/C131)</f>
        <v/>
      </c>
      <c r="F131" s="20" t="str">
        <f aca="false">IF(D131="","",E131-D131)</f>
        <v/>
      </c>
      <c r="G131" s="13" t="str">
        <f aca="false">IF(F131="","",C131*$D$4*F131/365)</f>
        <v/>
      </c>
      <c r="H131" s="13" t="str">
        <f aca="false">IF(A131="","",SUMIFS('Girdi — Faturalar ve tahsilat'!$R$2:$R$3001,'Girdi — Faturalar ve tahsilat'!$C$2:$C$3001,$A131,'Girdi — Faturalar ve tahsilat'!$T$2:$T$3001,$Z$5))</f>
        <v/>
      </c>
      <c r="I131" s="13" t="str">
        <f aca="false">IF(A131="","",SUMIFS('Girdi — Faturalar ve tahsilat'!$R$2:$R$3001,'Girdi — Faturalar ve tahsilat'!$C$2:$C$3001,$A131,'Girdi — Faturalar ve tahsilat'!$T$2:$T$3001,$Z$5,'Girdi — Faturalar ve tahsilat'!$O$2:$O$3001,"&gt;0"))</f>
        <v/>
      </c>
      <c r="J131" s="13" t="str">
        <f aca="false">IF(A131="","",SUMIFS('Girdi — Faturalar ve tahsilat'!$R$2:$R$3001,'Girdi — Faturalar ve tahsilat'!$C$2:$C$3001,$A131,'Girdi — Faturalar ve tahsilat'!$T$2:$T$3001,$Z$5,'Girdi — Faturalar ve tahsilat'!$S$2:$S$3001,"1-30"))</f>
        <v/>
      </c>
      <c r="K131" s="13" t="str">
        <f aca="false">IF(A131="","",SUMIFS('Girdi — Faturalar ve tahsilat'!$R$2:$R$3001,'Girdi — Faturalar ve tahsilat'!$C$2:$C$3001,$A131,'Girdi — Faturalar ve tahsilat'!$T$2:$T$3001,$Z$5,'Girdi — Faturalar ve tahsilat'!$S$2:$S$3001,"31-60"))</f>
        <v/>
      </c>
      <c r="L131" s="13" t="str">
        <f aca="false">IF(A131="","",SUMIFS('Girdi — Faturalar ve tahsilat'!$R$2:$R$3001,'Girdi — Faturalar ve tahsilat'!$C$2:$C$3001,$A131,'Girdi — Faturalar ve tahsilat'!$T$2:$T$3001,$Z$5,'Girdi — Faturalar ve tahsilat'!$S$2:$S$3001,"61-90"))</f>
        <v/>
      </c>
      <c r="M131" s="13" t="str">
        <f aca="false">IF(A131="","",SUMIFS('Girdi — Faturalar ve tahsilat'!$R$2:$R$3001,'Girdi — Faturalar ve tahsilat'!$C$2:$C$3001,$A131,'Girdi — Faturalar ve tahsilat'!$T$2:$T$3001,$Z$5,'Girdi — Faturalar ve tahsilat'!$S$2:$S$3001,"90+"))</f>
        <v/>
      </c>
      <c r="N131" s="21" t="str">
        <f aca="false">IF(F131="","",RANK(F131,$F$17:$F$216,0)+COUNTIF($F$17:F131,F131)-1)</f>
        <v/>
      </c>
    </row>
    <row r="132" customFormat="false" ht="15" hidden="false" customHeight="false" outlineLevel="0" collapsed="false">
      <c r="A132" s="16" t="str">
        <f aca="false">IFERROR(INDEX('Girdi — Faturalar ve tahsilat'!$C$2:$C$3001,MATCH(116,'Girdi — Faturalar ve tahsilat'!$U$2:$U$3001,0)),"")</f>
        <v/>
      </c>
      <c r="B132" s="16" t="str">
        <f aca="false">IF(A132="","",INDEX('Girdi — Faturalar ve tahsilat'!$D$2:$D$3001,MATCH(116,'Girdi — Faturalar ve tahsilat'!$U$2:$U$3001,0)))</f>
        <v/>
      </c>
      <c r="C132" s="13" t="str">
        <f aca="false">IF(A132="","",SUMIFS('Girdi — Faturalar ve tahsilat'!$F$2:$F$3001,'Girdi — Faturalar ve tahsilat'!$C$2:$C$3001,$A132,'Girdi — Faturalar ve tahsilat'!$T$2:$T$3001,$Z$5))</f>
        <v/>
      </c>
      <c r="D132" s="15" t="str">
        <f aca="false">IF(OR(A132="",N(C132)=0),"",SUMIFS('Girdi — Faturalar ve tahsilat'!$P$2:$P$3001,'Girdi — Faturalar ve tahsilat'!$C$2:$C$3001,$A132,'Girdi — Faturalar ve tahsilat'!$T$2:$T$3001,$Z$5)/C132)</f>
        <v/>
      </c>
      <c r="E132" s="15" t="str">
        <f aca="false">IF(OR(A132="",N(C132)=0),"",SUMIFS('Girdi — Faturalar ve tahsilat'!$Q$2:$Q$3001,'Girdi — Faturalar ve tahsilat'!$C$2:$C$3001,$A132,'Girdi — Faturalar ve tahsilat'!$T$2:$T$3001,$Z$5)/C132)</f>
        <v/>
      </c>
      <c r="F132" s="20" t="str">
        <f aca="false">IF(D132="","",E132-D132)</f>
        <v/>
      </c>
      <c r="G132" s="13" t="str">
        <f aca="false">IF(F132="","",C132*$D$4*F132/365)</f>
        <v/>
      </c>
      <c r="H132" s="13" t="str">
        <f aca="false">IF(A132="","",SUMIFS('Girdi — Faturalar ve tahsilat'!$R$2:$R$3001,'Girdi — Faturalar ve tahsilat'!$C$2:$C$3001,$A132,'Girdi — Faturalar ve tahsilat'!$T$2:$T$3001,$Z$5))</f>
        <v/>
      </c>
      <c r="I132" s="13" t="str">
        <f aca="false">IF(A132="","",SUMIFS('Girdi — Faturalar ve tahsilat'!$R$2:$R$3001,'Girdi — Faturalar ve tahsilat'!$C$2:$C$3001,$A132,'Girdi — Faturalar ve tahsilat'!$T$2:$T$3001,$Z$5,'Girdi — Faturalar ve tahsilat'!$O$2:$O$3001,"&gt;0"))</f>
        <v/>
      </c>
      <c r="J132" s="13" t="str">
        <f aca="false">IF(A132="","",SUMIFS('Girdi — Faturalar ve tahsilat'!$R$2:$R$3001,'Girdi — Faturalar ve tahsilat'!$C$2:$C$3001,$A132,'Girdi — Faturalar ve tahsilat'!$T$2:$T$3001,$Z$5,'Girdi — Faturalar ve tahsilat'!$S$2:$S$3001,"1-30"))</f>
        <v/>
      </c>
      <c r="K132" s="13" t="str">
        <f aca="false">IF(A132="","",SUMIFS('Girdi — Faturalar ve tahsilat'!$R$2:$R$3001,'Girdi — Faturalar ve tahsilat'!$C$2:$C$3001,$A132,'Girdi — Faturalar ve tahsilat'!$T$2:$T$3001,$Z$5,'Girdi — Faturalar ve tahsilat'!$S$2:$S$3001,"31-60"))</f>
        <v/>
      </c>
      <c r="L132" s="13" t="str">
        <f aca="false">IF(A132="","",SUMIFS('Girdi — Faturalar ve tahsilat'!$R$2:$R$3001,'Girdi — Faturalar ve tahsilat'!$C$2:$C$3001,$A132,'Girdi — Faturalar ve tahsilat'!$T$2:$T$3001,$Z$5,'Girdi — Faturalar ve tahsilat'!$S$2:$S$3001,"61-90"))</f>
        <v/>
      </c>
      <c r="M132" s="13" t="str">
        <f aca="false">IF(A132="","",SUMIFS('Girdi — Faturalar ve tahsilat'!$R$2:$R$3001,'Girdi — Faturalar ve tahsilat'!$C$2:$C$3001,$A132,'Girdi — Faturalar ve tahsilat'!$T$2:$T$3001,$Z$5,'Girdi — Faturalar ve tahsilat'!$S$2:$S$3001,"90+"))</f>
        <v/>
      </c>
      <c r="N132" s="21" t="str">
        <f aca="false">IF(F132="","",RANK(F132,$F$17:$F$216,0)+COUNTIF($F$17:F132,F132)-1)</f>
        <v/>
      </c>
    </row>
    <row r="133" customFormat="false" ht="15" hidden="false" customHeight="false" outlineLevel="0" collapsed="false">
      <c r="A133" s="16" t="str">
        <f aca="false">IFERROR(INDEX('Girdi — Faturalar ve tahsilat'!$C$2:$C$3001,MATCH(117,'Girdi — Faturalar ve tahsilat'!$U$2:$U$3001,0)),"")</f>
        <v/>
      </c>
      <c r="B133" s="16" t="str">
        <f aca="false">IF(A133="","",INDEX('Girdi — Faturalar ve tahsilat'!$D$2:$D$3001,MATCH(117,'Girdi — Faturalar ve tahsilat'!$U$2:$U$3001,0)))</f>
        <v/>
      </c>
      <c r="C133" s="13" t="str">
        <f aca="false">IF(A133="","",SUMIFS('Girdi — Faturalar ve tahsilat'!$F$2:$F$3001,'Girdi — Faturalar ve tahsilat'!$C$2:$C$3001,$A133,'Girdi — Faturalar ve tahsilat'!$T$2:$T$3001,$Z$5))</f>
        <v/>
      </c>
      <c r="D133" s="15" t="str">
        <f aca="false">IF(OR(A133="",N(C133)=0),"",SUMIFS('Girdi — Faturalar ve tahsilat'!$P$2:$P$3001,'Girdi — Faturalar ve tahsilat'!$C$2:$C$3001,$A133,'Girdi — Faturalar ve tahsilat'!$T$2:$T$3001,$Z$5)/C133)</f>
        <v/>
      </c>
      <c r="E133" s="15" t="str">
        <f aca="false">IF(OR(A133="",N(C133)=0),"",SUMIFS('Girdi — Faturalar ve tahsilat'!$Q$2:$Q$3001,'Girdi — Faturalar ve tahsilat'!$C$2:$C$3001,$A133,'Girdi — Faturalar ve tahsilat'!$T$2:$T$3001,$Z$5)/C133)</f>
        <v/>
      </c>
      <c r="F133" s="20" t="str">
        <f aca="false">IF(D133="","",E133-D133)</f>
        <v/>
      </c>
      <c r="G133" s="13" t="str">
        <f aca="false">IF(F133="","",C133*$D$4*F133/365)</f>
        <v/>
      </c>
      <c r="H133" s="13" t="str">
        <f aca="false">IF(A133="","",SUMIFS('Girdi — Faturalar ve tahsilat'!$R$2:$R$3001,'Girdi — Faturalar ve tahsilat'!$C$2:$C$3001,$A133,'Girdi — Faturalar ve tahsilat'!$T$2:$T$3001,$Z$5))</f>
        <v/>
      </c>
      <c r="I133" s="13" t="str">
        <f aca="false">IF(A133="","",SUMIFS('Girdi — Faturalar ve tahsilat'!$R$2:$R$3001,'Girdi — Faturalar ve tahsilat'!$C$2:$C$3001,$A133,'Girdi — Faturalar ve tahsilat'!$T$2:$T$3001,$Z$5,'Girdi — Faturalar ve tahsilat'!$O$2:$O$3001,"&gt;0"))</f>
        <v/>
      </c>
      <c r="J133" s="13" t="str">
        <f aca="false">IF(A133="","",SUMIFS('Girdi — Faturalar ve tahsilat'!$R$2:$R$3001,'Girdi — Faturalar ve tahsilat'!$C$2:$C$3001,$A133,'Girdi — Faturalar ve tahsilat'!$T$2:$T$3001,$Z$5,'Girdi — Faturalar ve tahsilat'!$S$2:$S$3001,"1-30"))</f>
        <v/>
      </c>
      <c r="K133" s="13" t="str">
        <f aca="false">IF(A133="","",SUMIFS('Girdi — Faturalar ve tahsilat'!$R$2:$R$3001,'Girdi — Faturalar ve tahsilat'!$C$2:$C$3001,$A133,'Girdi — Faturalar ve tahsilat'!$T$2:$T$3001,$Z$5,'Girdi — Faturalar ve tahsilat'!$S$2:$S$3001,"31-60"))</f>
        <v/>
      </c>
      <c r="L133" s="13" t="str">
        <f aca="false">IF(A133="","",SUMIFS('Girdi — Faturalar ve tahsilat'!$R$2:$R$3001,'Girdi — Faturalar ve tahsilat'!$C$2:$C$3001,$A133,'Girdi — Faturalar ve tahsilat'!$T$2:$T$3001,$Z$5,'Girdi — Faturalar ve tahsilat'!$S$2:$S$3001,"61-90"))</f>
        <v/>
      </c>
      <c r="M133" s="13" t="str">
        <f aca="false">IF(A133="","",SUMIFS('Girdi — Faturalar ve tahsilat'!$R$2:$R$3001,'Girdi — Faturalar ve tahsilat'!$C$2:$C$3001,$A133,'Girdi — Faturalar ve tahsilat'!$T$2:$T$3001,$Z$5,'Girdi — Faturalar ve tahsilat'!$S$2:$S$3001,"90+"))</f>
        <v/>
      </c>
      <c r="N133" s="21" t="str">
        <f aca="false">IF(F133="","",RANK(F133,$F$17:$F$216,0)+COUNTIF($F$17:F133,F133)-1)</f>
        <v/>
      </c>
    </row>
    <row r="134" customFormat="false" ht="15" hidden="false" customHeight="false" outlineLevel="0" collapsed="false">
      <c r="A134" s="16" t="str">
        <f aca="false">IFERROR(INDEX('Girdi — Faturalar ve tahsilat'!$C$2:$C$3001,MATCH(118,'Girdi — Faturalar ve tahsilat'!$U$2:$U$3001,0)),"")</f>
        <v/>
      </c>
      <c r="B134" s="16" t="str">
        <f aca="false">IF(A134="","",INDEX('Girdi — Faturalar ve tahsilat'!$D$2:$D$3001,MATCH(118,'Girdi — Faturalar ve tahsilat'!$U$2:$U$3001,0)))</f>
        <v/>
      </c>
      <c r="C134" s="13" t="str">
        <f aca="false">IF(A134="","",SUMIFS('Girdi — Faturalar ve tahsilat'!$F$2:$F$3001,'Girdi — Faturalar ve tahsilat'!$C$2:$C$3001,$A134,'Girdi — Faturalar ve tahsilat'!$T$2:$T$3001,$Z$5))</f>
        <v/>
      </c>
      <c r="D134" s="15" t="str">
        <f aca="false">IF(OR(A134="",N(C134)=0),"",SUMIFS('Girdi — Faturalar ve tahsilat'!$P$2:$P$3001,'Girdi — Faturalar ve tahsilat'!$C$2:$C$3001,$A134,'Girdi — Faturalar ve tahsilat'!$T$2:$T$3001,$Z$5)/C134)</f>
        <v/>
      </c>
      <c r="E134" s="15" t="str">
        <f aca="false">IF(OR(A134="",N(C134)=0),"",SUMIFS('Girdi — Faturalar ve tahsilat'!$Q$2:$Q$3001,'Girdi — Faturalar ve tahsilat'!$C$2:$C$3001,$A134,'Girdi — Faturalar ve tahsilat'!$T$2:$T$3001,$Z$5)/C134)</f>
        <v/>
      </c>
      <c r="F134" s="20" t="str">
        <f aca="false">IF(D134="","",E134-D134)</f>
        <v/>
      </c>
      <c r="G134" s="13" t="str">
        <f aca="false">IF(F134="","",C134*$D$4*F134/365)</f>
        <v/>
      </c>
      <c r="H134" s="13" t="str">
        <f aca="false">IF(A134="","",SUMIFS('Girdi — Faturalar ve tahsilat'!$R$2:$R$3001,'Girdi — Faturalar ve tahsilat'!$C$2:$C$3001,$A134,'Girdi — Faturalar ve tahsilat'!$T$2:$T$3001,$Z$5))</f>
        <v/>
      </c>
      <c r="I134" s="13" t="str">
        <f aca="false">IF(A134="","",SUMIFS('Girdi — Faturalar ve tahsilat'!$R$2:$R$3001,'Girdi — Faturalar ve tahsilat'!$C$2:$C$3001,$A134,'Girdi — Faturalar ve tahsilat'!$T$2:$T$3001,$Z$5,'Girdi — Faturalar ve tahsilat'!$O$2:$O$3001,"&gt;0"))</f>
        <v/>
      </c>
      <c r="J134" s="13" t="str">
        <f aca="false">IF(A134="","",SUMIFS('Girdi — Faturalar ve tahsilat'!$R$2:$R$3001,'Girdi — Faturalar ve tahsilat'!$C$2:$C$3001,$A134,'Girdi — Faturalar ve tahsilat'!$T$2:$T$3001,$Z$5,'Girdi — Faturalar ve tahsilat'!$S$2:$S$3001,"1-30"))</f>
        <v/>
      </c>
      <c r="K134" s="13" t="str">
        <f aca="false">IF(A134="","",SUMIFS('Girdi — Faturalar ve tahsilat'!$R$2:$R$3001,'Girdi — Faturalar ve tahsilat'!$C$2:$C$3001,$A134,'Girdi — Faturalar ve tahsilat'!$T$2:$T$3001,$Z$5,'Girdi — Faturalar ve tahsilat'!$S$2:$S$3001,"31-60"))</f>
        <v/>
      </c>
      <c r="L134" s="13" t="str">
        <f aca="false">IF(A134="","",SUMIFS('Girdi — Faturalar ve tahsilat'!$R$2:$R$3001,'Girdi — Faturalar ve tahsilat'!$C$2:$C$3001,$A134,'Girdi — Faturalar ve tahsilat'!$T$2:$T$3001,$Z$5,'Girdi — Faturalar ve tahsilat'!$S$2:$S$3001,"61-90"))</f>
        <v/>
      </c>
      <c r="M134" s="13" t="str">
        <f aca="false">IF(A134="","",SUMIFS('Girdi — Faturalar ve tahsilat'!$R$2:$R$3001,'Girdi — Faturalar ve tahsilat'!$C$2:$C$3001,$A134,'Girdi — Faturalar ve tahsilat'!$T$2:$T$3001,$Z$5,'Girdi — Faturalar ve tahsilat'!$S$2:$S$3001,"90+"))</f>
        <v/>
      </c>
      <c r="N134" s="21" t="str">
        <f aca="false">IF(F134="","",RANK(F134,$F$17:$F$216,0)+COUNTIF($F$17:F134,F134)-1)</f>
        <v/>
      </c>
    </row>
    <row r="135" customFormat="false" ht="15" hidden="false" customHeight="false" outlineLevel="0" collapsed="false">
      <c r="A135" s="16" t="str">
        <f aca="false">IFERROR(INDEX('Girdi — Faturalar ve tahsilat'!$C$2:$C$3001,MATCH(119,'Girdi — Faturalar ve tahsilat'!$U$2:$U$3001,0)),"")</f>
        <v/>
      </c>
      <c r="B135" s="16" t="str">
        <f aca="false">IF(A135="","",INDEX('Girdi — Faturalar ve tahsilat'!$D$2:$D$3001,MATCH(119,'Girdi — Faturalar ve tahsilat'!$U$2:$U$3001,0)))</f>
        <v/>
      </c>
      <c r="C135" s="13" t="str">
        <f aca="false">IF(A135="","",SUMIFS('Girdi — Faturalar ve tahsilat'!$F$2:$F$3001,'Girdi — Faturalar ve tahsilat'!$C$2:$C$3001,$A135,'Girdi — Faturalar ve tahsilat'!$T$2:$T$3001,$Z$5))</f>
        <v/>
      </c>
      <c r="D135" s="15" t="str">
        <f aca="false">IF(OR(A135="",N(C135)=0),"",SUMIFS('Girdi — Faturalar ve tahsilat'!$P$2:$P$3001,'Girdi — Faturalar ve tahsilat'!$C$2:$C$3001,$A135,'Girdi — Faturalar ve tahsilat'!$T$2:$T$3001,$Z$5)/C135)</f>
        <v/>
      </c>
      <c r="E135" s="15" t="str">
        <f aca="false">IF(OR(A135="",N(C135)=0),"",SUMIFS('Girdi — Faturalar ve tahsilat'!$Q$2:$Q$3001,'Girdi — Faturalar ve tahsilat'!$C$2:$C$3001,$A135,'Girdi — Faturalar ve tahsilat'!$T$2:$T$3001,$Z$5)/C135)</f>
        <v/>
      </c>
      <c r="F135" s="20" t="str">
        <f aca="false">IF(D135="","",E135-D135)</f>
        <v/>
      </c>
      <c r="G135" s="13" t="str">
        <f aca="false">IF(F135="","",C135*$D$4*F135/365)</f>
        <v/>
      </c>
      <c r="H135" s="13" t="str">
        <f aca="false">IF(A135="","",SUMIFS('Girdi — Faturalar ve tahsilat'!$R$2:$R$3001,'Girdi — Faturalar ve tahsilat'!$C$2:$C$3001,$A135,'Girdi — Faturalar ve tahsilat'!$T$2:$T$3001,$Z$5))</f>
        <v/>
      </c>
      <c r="I135" s="13" t="str">
        <f aca="false">IF(A135="","",SUMIFS('Girdi — Faturalar ve tahsilat'!$R$2:$R$3001,'Girdi — Faturalar ve tahsilat'!$C$2:$C$3001,$A135,'Girdi — Faturalar ve tahsilat'!$T$2:$T$3001,$Z$5,'Girdi — Faturalar ve tahsilat'!$O$2:$O$3001,"&gt;0"))</f>
        <v/>
      </c>
      <c r="J135" s="13" t="str">
        <f aca="false">IF(A135="","",SUMIFS('Girdi — Faturalar ve tahsilat'!$R$2:$R$3001,'Girdi — Faturalar ve tahsilat'!$C$2:$C$3001,$A135,'Girdi — Faturalar ve tahsilat'!$T$2:$T$3001,$Z$5,'Girdi — Faturalar ve tahsilat'!$S$2:$S$3001,"1-30"))</f>
        <v/>
      </c>
      <c r="K135" s="13" t="str">
        <f aca="false">IF(A135="","",SUMIFS('Girdi — Faturalar ve tahsilat'!$R$2:$R$3001,'Girdi — Faturalar ve tahsilat'!$C$2:$C$3001,$A135,'Girdi — Faturalar ve tahsilat'!$T$2:$T$3001,$Z$5,'Girdi — Faturalar ve tahsilat'!$S$2:$S$3001,"31-60"))</f>
        <v/>
      </c>
      <c r="L135" s="13" t="str">
        <f aca="false">IF(A135="","",SUMIFS('Girdi — Faturalar ve tahsilat'!$R$2:$R$3001,'Girdi — Faturalar ve tahsilat'!$C$2:$C$3001,$A135,'Girdi — Faturalar ve tahsilat'!$T$2:$T$3001,$Z$5,'Girdi — Faturalar ve tahsilat'!$S$2:$S$3001,"61-90"))</f>
        <v/>
      </c>
      <c r="M135" s="13" t="str">
        <f aca="false">IF(A135="","",SUMIFS('Girdi — Faturalar ve tahsilat'!$R$2:$R$3001,'Girdi — Faturalar ve tahsilat'!$C$2:$C$3001,$A135,'Girdi — Faturalar ve tahsilat'!$T$2:$T$3001,$Z$5,'Girdi — Faturalar ve tahsilat'!$S$2:$S$3001,"90+"))</f>
        <v/>
      </c>
      <c r="N135" s="21" t="str">
        <f aca="false">IF(F135="","",RANK(F135,$F$17:$F$216,0)+COUNTIF($F$17:F135,F135)-1)</f>
        <v/>
      </c>
    </row>
    <row r="136" customFormat="false" ht="15" hidden="false" customHeight="false" outlineLevel="0" collapsed="false">
      <c r="A136" s="16" t="str">
        <f aca="false">IFERROR(INDEX('Girdi — Faturalar ve tahsilat'!$C$2:$C$3001,MATCH(120,'Girdi — Faturalar ve tahsilat'!$U$2:$U$3001,0)),"")</f>
        <v/>
      </c>
      <c r="B136" s="16" t="str">
        <f aca="false">IF(A136="","",INDEX('Girdi — Faturalar ve tahsilat'!$D$2:$D$3001,MATCH(120,'Girdi — Faturalar ve tahsilat'!$U$2:$U$3001,0)))</f>
        <v/>
      </c>
      <c r="C136" s="13" t="str">
        <f aca="false">IF(A136="","",SUMIFS('Girdi — Faturalar ve tahsilat'!$F$2:$F$3001,'Girdi — Faturalar ve tahsilat'!$C$2:$C$3001,$A136,'Girdi — Faturalar ve tahsilat'!$T$2:$T$3001,$Z$5))</f>
        <v/>
      </c>
      <c r="D136" s="15" t="str">
        <f aca="false">IF(OR(A136="",N(C136)=0),"",SUMIFS('Girdi — Faturalar ve tahsilat'!$P$2:$P$3001,'Girdi — Faturalar ve tahsilat'!$C$2:$C$3001,$A136,'Girdi — Faturalar ve tahsilat'!$T$2:$T$3001,$Z$5)/C136)</f>
        <v/>
      </c>
      <c r="E136" s="15" t="str">
        <f aca="false">IF(OR(A136="",N(C136)=0),"",SUMIFS('Girdi — Faturalar ve tahsilat'!$Q$2:$Q$3001,'Girdi — Faturalar ve tahsilat'!$C$2:$C$3001,$A136,'Girdi — Faturalar ve tahsilat'!$T$2:$T$3001,$Z$5)/C136)</f>
        <v/>
      </c>
      <c r="F136" s="20" t="str">
        <f aca="false">IF(D136="","",E136-D136)</f>
        <v/>
      </c>
      <c r="G136" s="13" t="str">
        <f aca="false">IF(F136="","",C136*$D$4*F136/365)</f>
        <v/>
      </c>
      <c r="H136" s="13" t="str">
        <f aca="false">IF(A136="","",SUMIFS('Girdi — Faturalar ve tahsilat'!$R$2:$R$3001,'Girdi — Faturalar ve tahsilat'!$C$2:$C$3001,$A136,'Girdi — Faturalar ve tahsilat'!$T$2:$T$3001,$Z$5))</f>
        <v/>
      </c>
      <c r="I136" s="13" t="str">
        <f aca="false">IF(A136="","",SUMIFS('Girdi — Faturalar ve tahsilat'!$R$2:$R$3001,'Girdi — Faturalar ve tahsilat'!$C$2:$C$3001,$A136,'Girdi — Faturalar ve tahsilat'!$T$2:$T$3001,$Z$5,'Girdi — Faturalar ve tahsilat'!$O$2:$O$3001,"&gt;0"))</f>
        <v/>
      </c>
      <c r="J136" s="13" t="str">
        <f aca="false">IF(A136="","",SUMIFS('Girdi — Faturalar ve tahsilat'!$R$2:$R$3001,'Girdi — Faturalar ve tahsilat'!$C$2:$C$3001,$A136,'Girdi — Faturalar ve tahsilat'!$T$2:$T$3001,$Z$5,'Girdi — Faturalar ve tahsilat'!$S$2:$S$3001,"1-30"))</f>
        <v/>
      </c>
      <c r="K136" s="13" t="str">
        <f aca="false">IF(A136="","",SUMIFS('Girdi — Faturalar ve tahsilat'!$R$2:$R$3001,'Girdi — Faturalar ve tahsilat'!$C$2:$C$3001,$A136,'Girdi — Faturalar ve tahsilat'!$T$2:$T$3001,$Z$5,'Girdi — Faturalar ve tahsilat'!$S$2:$S$3001,"31-60"))</f>
        <v/>
      </c>
      <c r="L136" s="13" t="str">
        <f aca="false">IF(A136="","",SUMIFS('Girdi — Faturalar ve tahsilat'!$R$2:$R$3001,'Girdi — Faturalar ve tahsilat'!$C$2:$C$3001,$A136,'Girdi — Faturalar ve tahsilat'!$T$2:$T$3001,$Z$5,'Girdi — Faturalar ve tahsilat'!$S$2:$S$3001,"61-90"))</f>
        <v/>
      </c>
      <c r="M136" s="13" t="str">
        <f aca="false">IF(A136="","",SUMIFS('Girdi — Faturalar ve tahsilat'!$R$2:$R$3001,'Girdi — Faturalar ve tahsilat'!$C$2:$C$3001,$A136,'Girdi — Faturalar ve tahsilat'!$T$2:$T$3001,$Z$5,'Girdi — Faturalar ve tahsilat'!$S$2:$S$3001,"90+"))</f>
        <v/>
      </c>
      <c r="N136" s="21" t="str">
        <f aca="false">IF(F136="","",RANK(F136,$F$17:$F$216,0)+COUNTIF($F$17:F136,F136)-1)</f>
        <v/>
      </c>
    </row>
    <row r="137" customFormat="false" ht="15" hidden="false" customHeight="false" outlineLevel="0" collapsed="false">
      <c r="A137" s="16" t="str">
        <f aca="false">IFERROR(INDEX('Girdi — Faturalar ve tahsilat'!$C$2:$C$3001,MATCH(121,'Girdi — Faturalar ve tahsilat'!$U$2:$U$3001,0)),"")</f>
        <v/>
      </c>
      <c r="B137" s="16" t="str">
        <f aca="false">IF(A137="","",INDEX('Girdi — Faturalar ve tahsilat'!$D$2:$D$3001,MATCH(121,'Girdi — Faturalar ve tahsilat'!$U$2:$U$3001,0)))</f>
        <v/>
      </c>
      <c r="C137" s="13" t="str">
        <f aca="false">IF(A137="","",SUMIFS('Girdi — Faturalar ve tahsilat'!$F$2:$F$3001,'Girdi — Faturalar ve tahsilat'!$C$2:$C$3001,$A137,'Girdi — Faturalar ve tahsilat'!$T$2:$T$3001,$Z$5))</f>
        <v/>
      </c>
      <c r="D137" s="15" t="str">
        <f aca="false">IF(OR(A137="",N(C137)=0),"",SUMIFS('Girdi — Faturalar ve tahsilat'!$P$2:$P$3001,'Girdi — Faturalar ve tahsilat'!$C$2:$C$3001,$A137,'Girdi — Faturalar ve tahsilat'!$T$2:$T$3001,$Z$5)/C137)</f>
        <v/>
      </c>
      <c r="E137" s="15" t="str">
        <f aca="false">IF(OR(A137="",N(C137)=0),"",SUMIFS('Girdi — Faturalar ve tahsilat'!$Q$2:$Q$3001,'Girdi — Faturalar ve tahsilat'!$C$2:$C$3001,$A137,'Girdi — Faturalar ve tahsilat'!$T$2:$T$3001,$Z$5)/C137)</f>
        <v/>
      </c>
      <c r="F137" s="20" t="str">
        <f aca="false">IF(D137="","",E137-D137)</f>
        <v/>
      </c>
      <c r="G137" s="13" t="str">
        <f aca="false">IF(F137="","",C137*$D$4*F137/365)</f>
        <v/>
      </c>
      <c r="H137" s="13" t="str">
        <f aca="false">IF(A137="","",SUMIFS('Girdi — Faturalar ve tahsilat'!$R$2:$R$3001,'Girdi — Faturalar ve tahsilat'!$C$2:$C$3001,$A137,'Girdi — Faturalar ve tahsilat'!$T$2:$T$3001,$Z$5))</f>
        <v/>
      </c>
      <c r="I137" s="13" t="str">
        <f aca="false">IF(A137="","",SUMIFS('Girdi — Faturalar ve tahsilat'!$R$2:$R$3001,'Girdi — Faturalar ve tahsilat'!$C$2:$C$3001,$A137,'Girdi — Faturalar ve tahsilat'!$T$2:$T$3001,$Z$5,'Girdi — Faturalar ve tahsilat'!$O$2:$O$3001,"&gt;0"))</f>
        <v/>
      </c>
      <c r="J137" s="13" t="str">
        <f aca="false">IF(A137="","",SUMIFS('Girdi — Faturalar ve tahsilat'!$R$2:$R$3001,'Girdi — Faturalar ve tahsilat'!$C$2:$C$3001,$A137,'Girdi — Faturalar ve tahsilat'!$T$2:$T$3001,$Z$5,'Girdi — Faturalar ve tahsilat'!$S$2:$S$3001,"1-30"))</f>
        <v/>
      </c>
      <c r="K137" s="13" t="str">
        <f aca="false">IF(A137="","",SUMIFS('Girdi — Faturalar ve tahsilat'!$R$2:$R$3001,'Girdi — Faturalar ve tahsilat'!$C$2:$C$3001,$A137,'Girdi — Faturalar ve tahsilat'!$T$2:$T$3001,$Z$5,'Girdi — Faturalar ve tahsilat'!$S$2:$S$3001,"31-60"))</f>
        <v/>
      </c>
      <c r="L137" s="13" t="str">
        <f aca="false">IF(A137="","",SUMIFS('Girdi — Faturalar ve tahsilat'!$R$2:$R$3001,'Girdi — Faturalar ve tahsilat'!$C$2:$C$3001,$A137,'Girdi — Faturalar ve tahsilat'!$T$2:$T$3001,$Z$5,'Girdi — Faturalar ve tahsilat'!$S$2:$S$3001,"61-90"))</f>
        <v/>
      </c>
      <c r="M137" s="13" t="str">
        <f aca="false">IF(A137="","",SUMIFS('Girdi — Faturalar ve tahsilat'!$R$2:$R$3001,'Girdi — Faturalar ve tahsilat'!$C$2:$C$3001,$A137,'Girdi — Faturalar ve tahsilat'!$T$2:$T$3001,$Z$5,'Girdi — Faturalar ve tahsilat'!$S$2:$S$3001,"90+"))</f>
        <v/>
      </c>
      <c r="N137" s="21" t="str">
        <f aca="false">IF(F137="","",RANK(F137,$F$17:$F$216,0)+COUNTIF($F$17:F137,F137)-1)</f>
        <v/>
      </c>
    </row>
    <row r="138" customFormat="false" ht="15" hidden="false" customHeight="false" outlineLevel="0" collapsed="false">
      <c r="A138" s="16" t="str">
        <f aca="false">IFERROR(INDEX('Girdi — Faturalar ve tahsilat'!$C$2:$C$3001,MATCH(122,'Girdi — Faturalar ve tahsilat'!$U$2:$U$3001,0)),"")</f>
        <v/>
      </c>
      <c r="B138" s="16" t="str">
        <f aca="false">IF(A138="","",INDEX('Girdi — Faturalar ve tahsilat'!$D$2:$D$3001,MATCH(122,'Girdi — Faturalar ve tahsilat'!$U$2:$U$3001,0)))</f>
        <v/>
      </c>
      <c r="C138" s="13" t="str">
        <f aca="false">IF(A138="","",SUMIFS('Girdi — Faturalar ve tahsilat'!$F$2:$F$3001,'Girdi — Faturalar ve tahsilat'!$C$2:$C$3001,$A138,'Girdi — Faturalar ve tahsilat'!$T$2:$T$3001,$Z$5))</f>
        <v/>
      </c>
      <c r="D138" s="15" t="str">
        <f aca="false">IF(OR(A138="",N(C138)=0),"",SUMIFS('Girdi — Faturalar ve tahsilat'!$P$2:$P$3001,'Girdi — Faturalar ve tahsilat'!$C$2:$C$3001,$A138,'Girdi — Faturalar ve tahsilat'!$T$2:$T$3001,$Z$5)/C138)</f>
        <v/>
      </c>
      <c r="E138" s="15" t="str">
        <f aca="false">IF(OR(A138="",N(C138)=0),"",SUMIFS('Girdi — Faturalar ve tahsilat'!$Q$2:$Q$3001,'Girdi — Faturalar ve tahsilat'!$C$2:$C$3001,$A138,'Girdi — Faturalar ve tahsilat'!$T$2:$T$3001,$Z$5)/C138)</f>
        <v/>
      </c>
      <c r="F138" s="20" t="str">
        <f aca="false">IF(D138="","",E138-D138)</f>
        <v/>
      </c>
      <c r="G138" s="13" t="str">
        <f aca="false">IF(F138="","",C138*$D$4*F138/365)</f>
        <v/>
      </c>
      <c r="H138" s="13" t="str">
        <f aca="false">IF(A138="","",SUMIFS('Girdi — Faturalar ve tahsilat'!$R$2:$R$3001,'Girdi — Faturalar ve tahsilat'!$C$2:$C$3001,$A138,'Girdi — Faturalar ve tahsilat'!$T$2:$T$3001,$Z$5))</f>
        <v/>
      </c>
      <c r="I138" s="13" t="str">
        <f aca="false">IF(A138="","",SUMIFS('Girdi — Faturalar ve tahsilat'!$R$2:$R$3001,'Girdi — Faturalar ve tahsilat'!$C$2:$C$3001,$A138,'Girdi — Faturalar ve tahsilat'!$T$2:$T$3001,$Z$5,'Girdi — Faturalar ve tahsilat'!$O$2:$O$3001,"&gt;0"))</f>
        <v/>
      </c>
      <c r="J138" s="13" t="str">
        <f aca="false">IF(A138="","",SUMIFS('Girdi — Faturalar ve tahsilat'!$R$2:$R$3001,'Girdi — Faturalar ve tahsilat'!$C$2:$C$3001,$A138,'Girdi — Faturalar ve tahsilat'!$T$2:$T$3001,$Z$5,'Girdi — Faturalar ve tahsilat'!$S$2:$S$3001,"1-30"))</f>
        <v/>
      </c>
      <c r="K138" s="13" t="str">
        <f aca="false">IF(A138="","",SUMIFS('Girdi — Faturalar ve tahsilat'!$R$2:$R$3001,'Girdi — Faturalar ve tahsilat'!$C$2:$C$3001,$A138,'Girdi — Faturalar ve tahsilat'!$T$2:$T$3001,$Z$5,'Girdi — Faturalar ve tahsilat'!$S$2:$S$3001,"31-60"))</f>
        <v/>
      </c>
      <c r="L138" s="13" t="str">
        <f aca="false">IF(A138="","",SUMIFS('Girdi — Faturalar ve tahsilat'!$R$2:$R$3001,'Girdi — Faturalar ve tahsilat'!$C$2:$C$3001,$A138,'Girdi — Faturalar ve tahsilat'!$T$2:$T$3001,$Z$5,'Girdi — Faturalar ve tahsilat'!$S$2:$S$3001,"61-90"))</f>
        <v/>
      </c>
      <c r="M138" s="13" t="str">
        <f aca="false">IF(A138="","",SUMIFS('Girdi — Faturalar ve tahsilat'!$R$2:$R$3001,'Girdi — Faturalar ve tahsilat'!$C$2:$C$3001,$A138,'Girdi — Faturalar ve tahsilat'!$T$2:$T$3001,$Z$5,'Girdi — Faturalar ve tahsilat'!$S$2:$S$3001,"90+"))</f>
        <v/>
      </c>
      <c r="N138" s="21" t="str">
        <f aca="false">IF(F138="","",RANK(F138,$F$17:$F$216,0)+COUNTIF($F$17:F138,F138)-1)</f>
        <v/>
      </c>
    </row>
    <row r="139" customFormat="false" ht="15" hidden="false" customHeight="false" outlineLevel="0" collapsed="false">
      <c r="A139" s="16" t="str">
        <f aca="false">IFERROR(INDEX('Girdi — Faturalar ve tahsilat'!$C$2:$C$3001,MATCH(123,'Girdi — Faturalar ve tahsilat'!$U$2:$U$3001,0)),"")</f>
        <v/>
      </c>
      <c r="B139" s="16" t="str">
        <f aca="false">IF(A139="","",INDEX('Girdi — Faturalar ve tahsilat'!$D$2:$D$3001,MATCH(123,'Girdi — Faturalar ve tahsilat'!$U$2:$U$3001,0)))</f>
        <v/>
      </c>
      <c r="C139" s="13" t="str">
        <f aca="false">IF(A139="","",SUMIFS('Girdi — Faturalar ve tahsilat'!$F$2:$F$3001,'Girdi — Faturalar ve tahsilat'!$C$2:$C$3001,$A139,'Girdi — Faturalar ve tahsilat'!$T$2:$T$3001,$Z$5))</f>
        <v/>
      </c>
      <c r="D139" s="15" t="str">
        <f aca="false">IF(OR(A139="",N(C139)=0),"",SUMIFS('Girdi — Faturalar ve tahsilat'!$P$2:$P$3001,'Girdi — Faturalar ve tahsilat'!$C$2:$C$3001,$A139,'Girdi — Faturalar ve tahsilat'!$T$2:$T$3001,$Z$5)/C139)</f>
        <v/>
      </c>
      <c r="E139" s="15" t="str">
        <f aca="false">IF(OR(A139="",N(C139)=0),"",SUMIFS('Girdi — Faturalar ve tahsilat'!$Q$2:$Q$3001,'Girdi — Faturalar ve tahsilat'!$C$2:$C$3001,$A139,'Girdi — Faturalar ve tahsilat'!$T$2:$T$3001,$Z$5)/C139)</f>
        <v/>
      </c>
      <c r="F139" s="20" t="str">
        <f aca="false">IF(D139="","",E139-D139)</f>
        <v/>
      </c>
      <c r="G139" s="13" t="str">
        <f aca="false">IF(F139="","",C139*$D$4*F139/365)</f>
        <v/>
      </c>
      <c r="H139" s="13" t="str">
        <f aca="false">IF(A139="","",SUMIFS('Girdi — Faturalar ve tahsilat'!$R$2:$R$3001,'Girdi — Faturalar ve tahsilat'!$C$2:$C$3001,$A139,'Girdi — Faturalar ve tahsilat'!$T$2:$T$3001,$Z$5))</f>
        <v/>
      </c>
      <c r="I139" s="13" t="str">
        <f aca="false">IF(A139="","",SUMIFS('Girdi — Faturalar ve tahsilat'!$R$2:$R$3001,'Girdi — Faturalar ve tahsilat'!$C$2:$C$3001,$A139,'Girdi — Faturalar ve tahsilat'!$T$2:$T$3001,$Z$5,'Girdi — Faturalar ve tahsilat'!$O$2:$O$3001,"&gt;0"))</f>
        <v/>
      </c>
      <c r="J139" s="13" t="str">
        <f aca="false">IF(A139="","",SUMIFS('Girdi — Faturalar ve tahsilat'!$R$2:$R$3001,'Girdi — Faturalar ve tahsilat'!$C$2:$C$3001,$A139,'Girdi — Faturalar ve tahsilat'!$T$2:$T$3001,$Z$5,'Girdi — Faturalar ve tahsilat'!$S$2:$S$3001,"1-30"))</f>
        <v/>
      </c>
      <c r="K139" s="13" t="str">
        <f aca="false">IF(A139="","",SUMIFS('Girdi — Faturalar ve tahsilat'!$R$2:$R$3001,'Girdi — Faturalar ve tahsilat'!$C$2:$C$3001,$A139,'Girdi — Faturalar ve tahsilat'!$T$2:$T$3001,$Z$5,'Girdi — Faturalar ve tahsilat'!$S$2:$S$3001,"31-60"))</f>
        <v/>
      </c>
      <c r="L139" s="13" t="str">
        <f aca="false">IF(A139="","",SUMIFS('Girdi — Faturalar ve tahsilat'!$R$2:$R$3001,'Girdi — Faturalar ve tahsilat'!$C$2:$C$3001,$A139,'Girdi — Faturalar ve tahsilat'!$T$2:$T$3001,$Z$5,'Girdi — Faturalar ve tahsilat'!$S$2:$S$3001,"61-90"))</f>
        <v/>
      </c>
      <c r="M139" s="13" t="str">
        <f aca="false">IF(A139="","",SUMIFS('Girdi — Faturalar ve tahsilat'!$R$2:$R$3001,'Girdi — Faturalar ve tahsilat'!$C$2:$C$3001,$A139,'Girdi — Faturalar ve tahsilat'!$T$2:$T$3001,$Z$5,'Girdi — Faturalar ve tahsilat'!$S$2:$S$3001,"90+"))</f>
        <v/>
      </c>
      <c r="N139" s="21" t="str">
        <f aca="false">IF(F139="","",RANK(F139,$F$17:$F$216,0)+COUNTIF($F$17:F139,F139)-1)</f>
        <v/>
      </c>
    </row>
    <row r="140" customFormat="false" ht="15" hidden="false" customHeight="false" outlineLevel="0" collapsed="false">
      <c r="A140" s="16" t="str">
        <f aca="false">IFERROR(INDEX('Girdi — Faturalar ve tahsilat'!$C$2:$C$3001,MATCH(124,'Girdi — Faturalar ve tahsilat'!$U$2:$U$3001,0)),"")</f>
        <v/>
      </c>
      <c r="B140" s="16" t="str">
        <f aca="false">IF(A140="","",INDEX('Girdi — Faturalar ve tahsilat'!$D$2:$D$3001,MATCH(124,'Girdi — Faturalar ve tahsilat'!$U$2:$U$3001,0)))</f>
        <v/>
      </c>
      <c r="C140" s="13" t="str">
        <f aca="false">IF(A140="","",SUMIFS('Girdi — Faturalar ve tahsilat'!$F$2:$F$3001,'Girdi — Faturalar ve tahsilat'!$C$2:$C$3001,$A140,'Girdi — Faturalar ve tahsilat'!$T$2:$T$3001,$Z$5))</f>
        <v/>
      </c>
      <c r="D140" s="15" t="str">
        <f aca="false">IF(OR(A140="",N(C140)=0),"",SUMIFS('Girdi — Faturalar ve tahsilat'!$P$2:$P$3001,'Girdi — Faturalar ve tahsilat'!$C$2:$C$3001,$A140,'Girdi — Faturalar ve tahsilat'!$T$2:$T$3001,$Z$5)/C140)</f>
        <v/>
      </c>
      <c r="E140" s="15" t="str">
        <f aca="false">IF(OR(A140="",N(C140)=0),"",SUMIFS('Girdi — Faturalar ve tahsilat'!$Q$2:$Q$3001,'Girdi — Faturalar ve tahsilat'!$C$2:$C$3001,$A140,'Girdi — Faturalar ve tahsilat'!$T$2:$T$3001,$Z$5)/C140)</f>
        <v/>
      </c>
      <c r="F140" s="20" t="str">
        <f aca="false">IF(D140="","",E140-D140)</f>
        <v/>
      </c>
      <c r="G140" s="13" t="str">
        <f aca="false">IF(F140="","",C140*$D$4*F140/365)</f>
        <v/>
      </c>
      <c r="H140" s="13" t="str">
        <f aca="false">IF(A140="","",SUMIFS('Girdi — Faturalar ve tahsilat'!$R$2:$R$3001,'Girdi — Faturalar ve tahsilat'!$C$2:$C$3001,$A140,'Girdi — Faturalar ve tahsilat'!$T$2:$T$3001,$Z$5))</f>
        <v/>
      </c>
      <c r="I140" s="13" t="str">
        <f aca="false">IF(A140="","",SUMIFS('Girdi — Faturalar ve tahsilat'!$R$2:$R$3001,'Girdi — Faturalar ve tahsilat'!$C$2:$C$3001,$A140,'Girdi — Faturalar ve tahsilat'!$T$2:$T$3001,$Z$5,'Girdi — Faturalar ve tahsilat'!$O$2:$O$3001,"&gt;0"))</f>
        <v/>
      </c>
      <c r="J140" s="13" t="str">
        <f aca="false">IF(A140="","",SUMIFS('Girdi — Faturalar ve tahsilat'!$R$2:$R$3001,'Girdi — Faturalar ve tahsilat'!$C$2:$C$3001,$A140,'Girdi — Faturalar ve tahsilat'!$T$2:$T$3001,$Z$5,'Girdi — Faturalar ve tahsilat'!$S$2:$S$3001,"1-30"))</f>
        <v/>
      </c>
      <c r="K140" s="13" t="str">
        <f aca="false">IF(A140="","",SUMIFS('Girdi — Faturalar ve tahsilat'!$R$2:$R$3001,'Girdi — Faturalar ve tahsilat'!$C$2:$C$3001,$A140,'Girdi — Faturalar ve tahsilat'!$T$2:$T$3001,$Z$5,'Girdi — Faturalar ve tahsilat'!$S$2:$S$3001,"31-60"))</f>
        <v/>
      </c>
      <c r="L140" s="13" t="str">
        <f aca="false">IF(A140="","",SUMIFS('Girdi — Faturalar ve tahsilat'!$R$2:$R$3001,'Girdi — Faturalar ve tahsilat'!$C$2:$C$3001,$A140,'Girdi — Faturalar ve tahsilat'!$T$2:$T$3001,$Z$5,'Girdi — Faturalar ve tahsilat'!$S$2:$S$3001,"61-90"))</f>
        <v/>
      </c>
      <c r="M140" s="13" t="str">
        <f aca="false">IF(A140="","",SUMIFS('Girdi — Faturalar ve tahsilat'!$R$2:$R$3001,'Girdi — Faturalar ve tahsilat'!$C$2:$C$3001,$A140,'Girdi — Faturalar ve tahsilat'!$T$2:$T$3001,$Z$5,'Girdi — Faturalar ve tahsilat'!$S$2:$S$3001,"90+"))</f>
        <v/>
      </c>
      <c r="N140" s="21" t="str">
        <f aca="false">IF(F140="","",RANK(F140,$F$17:$F$216,0)+COUNTIF($F$17:F140,F140)-1)</f>
        <v/>
      </c>
    </row>
    <row r="141" customFormat="false" ht="15" hidden="false" customHeight="false" outlineLevel="0" collapsed="false">
      <c r="A141" s="16" t="str">
        <f aca="false">IFERROR(INDEX('Girdi — Faturalar ve tahsilat'!$C$2:$C$3001,MATCH(125,'Girdi — Faturalar ve tahsilat'!$U$2:$U$3001,0)),"")</f>
        <v/>
      </c>
      <c r="B141" s="16" t="str">
        <f aca="false">IF(A141="","",INDEX('Girdi — Faturalar ve tahsilat'!$D$2:$D$3001,MATCH(125,'Girdi — Faturalar ve tahsilat'!$U$2:$U$3001,0)))</f>
        <v/>
      </c>
      <c r="C141" s="13" t="str">
        <f aca="false">IF(A141="","",SUMIFS('Girdi — Faturalar ve tahsilat'!$F$2:$F$3001,'Girdi — Faturalar ve tahsilat'!$C$2:$C$3001,$A141,'Girdi — Faturalar ve tahsilat'!$T$2:$T$3001,$Z$5))</f>
        <v/>
      </c>
      <c r="D141" s="15" t="str">
        <f aca="false">IF(OR(A141="",N(C141)=0),"",SUMIFS('Girdi — Faturalar ve tahsilat'!$P$2:$P$3001,'Girdi — Faturalar ve tahsilat'!$C$2:$C$3001,$A141,'Girdi — Faturalar ve tahsilat'!$T$2:$T$3001,$Z$5)/C141)</f>
        <v/>
      </c>
      <c r="E141" s="15" t="str">
        <f aca="false">IF(OR(A141="",N(C141)=0),"",SUMIFS('Girdi — Faturalar ve tahsilat'!$Q$2:$Q$3001,'Girdi — Faturalar ve tahsilat'!$C$2:$C$3001,$A141,'Girdi — Faturalar ve tahsilat'!$T$2:$T$3001,$Z$5)/C141)</f>
        <v/>
      </c>
      <c r="F141" s="20" t="str">
        <f aca="false">IF(D141="","",E141-D141)</f>
        <v/>
      </c>
      <c r="G141" s="13" t="str">
        <f aca="false">IF(F141="","",C141*$D$4*F141/365)</f>
        <v/>
      </c>
      <c r="H141" s="13" t="str">
        <f aca="false">IF(A141="","",SUMIFS('Girdi — Faturalar ve tahsilat'!$R$2:$R$3001,'Girdi — Faturalar ve tahsilat'!$C$2:$C$3001,$A141,'Girdi — Faturalar ve tahsilat'!$T$2:$T$3001,$Z$5))</f>
        <v/>
      </c>
      <c r="I141" s="13" t="str">
        <f aca="false">IF(A141="","",SUMIFS('Girdi — Faturalar ve tahsilat'!$R$2:$R$3001,'Girdi — Faturalar ve tahsilat'!$C$2:$C$3001,$A141,'Girdi — Faturalar ve tahsilat'!$T$2:$T$3001,$Z$5,'Girdi — Faturalar ve tahsilat'!$O$2:$O$3001,"&gt;0"))</f>
        <v/>
      </c>
      <c r="J141" s="13" t="str">
        <f aca="false">IF(A141="","",SUMIFS('Girdi — Faturalar ve tahsilat'!$R$2:$R$3001,'Girdi — Faturalar ve tahsilat'!$C$2:$C$3001,$A141,'Girdi — Faturalar ve tahsilat'!$T$2:$T$3001,$Z$5,'Girdi — Faturalar ve tahsilat'!$S$2:$S$3001,"1-30"))</f>
        <v/>
      </c>
      <c r="K141" s="13" t="str">
        <f aca="false">IF(A141="","",SUMIFS('Girdi — Faturalar ve tahsilat'!$R$2:$R$3001,'Girdi — Faturalar ve tahsilat'!$C$2:$C$3001,$A141,'Girdi — Faturalar ve tahsilat'!$T$2:$T$3001,$Z$5,'Girdi — Faturalar ve tahsilat'!$S$2:$S$3001,"31-60"))</f>
        <v/>
      </c>
      <c r="L141" s="13" t="str">
        <f aca="false">IF(A141="","",SUMIFS('Girdi — Faturalar ve tahsilat'!$R$2:$R$3001,'Girdi — Faturalar ve tahsilat'!$C$2:$C$3001,$A141,'Girdi — Faturalar ve tahsilat'!$T$2:$T$3001,$Z$5,'Girdi — Faturalar ve tahsilat'!$S$2:$S$3001,"61-90"))</f>
        <v/>
      </c>
      <c r="M141" s="13" t="str">
        <f aca="false">IF(A141="","",SUMIFS('Girdi — Faturalar ve tahsilat'!$R$2:$R$3001,'Girdi — Faturalar ve tahsilat'!$C$2:$C$3001,$A141,'Girdi — Faturalar ve tahsilat'!$T$2:$T$3001,$Z$5,'Girdi — Faturalar ve tahsilat'!$S$2:$S$3001,"90+"))</f>
        <v/>
      </c>
      <c r="N141" s="21" t="str">
        <f aca="false">IF(F141="","",RANK(F141,$F$17:$F$216,0)+COUNTIF($F$17:F141,F141)-1)</f>
        <v/>
      </c>
    </row>
    <row r="142" customFormat="false" ht="15" hidden="false" customHeight="false" outlineLevel="0" collapsed="false">
      <c r="A142" s="16" t="str">
        <f aca="false">IFERROR(INDEX('Girdi — Faturalar ve tahsilat'!$C$2:$C$3001,MATCH(126,'Girdi — Faturalar ve tahsilat'!$U$2:$U$3001,0)),"")</f>
        <v/>
      </c>
      <c r="B142" s="16" t="str">
        <f aca="false">IF(A142="","",INDEX('Girdi — Faturalar ve tahsilat'!$D$2:$D$3001,MATCH(126,'Girdi — Faturalar ve tahsilat'!$U$2:$U$3001,0)))</f>
        <v/>
      </c>
      <c r="C142" s="13" t="str">
        <f aca="false">IF(A142="","",SUMIFS('Girdi — Faturalar ve tahsilat'!$F$2:$F$3001,'Girdi — Faturalar ve tahsilat'!$C$2:$C$3001,$A142,'Girdi — Faturalar ve tahsilat'!$T$2:$T$3001,$Z$5))</f>
        <v/>
      </c>
      <c r="D142" s="15" t="str">
        <f aca="false">IF(OR(A142="",N(C142)=0),"",SUMIFS('Girdi — Faturalar ve tahsilat'!$P$2:$P$3001,'Girdi — Faturalar ve tahsilat'!$C$2:$C$3001,$A142,'Girdi — Faturalar ve tahsilat'!$T$2:$T$3001,$Z$5)/C142)</f>
        <v/>
      </c>
      <c r="E142" s="15" t="str">
        <f aca="false">IF(OR(A142="",N(C142)=0),"",SUMIFS('Girdi — Faturalar ve tahsilat'!$Q$2:$Q$3001,'Girdi — Faturalar ve tahsilat'!$C$2:$C$3001,$A142,'Girdi — Faturalar ve tahsilat'!$T$2:$T$3001,$Z$5)/C142)</f>
        <v/>
      </c>
      <c r="F142" s="20" t="str">
        <f aca="false">IF(D142="","",E142-D142)</f>
        <v/>
      </c>
      <c r="G142" s="13" t="str">
        <f aca="false">IF(F142="","",C142*$D$4*F142/365)</f>
        <v/>
      </c>
      <c r="H142" s="13" t="str">
        <f aca="false">IF(A142="","",SUMIFS('Girdi — Faturalar ve tahsilat'!$R$2:$R$3001,'Girdi — Faturalar ve tahsilat'!$C$2:$C$3001,$A142,'Girdi — Faturalar ve tahsilat'!$T$2:$T$3001,$Z$5))</f>
        <v/>
      </c>
      <c r="I142" s="13" t="str">
        <f aca="false">IF(A142="","",SUMIFS('Girdi — Faturalar ve tahsilat'!$R$2:$R$3001,'Girdi — Faturalar ve tahsilat'!$C$2:$C$3001,$A142,'Girdi — Faturalar ve tahsilat'!$T$2:$T$3001,$Z$5,'Girdi — Faturalar ve tahsilat'!$O$2:$O$3001,"&gt;0"))</f>
        <v/>
      </c>
      <c r="J142" s="13" t="str">
        <f aca="false">IF(A142="","",SUMIFS('Girdi — Faturalar ve tahsilat'!$R$2:$R$3001,'Girdi — Faturalar ve tahsilat'!$C$2:$C$3001,$A142,'Girdi — Faturalar ve tahsilat'!$T$2:$T$3001,$Z$5,'Girdi — Faturalar ve tahsilat'!$S$2:$S$3001,"1-30"))</f>
        <v/>
      </c>
      <c r="K142" s="13" t="str">
        <f aca="false">IF(A142="","",SUMIFS('Girdi — Faturalar ve tahsilat'!$R$2:$R$3001,'Girdi — Faturalar ve tahsilat'!$C$2:$C$3001,$A142,'Girdi — Faturalar ve tahsilat'!$T$2:$T$3001,$Z$5,'Girdi — Faturalar ve tahsilat'!$S$2:$S$3001,"31-60"))</f>
        <v/>
      </c>
      <c r="L142" s="13" t="str">
        <f aca="false">IF(A142="","",SUMIFS('Girdi — Faturalar ve tahsilat'!$R$2:$R$3001,'Girdi — Faturalar ve tahsilat'!$C$2:$C$3001,$A142,'Girdi — Faturalar ve tahsilat'!$T$2:$T$3001,$Z$5,'Girdi — Faturalar ve tahsilat'!$S$2:$S$3001,"61-90"))</f>
        <v/>
      </c>
      <c r="M142" s="13" t="str">
        <f aca="false">IF(A142="","",SUMIFS('Girdi — Faturalar ve tahsilat'!$R$2:$R$3001,'Girdi — Faturalar ve tahsilat'!$C$2:$C$3001,$A142,'Girdi — Faturalar ve tahsilat'!$T$2:$T$3001,$Z$5,'Girdi — Faturalar ve tahsilat'!$S$2:$S$3001,"90+"))</f>
        <v/>
      </c>
      <c r="N142" s="21" t="str">
        <f aca="false">IF(F142="","",RANK(F142,$F$17:$F$216,0)+COUNTIF($F$17:F142,F142)-1)</f>
        <v/>
      </c>
    </row>
    <row r="143" customFormat="false" ht="15" hidden="false" customHeight="false" outlineLevel="0" collapsed="false">
      <c r="A143" s="16" t="str">
        <f aca="false">IFERROR(INDEX('Girdi — Faturalar ve tahsilat'!$C$2:$C$3001,MATCH(127,'Girdi — Faturalar ve tahsilat'!$U$2:$U$3001,0)),"")</f>
        <v/>
      </c>
      <c r="B143" s="16" t="str">
        <f aca="false">IF(A143="","",INDEX('Girdi — Faturalar ve tahsilat'!$D$2:$D$3001,MATCH(127,'Girdi — Faturalar ve tahsilat'!$U$2:$U$3001,0)))</f>
        <v/>
      </c>
      <c r="C143" s="13" t="str">
        <f aca="false">IF(A143="","",SUMIFS('Girdi — Faturalar ve tahsilat'!$F$2:$F$3001,'Girdi — Faturalar ve tahsilat'!$C$2:$C$3001,$A143,'Girdi — Faturalar ve tahsilat'!$T$2:$T$3001,$Z$5))</f>
        <v/>
      </c>
      <c r="D143" s="15" t="str">
        <f aca="false">IF(OR(A143="",N(C143)=0),"",SUMIFS('Girdi — Faturalar ve tahsilat'!$P$2:$P$3001,'Girdi — Faturalar ve tahsilat'!$C$2:$C$3001,$A143,'Girdi — Faturalar ve tahsilat'!$T$2:$T$3001,$Z$5)/C143)</f>
        <v/>
      </c>
      <c r="E143" s="15" t="str">
        <f aca="false">IF(OR(A143="",N(C143)=0),"",SUMIFS('Girdi — Faturalar ve tahsilat'!$Q$2:$Q$3001,'Girdi — Faturalar ve tahsilat'!$C$2:$C$3001,$A143,'Girdi — Faturalar ve tahsilat'!$T$2:$T$3001,$Z$5)/C143)</f>
        <v/>
      </c>
      <c r="F143" s="20" t="str">
        <f aca="false">IF(D143="","",E143-D143)</f>
        <v/>
      </c>
      <c r="G143" s="13" t="str">
        <f aca="false">IF(F143="","",C143*$D$4*F143/365)</f>
        <v/>
      </c>
      <c r="H143" s="13" t="str">
        <f aca="false">IF(A143="","",SUMIFS('Girdi — Faturalar ve tahsilat'!$R$2:$R$3001,'Girdi — Faturalar ve tahsilat'!$C$2:$C$3001,$A143,'Girdi — Faturalar ve tahsilat'!$T$2:$T$3001,$Z$5))</f>
        <v/>
      </c>
      <c r="I143" s="13" t="str">
        <f aca="false">IF(A143="","",SUMIFS('Girdi — Faturalar ve tahsilat'!$R$2:$R$3001,'Girdi — Faturalar ve tahsilat'!$C$2:$C$3001,$A143,'Girdi — Faturalar ve tahsilat'!$T$2:$T$3001,$Z$5,'Girdi — Faturalar ve tahsilat'!$O$2:$O$3001,"&gt;0"))</f>
        <v/>
      </c>
      <c r="J143" s="13" t="str">
        <f aca="false">IF(A143="","",SUMIFS('Girdi — Faturalar ve tahsilat'!$R$2:$R$3001,'Girdi — Faturalar ve tahsilat'!$C$2:$C$3001,$A143,'Girdi — Faturalar ve tahsilat'!$T$2:$T$3001,$Z$5,'Girdi — Faturalar ve tahsilat'!$S$2:$S$3001,"1-30"))</f>
        <v/>
      </c>
      <c r="K143" s="13" t="str">
        <f aca="false">IF(A143="","",SUMIFS('Girdi — Faturalar ve tahsilat'!$R$2:$R$3001,'Girdi — Faturalar ve tahsilat'!$C$2:$C$3001,$A143,'Girdi — Faturalar ve tahsilat'!$T$2:$T$3001,$Z$5,'Girdi — Faturalar ve tahsilat'!$S$2:$S$3001,"31-60"))</f>
        <v/>
      </c>
      <c r="L143" s="13" t="str">
        <f aca="false">IF(A143="","",SUMIFS('Girdi — Faturalar ve tahsilat'!$R$2:$R$3001,'Girdi — Faturalar ve tahsilat'!$C$2:$C$3001,$A143,'Girdi — Faturalar ve tahsilat'!$T$2:$T$3001,$Z$5,'Girdi — Faturalar ve tahsilat'!$S$2:$S$3001,"61-90"))</f>
        <v/>
      </c>
      <c r="M143" s="13" t="str">
        <f aca="false">IF(A143="","",SUMIFS('Girdi — Faturalar ve tahsilat'!$R$2:$R$3001,'Girdi — Faturalar ve tahsilat'!$C$2:$C$3001,$A143,'Girdi — Faturalar ve tahsilat'!$T$2:$T$3001,$Z$5,'Girdi — Faturalar ve tahsilat'!$S$2:$S$3001,"90+"))</f>
        <v/>
      </c>
      <c r="N143" s="21" t="str">
        <f aca="false">IF(F143="","",RANK(F143,$F$17:$F$216,0)+COUNTIF($F$17:F143,F143)-1)</f>
        <v/>
      </c>
    </row>
    <row r="144" customFormat="false" ht="15" hidden="false" customHeight="false" outlineLevel="0" collapsed="false">
      <c r="A144" s="16" t="str">
        <f aca="false">IFERROR(INDEX('Girdi — Faturalar ve tahsilat'!$C$2:$C$3001,MATCH(128,'Girdi — Faturalar ve tahsilat'!$U$2:$U$3001,0)),"")</f>
        <v/>
      </c>
      <c r="B144" s="16" t="str">
        <f aca="false">IF(A144="","",INDEX('Girdi — Faturalar ve tahsilat'!$D$2:$D$3001,MATCH(128,'Girdi — Faturalar ve tahsilat'!$U$2:$U$3001,0)))</f>
        <v/>
      </c>
      <c r="C144" s="13" t="str">
        <f aca="false">IF(A144="","",SUMIFS('Girdi — Faturalar ve tahsilat'!$F$2:$F$3001,'Girdi — Faturalar ve tahsilat'!$C$2:$C$3001,$A144,'Girdi — Faturalar ve tahsilat'!$T$2:$T$3001,$Z$5))</f>
        <v/>
      </c>
      <c r="D144" s="15" t="str">
        <f aca="false">IF(OR(A144="",N(C144)=0),"",SUMIFS('Girdi — Faturalar ve tahsilat'!$P$2:$P$3001,'Girdi — Faturalar ve tahsilat'!$C$2:$C$3001,$A144,'Girdi — Faturalar ve tahsilat'!$T$2:$T$3001,$Z$5)/C144)</f>
        <v/>
      </c>
      <c r="E144" s="15" t="str">
        <f aca="false">IF(OR(A144="",N(C144)=0),"",SUMIFS('Girdi — Faturalar ve tahsilat'!$Q$2:$Q$3001,'Girdi — Faturalar ve tahsilat'!$C$2:$C$3001,$A144,'Girdi — Faturalar ve tahsilat'!$T$2:$T$3001,$Z$5)/C144)</f>
        <v/>
      </c>
      <c r="F144" s="20" t="str">
        <f aca="false">IF(D144="","",E144-D144)</f>
        <v/>
      </c>
      <c r="G144" s="13" t="str">
        <f aca="false">IF(F144="","",C144*$D$4*F144/365)</f>
        <v/>
      </c>
      <c r="H144" s="13" t="str">
        <f aca="false">IF(A144="","",SUMIFS('Girdi — Faturalar ve tahsilat'!$R$2:$R$3001,'Girdi — Faturalar ve tahsilat'!$C$2:$C$3001,$A144,'Girdi — Faturalar ve tahsilat'!$T$2:$T$3001,$Z$5))</f>
        <v/>
      </c>
      <c r="I144" s="13" t="str">
        <f aca="false">IF(A144="","",SUMIFS('Girdi — Faturalar ve tahsilat'!$R$2:$R$3001,'Girdi — Faturalar ve tahsilat'!$C$2:$C$3001,$A144,'Girdi — Faturalar ve tahsilat'!$T$2:$T$3001,$Z$5,'Girdi — Faturalar ve tahsilat'!$O$2:$O$3001,"&gt;0"))</f>
        <v/>
      </c>
      <c r="J144" s="13" t="str">
        <f aca="false">IF(A144="","",SUMIFS('Girdi — Faturalar ve tahsilat'!$R$2:$R$3001,'Girdi — Faturalar ve tahsilat'!$C$2:$C$3001,$A144,'Girdi — Faturalar ve tahsilat'!$T$2:$T$3001,$Z$5,'Girdi — Faturalar ve tahsilat'!$S$2:$S$3001,"1-30"))</f>
        <v/>
      </c>
      <c r="K144" s="13" t="str">
        <f aca="false">IF(A144="","",SUMIFS('Girdi — Faturalar ve tahsilat'!$R$2:$R$3001,'Girdi — Faturalar ve tahsilat'!$C$2:$C$3001,$A144,'Girdi — Faturalar ve tahsilat'!$T$2:$T$3001,$Z$5,'Girdi — Faturalar ve tahsilat'!$S$2:$S$3001,"31-60"))</f>
        <v/>
      </c>
      <c r="L144" s="13" t="str">
        <f aca="false">IF(A144="","",SUMIFS('Girdi — Faturalar ve tahsilat'!$R$2:$R$3001,'Girdi — Faturalar ve tahsilat'!$C$2:$C$3001,$A144,'Girdi — Faturalar ve tahsilat'!$T$2:$T$3001,$Z$5,'Girdi — Faturalar ve tahsilat'!$S$2:$S$3001,"61-90"))</f>
        <v/>
      </c>
      <c r="M144" s="13" t="str">
        <f aca="false">IF(A144="","",SUMIFS('Girdi — Faturalar ve tahsilat'!$R$2:$R$3001,'Girdi — Faturalar ve tahsilat'!$C$2:$C$3001,$A144,'Girdi — Faturalar ve tahsilat'!$T$2:$T$3001,$Z$5,'Girdi — Faturalar ve tahsilat'!$S$2:$S$3001,"90+"))</f>
        <v/>
      </c>
      <c r="N144" s="21" t="str">
        <f aca="false">IF(F144="","",RANK(F144,$F$17:$F$216,0)+COUNTIF($F$17:F144,F144)-1)</f>
        <v/>
      </c>
    </row>
    <row r="145" customFormat="false" ht="15" hidden="false" customHeight="false" outlineLevel="0" collapsed="false">
      <c r="A145" s="16" t="str">
        <f aca="false">IFERROR(INDEX('Girdi — Faturalar ve tahsilat'!$C$2:$C$3001,MATCH(129,'Girdi — Faturalar ve tahsilat'!$U$2:$U$3001,0)),"")</f>
        <v/>
      </c>
      <c r="B145" s="16" t="str">
        <f aca="false">IF(A145="","",INDEX('Girdi — Faturalar ve tahsilat'!$D$2:$D$3001,MATCH(129,'Girdi — Faturalar ve tahsilat'!$U$2:$U$3001,0)))</f>
        <v/>
      </c>
      <c r="C145" s="13" t="str">
        <f aca="false">IF(A145="","",SUMIFS('Girdi — Faturalar ve tahsilat'!$F$2:$F$3001,'Girdi — Faturalar ve tahsilat'!$C$2:$C$3001,$A145,'Girdi — Faturalar ve tahsilat'!$T$2:$T$3001,$Z$5))</f>
        <v/>
      </c>
      <c r="D145" s="15" t="str">
        <f aca="false">IF(OR(A145="",N(C145)=0),"",SUMIFS('Girdi — Faturalar ve tahsilat'!$P$2:$P$3001,'Girdi — Faturalar ve tahsilat'!$C$2:$C$3001,$A145,'Girdi — Faturalar ve tahsilat'!$T$2:$T$3001,$Z$5)/C145)</f>
        <v/>
      </c>
      <c r="E145" s="15" t="str">
        <f aca="false">IF(OR(A145="",N(C145)=0),"",SUMIFS('Girdi — Faturalar ve tahsilat'!$Q$2:$Q$3001,'Girdi — Faturalar ve tahsilat'!$C$2:$C$3001,$A145,'Girdi — Faturalar ve tahsilat'!$T$2:$T$3001,$Z$5)/C145)</f>
        <v/>
      </c>
      <c r="F145" s="20" t="str">
        <f aca="false">IF(D145="","",E145-D145)</f>
        <v/>
      </c>
      <c r="G145" s="13" t="str">
        <f aca="false">IF(F145="","",C145*$D$4*F145/365)</f>
        <v/>
      </c>
      <c r="H145" s="13" t="str">
        <f aca="false">IF(A145="","",SUMIFS('Girdi — Faturalar ve tahsilat'!$R$2:$R$3001,'Girdi — Faturalar ve tahsilat'!$C$2:$C$3001,$A145,'Girdi — Faturalar ve tahsilat'!$T$2:$T$3001,$Z$5))</f>
        <v/>
      </c>
      <c r="I145" s="13" t="str">
        <f aca="false">IF(A145="","",SUMIFS('Girdi — Faturalar ve tahsilat'!$R$2:$R$3001,'Girdi — Faturalar ve tahsilat'!$C$2:$C$3001,$A145,'Girdi — Faturalar ve tahsilat'!$T$2:$T$3001,$Z$5,'Girdi — Faturalar ve tahsilat'!$O$2:$O$3001,"&gt;0"))</f>
        <v/>
      </c>
      <c r="J145" s="13" t="str">
        <f aca="false">IF(A145="","",SUMIFS('Girdi — Faturalar ve tahsilat'!$R$2:$R$3001,'Girdi — Faturalar ve tahsilat'!$C$2:$C$3001,$A145,'Girdi — Faturalar ve tahsilat'!$T$2:$T$3001,$Z$5,'Girdi — Faturalar ve tahsilat'!$S$2:$S$3001,"1-30"))</f>
        <v/>
      </c>
      <c r="K145" s="13" t="str">
        <f aca="false">IF(A145="","",SUMIFS('Girdi — Faturalar ve tahsilat'!$R$2:$R$3001,'Girdi — Faturalar ve tahsilat'!$C$2:$C$3001,$A145,'Girdi — Faturalar ve tahsilat'!$T$2:$T$3001,$Z$5,'Girdi — Faturalar ve tahsilat'!$S$2:$S$3001,"31-60"))</f>
        <v/>
      </c>
      <c r="L145" s="13" t="str">
        <f aca="false">IF(A145="","",SUMIFS('Girdi — Faturalar ve tahsilat'!$R$2:$R$3001,'Girdi — Faturalar ve tahsilat'!$C$2:$C$3001,$A145,'Girdi — Faturalar ve tahsilat'!$T$2:$T$3001,$Z$5,'Girdi — Faturalar ve tahsilat'!$S$2:$S$3001,"61-90"))</f>
        <v/>
      </c>
      <c r="M145" s="13" t="str">
        <f aca="false">IF(A145="","",SUMIFS('Girdi — Faturalar ve tahsilat'!$R$2:$R$3001,'Girdi — Faturalar ve tahsilat'!$C$2:$C$3001,$A145,'Girdi — Faturalar ve tahsilat'!$T$2:$T$3001,$Z$5,'Girdi — Faturalar ve tahsilat'!$S$2:$S$3001,"90+"))</f>
        <v/>
      </c>
      <c r="N145" s="21" t="str">
        <f aca="false">IF(F145="","",RANK(F145,$F$17:$F$216,0)+COUNTIF($F$17:F145,F145)-1)</f>
        <v/>
      </c>
    </row>
    <row r="146" customFormat="false" ht="15" hidden="false" customHeight="false" outlineLevel="0" collapsed="false">
      <c r="A146" s="16" t="str">
        <f aca="false">IFERROR(INDEX('Girdi — Faturalar ve tahsilat'!$C$2:$C$3001,MATCH(130,'Girdi — Faturalar ve tahsilat'!$U$2:$U$3001,0)),"")</f>
        <v/>
      </c>
      <c r="B146" s="16" t="str">
        <f aca="false">IF(A146="","",INDEX('Girdi — Faturalar ve tahsilat'!$D$2:$D$3001,MATCH(130,'Girdi — Faturalar ve tahsilat'!$U$2:$U$3001,0)))</f>
        <v/>
      </c>
      <c r="C146" s="13" t="str">
        <f aca="false">IF(A146="","",SUMIFS('Girdi — Faturalar ve tahsilat'!$F$2:$F$3001,'Girdi — Faturalar ve tahsilat'!$C$2:$C$3001,$A146,'Girdi — Faturalar ve tahsilat'!$T$2:$T$3001,$Z$5))</f>
        <v/>
      </c>
      <c r="D146" s="15" t="str">
        <f aca="false">IF(OR(A146="",N(C146)=0),"",SUMIFS('Girdi — Faturalar ve tahsilat'!$P$2:$P$3001,'Girdi — Faturalar ve tahsilat'!$C$2:$C$3001,$A146,'Girdi — Faturalar ve tahsilat'!$T$2:$T$3001,$Z$5)/C146)</f>
        <v/>
      </c>
      <c r="E146" s="15" t="str">
        <f aca="false">IF(OR(A146="",N(C146)=0),"",SUMIFS('Girdi — Faturalar ve tahsilat'!$Q$2:$Q$3001,'Girdi — Faturalar ve tahsilat'!$C$2:$C$3001,$A146,'Girdi — Faturalar ve tahsilat'!$T$2:$T$3001,$Z$5)/C146)</f>
        <v/>
      </c>
      <c r="F146" s="20" t="str">
        <f aca="false">IF(D146="","",E146-D146)</f>
        <v/>
      </c>
      <c r="G146" s="13" t="str">
        <f aca="false">IF(F146="","",C146*$D$4*F146/365)</f>
        <v/>
      </c>
      <c r="H146" s="13" t="str">
        <f aca="false">IF(A146="","",SUMIFS('Girdi — Faturalar ve tahsilat'!$R$2:$R$3001,'Girdi — Faturalar ve tahsilat'!$C$2:$C$3001,$A146,'Girdi — Faturalar ve tahsilat'!$T$2:$T$3001,$Z$5))</f>
        <v/>
      </c>
      <c r="I146" s="13" t="str">
        <f aca="false">IF(A146="","",SUMIFS('Girdi — Faturalar ve tahsilat'!$R$2:$R$3001,'Girdi — Faturalar ve tahsilat'!$C$2:$C$3001,$A146,'Girdi — Faturalar ve tahsilat'!$T$2:$T$3001,$Z$5,'Girdi — Faturalar ve tahsilat'!$O$2:$O$3001,"&gt;0"))</f>
        <v/>
      </c>
      <c r="J146" s="13" t="str">
        <f aca="false">IF(A146="","",SUMIFS('Girdi — Faturalar ve tahsilat'!$R$2:$R$3001,'Girdi — Faturalar ve tahsilat'!$C$2:$C$3001,$A146,'Girdi — Faturalar ve tahsilat'!$T$2:$T$3001,$Z$5,'Girdi — Faturalar ve tahsilat'!$S$2:$S$3001,"1-30"))</f>
        <v/>
      </c>
      <c r="K146" s="13" t="str">
        <f aca="false">IF(A146="","",SUMIFS('Girdi — Faturalar ve tahsilat'!$R$2:$R$3001,'Girdi — Faturalar ve tahsilat'!$C$2:$C$3001,$A146,'Girdi — Faturalar ve tahsilat'!$T$2:$T$3001,$Z$5,'Girdi — Faturalar ve tahsilat'!$S$2:$S$3001,"31-60"))</f>
        <v/>
      </c>
      <c r="L146" s="13" t="str">
        <f aca="false">IF(A146="","",SUMIFS('Girdi — Faturalar ve tahsilat'!$R$2:$R$3001,'Girdi — Faturalar ve tahsilat'!$C$2:$C$3001,$A146,'Girdi — Faturalar ve tahsilat'!$T$2:$T$3001,$Z$5,'Girdi — Faturalar ve tahsilat'!$S$2:$S$3001,"61-90"))</f>
        <v/>
      </c>
      <c r="M146" s="13" t="str">
        <f aca="false">IF(A146="","",SUMIFS('Girdi — Faturalar ve tahsilat'!$R$2:$R$3001,'Girdi — Faturalar ve tahsilat'!$C$2:$C$3001,$A146,'Girdi — Faturalar ve tahsilat'!$T$2:$T$3001,$Z$5,'Girdi — Faturalar ve tahsilat'!$S$2:$S$3001,"90+"))</f>
        <v/>
      </c>
      <c r="N146" s="21" t="str">
        <f aca="false">IF(F146="","",RANK(F146,$F$17:$F$216,0)+COUNTIF($F$17:F146,F146)-1)</f>
        <v/>
      </c>
    </row>
    <row r="147" customFormat="false" ht="15" hidden="false" customHeight="false" outlineLevel="0" collapsed="false">
      <c r="A147" s="16" t="str">
        <f aca="false">IFERROR(INDEX('Girdi — Faturalar ve tahsilat'!$C$2:$C$3001,MATCH(131,'Girdi — Faturalar ve tahsilat'!$U$2:$U$3001,0)),"")</f>
        <v/>
      </c>
      <c r="B147" s="16" t="str">
        <f aca="false">IF(A147="","",INDEX('Girdi — Faturalar ve tahsilat'!$D$2:$D$3001,MATCH(131,'Girdi — Faturalar ve tahsilat'!$U$2:$U$3001,0)))</f>
        <v/>
      </c>
      <c r="C147" s="13" t="str">
        <f aca="false">IF(A147="","",SUMIFS('Girdi — Faturalar ve tahsilat'!$F$2:$F$3001,'Girdi — Faturalar ve tahsilat'!$C$2:$C$3001,$A147,'Girdi — Faturalar ve tahsilat'!$T$2:$T$3001,$Z$5))</f>
        <v/>
      </c>
      <c r="D147" s="15" t="str">
        <f aca="false">IF(OR(A147="",N(C147)=0),"",SUMIFS('Girdi — Faturalar ve tahsilat'!$P$2:$P$3001,'Girdi — Faturalar ve tahsilat'!$C$2:$C$3001,$A147,'Girdi — Faturalar ve tahsilat'!$T$2:$T$3001,$Z$5)/C147)</f>
        <v/>
      </c>
      <c r="E147" s="15" t="str">
        <f aca="false">IF(OR(A147="",N(C147)=0),"",SUMIFS('Girdi — Faturalar ve tahsilat'!$Q$2:$Q$3001,'Girdi — Faturalar ve tahsilat'!$C$2:$C$3001,$A147,'Girdi — Faturalar ve tahsilat'!$T$2:$T$3001,$Z$5)/C147)</f>
        <v/>
      </c>
      <c r="F147" s="20" t="str">
        <f aca="false">IF(D147="","",E147-D147)</f>
        <v/>
      </c>
      <c r="G147" s="13" t="str">
        <f aca="false">IF(F147="","",C147*$D$4*F147/365)</f>
        <v/>
      </c>
      <c r="H147" s="13" t="str">
        <f aca="false">IF(A147="","",SUMIFS('Girdi — Faturalar ve tahsilat'!$R$2:$R$3001,'Girdi — Faturalar ve tahsilat'!$C$2:$C$3001,$A147,'Girdi — Faturalar ve tahsilat'!$T$2:$T$3001,$Z$5))</f>
        <v/>
      </c>
      <c r="I147" s="13" t="str">
        <f aca="false">IF(A147="","",SUMIFS('Girdi — Faturalar ve tahsilat'!$R$2:$R$3001,'Girdi — Faturalar ve tahsilat'!$C$2:$C$3001,$A147,'Girdi — Faturalar ve tahsilat'!$T$2:$T$3001,$Z$5,'Girdi — Faturalar ve tahsilat'!$O$2:$O$3001,"&gt;0"))</f>
        <v/>
      </c>
      <c r="J147" s="13" t="str">
        <f aca="false">IF(A147="","",SUMIFS('Girdi — Faturalar ve tahsilat'!$R$2:$R$3001,'Girdi — Faturalar ve tahsilat'!$C$2:$C$3001,$A147,'Girdi — Faturalar ve tahsilat'!$T$2:$T$3001,$Z$5,'Girdi — Faturalar ve tahsilat'!$S$2:$S$3001,"1-30"))</f>
        <v/>
      </c>
      <c r="K147" s="13" t="str">
        <f aca="false">IF(A147="","",SUMIFS('Girdi — Faturalar ve tahsilat'!$R$2:$R$3001,'Girdi — Faturalar ve tahsilat'!$C$2:$C$3001,$A147,'Girdi — Faturalar ve tahsilat'!$T$2:$T$3001,$Z$5,'Girdi — Faturalar ve tahsilat'!$S$2:$S$3001,"31-60"))</f>
        <v/>
      </c>
      <c r="L147" s="13" t="str">
        <f aca="false">IF(A147="","",SUMIFS('Girdi — Faturalar ve tahsilat'!$R$2:$R$3001,'Girdi — Faturalar ve tahsilat'!$C$2:$C$3001,$A147,'Girdi — Faturalar ve tahsilat'!$T$2:$T$3001,$Z$5,'Girdi — Faturalar ve tahsilat'!$S$2:$S$3001,"61-90"))</f>
        <v/>
      </c>
      <c r="M147" s="13" t="str">
        <f aca="false">IF(A147="","",SUMIFS('Girdi — Faturalar ve tahsilat'!$R$2:$R$3001,'Girdi — Faturalar ve tahsilat'!$C$2:$C$3001,$A147,'Girdi — Faturalar ve tahsilat'!$T$2:$T$3001,$Z$5,'Girdi — Faturalar ve tahsilat'!$S$2:$S$3001,"90+"))</f>
        <v/>
      </c>
      <c r="N147" s="21" t="str">
        <f aca="false">IF(F147="","",RANK(F147,$F$17:$F$216,0)+COUNTIF($F$17:F147,F147)-1)</f>
        <v/>
      </c>
    </row>
    <row r="148" customFormat="false" ht="15" hidden="false" customHeight="false" outlineLevel="0" collapsed="false">
      <c r="A148" s="16" t="str">
        <f aca="false">IFERROR(INDEX('Girdi — Faturalar ve tahsilat'!$C$2:$C$3001,MATCH(132,'Girdi — Faturalar ve tahsilat'!$U$2:$U$3001,0)),"")</f>
        <v/>
      </c>
      <c r="B148" s="16" t="str">
        <f aca="false">IF(A148="","",INDEX('Girdi — Faturalar ve tahsilat'!$D$2:$D$3001,MATCH(132,'Girdi — Faturalar ve tahsilat'!$U$2:$U$3001,0)))</f>
        <v/>
      </c>
      <c r="C148" s="13" t="str">
        <f aca="false">IF(A148="","",SUMIFS('Girdi — Faturalar ve tahsilat'!$F$2:$F$3001,'Girdi — Faturalar ve tahsilat'!$C$2:$C$3001,$A148,'Girdi — Faturalar ve tahsilat'!$T$2:$T$3001,$Z$5))</f>
        <v/>
      </c>
      <c r="D148" s="15" t="str">
        <f aca="false">IF(OR(A148="",N(C148)=0),"",SUMIFS('Girdi — Faturalar ve tahsilat'!$P$2:$P$3001,'Girdi — Faturalar ve tahsilat'!$C$2:$C$3001,$A148,'Girdi — Faturalar ve tahsilat'!$T$2:$T$3001,$Z$5)/C148)</f>
        <v/>
      </c>
      <c r="E148" s="15" t="str">
        <f aca="false">IF(OR(A148="",N(C148)=0),"",SUMIFS('Girdi — Faturalar ve tahsilat'!$Q$2:$Q$3001,'Girdi — Faturalar ve tahsilat'!$C$2:$C$3001,$A148,'Girdi — Faturalar ve tahsilat'!$T$2:$T$3001,$Z$5)/C148)</f>
        <v/>
      </c>
      <c r="F148" s="20" t="str">
        <f aca="false">IF(D148="","",E148-D148)</f>
        <v/>
      </c>
      <c r="G148" s="13" t="str">
        <f aca="false">IF(F148="","",C148*$D$4*F148/365)</f>
        <v/>
      </c>
      <c r="H148" s="13" t="str">
        <f aca="false">IF(A148="","",SUMIFS('Girdi — Faturalar ve tahsilat'!$R$2:$R$3001,'Girdi — Faturalar ve tahsilat'!$C$2:$C$3001,$A148,'Girdi — Faturalar ve tahsilat'!$T$2:$T$3001,$Z$5))</f>
        <v/>
      </c>
      <c r="I148" s="13" t="str">
        <f aca="false">IF(A148="","",SUMIFS('Girdi — Faturalar ve tahsilat'!$R$2:$R$3001,'Girdi — Faturalar ve tahsilat'!$C$2:$C$3001,$A148,'Girdi — Faturalar ve tahsilat'!$T$2:$T$3001,$Z$5,'Girdi — Faturalar ve tahsilat'!$O$2:$O$3001,"&gt;0"))</f>
        <v/>
      </c>
      <c r="J148" s="13" t="str">
        <f aca="false">IF(A148="","",SUMIFS('Girdi — Faturalar ve tahsilat'!$R$2:$R$3001,'Girdi — Faturalar ve tahsilat'!$C$2:$C$3001,$A148,'Girdi — Faturalar ve tahsilat'!$T$2:$T$3001,$Z$5,'Girdi — Faturalar ve tahsilat'!$S$2:$S$3001,"1-30"))</f>
        <v/>
      </c>
      <c r="K148" s="13" t="str">
        <f aca="false">IF(A148="","",SUMIFS('Girdi — Faturalar ve tahsilat'!$R$2:$R$3001,'Girdi — Faturalar ve tahsilat'!$C$2:$C$3001,$A148,'Girdi — Faturalar ve tahsilat'!$T$2:$T$3001,$Z$5,'Girdi — Faturalar ve tahsilat'!$S$2:$S$3001,"31-60"))</f>
        <v/>
      </c>
      <c r="L148" s="13" t="str">
        <f aca="false">IF(A148="","",SUMIFS('Girdi — Faturalar ve tahsilat'!$R$2:$R$3001,'Girdi — Faturalar ve tahsilat'!$C$2:$C$3001,$A148,'Girdi — Faturalar ve tahsilat'!$T$2:$T$3001,$Z$5,'Girdi — Faturalar ve tahsilat'!$S$2:$S$3001,"61-90"))</f>
        <v/>
      </c>
      <c r="M148" s="13" t="str">
        <f aca="false">IF(A148="","",SUMIFS('Girdi — Faturalar ve tahsilat'!$R$2:$R$3001,'Girdi — Faturalar ve tahsilat'!$C$2:$C$3001,$A148,'Girdi — Faturalar ve tahsilat'!$T$2:$T$3001,$Z$5,'Girdi — Faturalar ve tahsilat'!$S$2:$S$3001,"90+"))</f>
        <v/>
      </c>
      <c r="N148" s="21" t="str">
        <f aca="false">IF(F148="","",RANK(F148,$F$17:$F$216,0)+COUNTIF($F$17:F148,F148)-1)</f>
        <v/>
      </c>
    </row>
    <row r="149" customFormat="false" ht="15" hidden="false" customHeight="false" outlineLevel="0" collapsed="false">
      <c r="A149" s="16" t="str">
        <f aca="false">IFERROR(INDEX('Girdi — Faturalar ve tahsilat'!$C$2:$C$3001,MATCH(133,'Girdi — Faturalar ve tahsilat'!$U$2:$U$3001,0)),"")</f>
        <v/>
      </c>
      <c r="B149" s="16" t="str">
        <f aca="false">IF(A149="","",INDEX('Girdi — Faturalar ve tahsilat'!$D$2:$D$3001,MATCH(133,'Girdi — Faturalar ve tahsilat'!$U$2:$U$3001,0)))</f>
        <v/>
      </c>
      <c r="C149" s="13" t="str">
        <f aca="false">IF(A149="","",SUMIFS('Girdi — Faturalar ve tahsilat'!$F$2:$F$3001,'Girdi — Faturalar ve tahsilat'!$C$2:$C$3001,$A149,'Girdi — Faturalar ve tahsilat'!$T$2:$T$3001,$Z$5))</f>
        <v/>
      </c>
      <c r="D149" s="15" t="str">
        <f aca="false">IF(OR(A149="",N(C149)=0),"",SUMIFS('Girdi — Faturalar ve tahsilat'!$P$2:$P$3001,'Girdi — Faturalar ve tahsilat'!$C$2:$C$3001,$A149,'Girdi — Faturalar ve tahsilat'!$T$2:$T$3001,$Z$5)/C149)</f>
        <v/>
      </c>
      <c r="E149" s="15" t="str">
        <f aca="false">IF(OR(A149="",N(C149)=0),"",SUMIFS('Girdi — Faturalar ve tahsilat'!$Q$2:$Q$3001,'Girdi — Faturalar ve tahsilat'!$C$2:$C$3001,$A149,'Girdi — Faturalar ve tahsilat'!$T$2:$T$3001,$Z$5)/C149)</f>
        <v/>
      </c>
      <c r="F149" s="20" t="str">
        <f aca="false">IF(D149="","",E149-D149)</f>
        <v/>
      </c>
      <c r="G149" s="13" t="str">
        <f aca="false">IF(F149="","",C149*$D$4*F149/365)</f>
        <v/>
      </c>
      <c r="H149" s="13" t="str">
        <f aca="false">IF(A149="","",SUMIFS('Girdi — Faturalar ve tahsilat'!$R$2:$R$3001,'Girdi — Faturalar ve tahsilat'!$C$2:$C$3001,$A149,'Girdi — Faturalar ve tahsilat'!$T$2:$T$3001,$Z$5))</f>
        <v/>
      </c>
      <c r="I149" s="13" t="str">
        <f aca="false">IF(A149="","",SUMIFS('Girdi — Faturalar ve tahsilat'!$R$2:$R$3001,'Girdi — Faturalar ve tahsilat'!$C$2:$C$3001,$A149,'Girdi — Faturalar ve tahsilat'!$T$2:$T$3001,$Z$5,'Girdi — Faturalar ve tahsilat'!$O$2:$O$3001,"&gt;0"))</f>
        <v/>
      </c>
      <c r="J149" s="13" t="str">
        <f aca="false">IF(A149="","",SUMIFS('Girdi — Faturalar ve tahsilat'!$R$2:$R$3001,'Girdi — Faturalar ve tahsilat'!$C$2:$C$3001,$A149,'Girdi — Faturalar ve tahsilat'!$T$2:$T$3001,$Z$5,'Girdi — Faturalar ve tahsilat'!$S$2:$S$3001,"1-30"))</f>
        <v/>
      </c>
      <c r="K149" s="13" t="str">
        <f aca="false">IF(A149="","",SUMIFS('Girdi — Faturalar ve tahsilat'!$R$2:$R$3001,'Girdi — Faturalar ve tahsilat'!$C$2:$C$3001,$A149,'Girdi — Faturalar ve tahsilat'!$T$2:$T$3001,$Z$5,'Girdi — Faturalar ve tahsilat'!$S$2:$S$3001,"31-60"))</f>
        <v/>
      </c>
      <c r="L149" s="13" t="str">
        <f aca="false">IF(A149="","",SUMIFS('Girdi — Faturalar ve tahsilat'!$R$2:$R$3001,'Girdi — Faturalar ve tahsilat'!$C$2:$C$3001,$A149,'Girdi — Faturalar ve tahsilat'!$T$2:$T$3001,$Z$5,'Girdi — Faturalar ve tahsilat'!$S$2:$S$3001,"61-90"))</f>
        <v/>
      </c>
      <c r="M149" s="13" t="str">
        <f aca="false">IF(A149="","",SUMIFS('Girdi — Faturalar ve tahsilat'!$R$2:$R$3001,'Girdi — Faturalar ve tahsilat'!$C$2:$C$3001,$A149,'Girdi — Faturalar ve tahsilat'!$T$2:$T$3001,$Z$5,'Girdi — Faturalar ve tahsilat'!$S$2:$S$3001,"90+"))</f>
        <v/>
      </c>
      <c r="N149" s="21" t="str">
        <f aca="false">IF(F149="","",RANK(F149,$F$17:$F$216,0)+COUNTIF($F$17:F149,F149)-1)</f>
        <v/>
      </c>
    </row>
    <row r="150" customFormat="false" ht="15" hidden="false" customHeight="false" outlineLevel="0" collapsed="false">
      <c r="A150" s="16" t="str">
        <f aca="false">IFERROR(INDEX('Girdi — Faturalar ve tahsilat'!$C$2:$C$3001,MATCH(134,'Girdi — Faturalar ve tahsilat'!$U$2:$U$3001,0)),"")</f>
        <v/>
      </c>
      <c r="B150" s="16" t="str">
        <f aca="false">IF(A150="","",INDEX('Girdi — Faturalar ve tahsilat'!$D$2:$D$3001,MATCH(134,'Girdi — Faturalar ve tahsilat'!$U$2:$U$3001,0)))</f>
        <v/>
      </c>
      <c r="C150" s="13" t="str">
        <f aca="false">IF(A150="","",SUMIFS('Girdi — Faturalar ve tahsilat'!$F$2:$F$3001,'Girdi — Faturalar ve tahsilat'!$C$2:$C$3001,$A150,'Girdi — Faturalar ve tahsilat'!$T$2:$T$3001,$Z$5))</f>
        <v/>
      </c>
      <c r="D150" s="15" t="str">
        <f aca="false">IF(OR(A150="",N(C150)=0),"",SUMIFS('Girdi — Faturalar ve tahsilat'!$P$2:$P$3001,'Girdi — Faturalar ve tahsilat'!$C$2:$C$3001,$A150,'Girdi — Faturalar ve tahsilat'!$T$2:$T$3001,$Z$5)/C150)</f>
        <v/>
      </c>
      <c r="E150" s="15" t="str">
        <f aca="false">IF(OR(A150="",N(C150)=0),"",SUMIFS('Girdi — Faturalar ve tahsilat'!$Q$2:$Q$3001,'Girdi — Faturalar ve tahsilat'!$C$2:$C$3001,$A150,'Girdi — Faturalar ve tahsilat'!$T$2:$T$3001,$Z$5)/C150)</f>
        <v/>
      </c>
      <c r="F150" s="20" t="str">
        <f aca="false">IF(D150="","",E150-D150)</f>
        <v/>
      </c>
      <c r="G150" s="13" t="str">
        <f aca="false">IF(F150="","",C150*$D$4*F150/365)</f>
        <v/>
      </c>
      <c r="H150" s="13" t="str">
        <f aca="false">IF(A150="","",SUMIFS('Girdi — Faturalar ve tahsilat'!$R$2:$R$3001,'Girdi — Faturalar ve tahsilat'!$C$2:$C$3001,$A150,'Girdi — Faturalar ve tahsilat'!$T$2:$T$3001,$Z$5))</f>
        <v/>
      </c>
      <c r="I150" s="13" t="str">
        <f aca="false">IF(A150="","",SUMIFS('Girdi — Faturalar ve tahsilat'!$R$2:$R$3001,'Girdi — Faturalar ve tahsilat'!$C$2:$C$3001,$A150,'Girdi — Faturalar ve tahsilat'!$T$2:$T$3001,$Z$5,'Girdi — Faturalar ve tahsilat'!$O$2:$O$3001,"&gt;0"))</f>
        <v/>
      </c>
      <c r="J150" s="13" t="str">
        <f aca="false">IF(A150="","",SUMIFS('Girdi — Faturalar ve tahsilat'!$R$2:$R$3001,'Girdi — Faturalar ve tahsilat'!$C$2:$C$3001,$A150,'Girdi — Faturalar ve tahsilat'!$T$2:$T$3001,$Z$5,'Girdi — Faturalar ve tahsilat'!$S$2:$S$3001,"1-30"))</f>
        <v/>
      </c>
      <c r="K150" s="13" t="str">
        <f aca="false">IF(A150="","",SUMIFS('Girdi — Faturalar ve tahsilat'!$R$2:$R$3001,'Girdi — Faturalar ve tahsilat'!$C$2:$C$3001,$A150,'Girdi — Faturalar ve tahsilat'!$T$2:$T$3001,$Z$5,'Girdi — Faturalar ve tahsilat'!$S$2:$S$3001,"31-60"))</f>
        <v/>
      </c>
      <c r="L150" s="13" t="str">
        <f aca="false">IF(A150="","",SUMIFS('Girdi — Faturalar ve tahsilat'!$R$2:$R$3001,'Girdi — Faturalar ve tahsilat'!$C$2:$C$3001,$A150,'Girdi — Faturalar ve tahsilat'!$T$2:$T$3001,$Z$5,'Girdi — Faturalar ve tahsilat'!$S$2:$S$3001,"61-90"))</f>
        <v/>
      </c>
      <c r="M150" s="13" t="str">
        <f aca="false">IF(A150="","",SUMIFS('Girdi — Faturalar ve tahsilat'!$R$2:$R$3001,'Girdi — Faturalar ve tahsilat'!$C$2:$C$3001,$A150,'Girdi — Faturalar ve tahsilat'!$T$2:$T$3001,$Z$5,'Girdi — Faturalar ve tahsilat'!$S$2:$S$3001,"90+"))</f>
        <v/>
      </c>
      <c r="N150" s="21" t="str">
        <f aca="false">IF(F150="","",RANK(F150,$F$17:$F$216,0)+COUNTIF($F$17:F150,F150)-1)</f>
        <v/>
      </c>
    </row>
    <row r="151" customFormat="false" ht="15" hidden="false" customHeight="false" outlineLevel="0" collapsed="false">
      <c r="A151" s="16" t="str">
        <f aca="false">IFERROR(INDEX('Girdi — Faturalar ve tahsilat'!$C$2:$C$3001,MATCH(135,'Girdi — Faturalar ve tahsilat'!$U$2:$U$3001,0)),"")</f>
        <v/>
      </c>
      <c r="B151" s="16" t="str">
        <f aca="false">IF(A151="","",INDEX('Girdi — Faturalar ve tahsilat'!$D$2:$D$3001,MATCH(135,'Girdi — Faturalar ve tahsilat'!$U$2:$U$3001,0)))</f>
        <v/>
      </c>
      <c r="C151" s="13" t="str">
        <f aca="false">IF(A151="","",SUMIFS('Girdi — Faturalar ve tahsilat'!$F$2:$F$3001,'Girdi — Faturalar ve tahsilat'!$C$2:$C$3001,$A151,'Girdi — Faturalar ve tahsilat'!$T$2:$T$3001,$Z$5))</f>
        <v/>
      </c>
      <c r="D151" s="15" t="str">
        <f aca="false">IF(OR(A151="",N(C151)=0),"",SUMIFS('Girdi — Faturalar ve tahsilat'!$P$2:$P$3001,'Girdi — Faturalar ve tahsilat'!$C$2:$C$3001,$A151,'Girdi — Faturalar ve tahsilat'!$T$2:$T$3001,$Z$5)/C151)</f>
        <v/>
      </c>
      <c r="E151" s="15" t="str">
        <f aca="false">IF(OR(A151="",N(C151)=0),"",SUMIFS('Girdi — Faturalar ve tahsilat'!$Q$2:$Q$3001,'Girdi — Faturalar ve tahsilat'!$C$2:$C$3001,$A151,'Girdi — Faturalar ve tahsilat'!$T$2:$T$3001,$Z$5)/C151)</f>
        <v/>
      </c>
      <c r="F151" s="20" t="str">
        <f aca="false">IF(D151="","",E151-D151)</f>
        <v/>
      </c>
      <c r="G151" s="13" t="str">
        <f aca="false">IF(F151="","",C151*$D$4*F151/365)</f>
        <v/>
      </c>
      <c r="H151" s="13" t="str">
        <f aca="false">IF(A151="","",SUMIFS('Girdi — Faturalar ve tahsilat'!$R$2:$R$3001,'Girdi — Faturalar ve tahsilat'!$C$2:$C$3001,$A151,'Girdi — Faturalar ve tahsilat'!$T$2:$T$3001,$Z$5))</f>
        <v/>
      </c>
      <c r="I151" s="13" t="str">
        <f aca="false">IF(A151="","",SUMIFS('Girdi — Faturalar ve tahsilat'!$R$2:$R$3001,'Girdi — Faturalar ve tahsilat'!$C$2:$C$3001,$A151,'Girdi — Faturalar ve tahsilat'!$T$2:$T$3001,$Z$5,'Girdi — Faturalar ve tahsilat'!$O$2:$O$3001,"&gt;0"))</f>
        <v/>
      </c>
      <c r="J151" s="13" t="str">
        <f aca="false">IF(A151="","",SUMIFS('Girdi — Faturalar ve tahsilat'!$R$2:$R$3001,'Girdi — Faturalar ve tahsilat'!$C$2:$C$3001,$A151,'Girdi — Faturalar ve tahsilat'!$T$2:$T$3001,$Z$5,'Girdi — Faturalar ve tahsilat'!$S$2:$S$3001,"1-30"))</f>
        <v/>
      </c>
      <c r="K151" s="13" t="str">
        <f aca="false">IF(A151="","",SUMIFS('Girdi — Faturalar ve tahsilat'!$R$2:$R$3001,'Girdi — Faturalar ve tahsilat'!$C$2:$C$3001,$A151,'Girdi — Faturalar ve tahsilat'!$T$2:$T$3001,$Z$5,'Girdi — Faturalar ve tahsilat'!$S$2:$S$3001,"31-60"))</f>
        <v/>
      </c>
      <c r="L151" s="13" t="str">
        <f aca="false">IF(A151="","",SUMIFS('Girdi — Faturalar ve tahsilat'!$R$2:$R$3001,'Girdi — Faturalar ve tahsilat'!$C$2:$C$3001,$A151,'Girdi — Faturalar ve tahsilat'!$T$2:$T$3001,$Z$5,'Girdi — Faturalar ve tahsilat'!$S$2:$S$3001,"61-90"))</f>
        <v/>
      </c>
      <c r="M151" s="13" t="str">
        <f aca="false">IF(A151="","",SUMIFS('Girdi — Faturalar ve tahsilat'!$R$2:$R$3001,'Girdi — Faturalar ve tahsilat'!$C$2:$C$3001,$A151,'Girdi — Faturalar ve tahsilat'!$T$2:$T$3001,$Z$5,'Girdi — Faturalar ve tahsilat'!$S$2:$S$3001,"90+"))</f>
        <v/>
      </c>
      <c r="N151" s="21" t="str">
        <f aca="false">IF(F151="","",RANK(F151,$F$17:$F$216,0)+COUNTIF($F$17:F151,F151)-1)</f>
        <v/>
      </c>
    </row>
    <row r="152" customFormat="false" ht="15" hidden="false" customHeight="false" outlineLevel="0" collapsed="false">
      <c r="A152" s="16" t="str">
        <f aca="false">IFERROR(INDEX('Girdi — Faturalar ve tahsilat'!$C$2:$C$3001,MATCH(136,'Girdi — Faturalar ve tahsilat'!$U$2:$U$3001,0)),"")</f>
        <v/>
      </c>
      <c r="B152" s="16" t="str">
        <f aca="false">IF(A152="","",INDEX('Girdi — Faturalar ve tahsilat'!$D$2:$D$3001,MATCH(136,'Girdi — Faturalar ve tahsilat'!$U$2:$U$3001,0)))</f>
        <v/>
      </c>
      <c r="C152" s="13" t="str">
        <f aca="false">IF(A152="","",SUMIFS('Girdi — Faturalar ve tahsilat'!$F$2:$F$3001,'Girdi — Faturalar ve tahsilat'!$C$2:$C$3001,$A152,'Girdi — Faturalar ve tahsilat'!$T$2:$T$3001,$Z$5))</f>
        <v/>
      </c>
      <c r="D152" s="15" t="str">
        <f aca="false">IF(OR(A152="",N(C152)=0),"",SUMIFS('Girdi — Faturalar ve tahsilat'!$P$2:$P$3001,'Girdi — Faturalar ve tahsilat'!$C$2:$C$3001,$A152,'Girdi — Faturalar ve tahsilat'!$T$2:$T$3001,$Z$5)/C152)</f>
        <v/>
      </c>
      <c r="E152" s="15" t="str">
        <f aca="false">IF(OR(A152="",N(C152)=0),"",SUMIFS('Girdi — Faturalar ve tahsilat'!$Q$2:$Q$3001,'Girdi — Faturalar ve tahsilat'!$C$2:$C$3001,$A152,'Girdi — Faturalar ve tahsilat'!$T$2:$T$3001,$Z$5)/C152)</f>
        <v/>
      </c>
      <c r="F152" s="20" t="str">
        <f aca="false">IF(D152="","",E152-D152)</f>
        <v/>
      </c>
      <c r="G152" s="13" t="str">
        <f aca="false">IF(F152="","",C152*$D$4*F152/365)</f>
        <v/>
      </c>
      <c r="H152" s="13" t="str">
        <f aca="false">IF(A152="","",SUMIFS('Girdi — Faturalar ve tahsilat'!$R$2:$R$3001,'Girdi — Faturalar ve tahsilat'!$C$2:$C$3001,$A152,'Girdi — Faturalar ve tahsilat'!$T$2:$T$3001,$Z$5))</f>
        <v/>
      </c>
      <c r="I152" s="13" t="str">
        <f aca="false">IF(A152="","",SUMIFS('Girdi — Faturalar ve tahsilat'!$R$2:$R$3001,'Girdi — Faturalar ve tahsilat'!$C$2:$C$3001,$A152,'Girdi — Faturalar ve tahsilat'!$T$2:$T$3001,$Z$5,'Girdi — Faturalar ve tahsilat'!$O$2:$O$3001,"&gt;0"))</f>
        <v/>
      </c>
      <c r="J152" s="13" t="str">
        <f aca="false">IF(A152="","",SUMIFS('Girdi — Faturalar ve tahsilat'!$R$2:$R$3001,'Girdi — Faturalar ve tahsilat'!$C$2:$C$3001,$A152,'Girdi — Faturalar ve tahsilat'!$T$2:$T$3001,$Z$5,'Girdi — Faturalar ve tahsilat'!$S$2:$S$3001,"1-30"))</f>
        <v/>
      </c>
      <c r="K152" s="13" t="str">
        <f aca="false">IF(A152="","",SUMIFS('Girdi — Faturalar ve tahsilat'!$R$2:$R$3001,'Girdi — Faturalar ve tahsilat'!$C$2:$C$3001,$A152,'Girdi — Faturalar ve tahsilat'!$T$2:$T$3001,$Z$5,'Girdi — Faturalar ve tahsilat'!$S$2:$S$3001,"31-60"))</f>
        <v/>
      </c>
      <c r="L152" s="13" t="str">
        <f aca="false">IF(A152="","",SUMIFS('Girdi — Faturalar ve tahsilat'!$R$2:$R$3001,'Girdi — Faturalar ve tahsilat'!$C$2:$C$3001,$A152,'Girdi — Faturalar ve tahsilat'!$T$2:$T$3001,$Z$5,'Girdi — Faturalar ve tahsilat'!$S$2:$S$3001,"61-90"))</f>
        <v/>
      </c>
      <c r="M152" s="13" t="str">
        <f aca="false">IF(A152="","",SUMIFS('Girdi — Faturalar ve tahsilat'!$R$2:$R$3001,'Girdi — Faturalar ve tahsilat'!$C$2:$C$3001,$A152,'Girdi — Faturalar ve tahsilat'!$T$2:$T$3001,$Z$5,'Girdi — Faturalar ve tahsilat'!$S$2:$S$3001,"90+"))</f>
        <v/>
      </c>
      <c r="N152" s="21" t="str">
        <f aca="false">IF(F152="","",RANK(F152,$F$17:$F$216,0)+COUNTIF($F$17:F152,F152)-1)</f>
        <v/>
      </c>
    </row>
    <row r="153" customFormat="false" ht="15" hidden="false" customHeight="false" outlineLevel="0" collapsed="false">
      <c r="A153" s="16" t="str">
        <f aca="false">IFERROR(INDEX('Girdi — Faturalar ve tahsilat'!$C$2:$C$3001,MATCH(137,'Girdi — Faturalar ve tahsilat'!$U$2:$U$3001,0)),"")</f>
        <v/>
      </c>
      <c r="B153" s="16" t="str">
        <f aca="false">IF(A153="","",INDEX('Girdi — Faturalar ve tahsilat'!$D$2:$D$3001,MATCH(137,'Girdi — Faturalar ve tahsilat'!$U$2:$U$3001,0)))</f>
        <v/>
      </c>
      <c r="C153" s="13" t="str">
        <f aca="false">IF(A153="","",SUMIFS('Girdi — Faturalar ve tahsilat'!$F$2:$F$3001,'Girdi — Faturalar ve tahsilat'!$C$2:$C$3001,$A153,'Girdi — Faturalar ve tahsilat'!$T$2:$T$3001,$Z$5))</f>
        <v/>
      </c>
      <c r="D153" s="15" t="str">
        <f aca="false">IF(OR(A153="",N(C153)=0),"",SUMIFS('Girdi — Faturalar ve tahsilat'!$P$2:$P$3001,'Girdi — Faturalar ve tahsilat'!$C$2:$C$3001,$A153,'Girdi — Faturalar ve tahsilat'!$T$2:$T$3001,$Z$5)/C153)</f>
        <v/>
      </c>
      <c r="E153" s="15" t="str">
        <f aca="false">IF(OR(A153="",N(C153)=0),"",SUMIFS('Girdi — Faturalar ve tahsilat'!$Q$2:$Q$3001,'Girdi — Faturalar ve tahsilat'!$C$2:$C$3001,$A153,'Girdi — Faturalar ve tahsilat'!$T$2:$T$3001,$Z$5)/C153)</f>
        <v/>
      </c>
      <c r="F153" s="20" t="str">
        <f aca="false">IF(D153="","",E153-D153)</f>
        <v/>
      </c>
      <c r="G153" s="13" t="str">
        <f aca="false">IF(F153="","",C153*$D$4*F153/365)</f>
        <v/>
      </c>
      <c r="H153" s="13" t="str">
        <f aca="false">IF(A153="","",SUMIFS('Girdi — Faturalar ve tahsilat'!$R$2:$R$3001,'Girdi — Faturalar ve tahsilat'!$C$2:$C$3001,$A153,'Girdi — Faturalar ve tahsilat'!$T$2:$T$3001,$Z$5))</f>
        <v/>
      </c>
      <c r="I153" s="13" t="str">
        <f aca="false">IF(A153="","",SUMIFS('Girdi — Faturalar ve tahsilat'!$R$2:$R$3001,'Girdi — Faturalar ve tahsilat'!$C$2:$C$3001,$A153,'Girdi — Faturalar ve tahsilat'!$T$2:$T$3001,$Z$5,'Girdi — Faturalar ve tahsilat'!$O$2:$O$3001,"&gt;0"))</f>
        <v/>
      </c>
      <c r="J153" s="13" t="str">
        <f aca="false">IF(A153="","",SUMIFS('Girdi — Faturalar ve tahsilat'!$R$2:$R$3001,'Girdi — Faturalar ve tahsilat'!$C$2:$C$3001,$A153,'Girdi — Faturalar ve tahsilat'!$T$2:$T$3001,$Z$5,'Girdi — Faturalar ve tahsilat'!$S$2:$S$3001,"1-30"))</f>
        <v/>
      </c>
      <c r="K153" s="13" t="str">
        <f aca="false">IF(A153="","",SUMIFS('Girdi — Faturalar ve tahsilat'!$R$2:$R$3001,'Girdi — Faturalar ve tahsilat'!$C$2:$C$3001,$A153,'Girdi — Faturalar ve tahsilat'!$T$2:$T$3001,$Z$5,'Girdi — Faturalar ve tahsilat'!$S$2:$S$3001,"31-60"))</f>
        <v/>
      </c>
      <c r="L153" s="13" t="str">
        <f aca="false">IF(A153="","",SUMIFS('Girdi — Faturalar ve tahsilat'!$R$2:$R$3001,'Girdi — Faturalar ve tahsilat'!$C$2:$C$3001,$A153,'Girdi — Faturalar ve tahsilat'!$T$2:$T$3001,$Z$5,'Girdi — Faturalar ve tahsilat'!$S$2:$S$3001,"61-90"))</f>
        <v/>
      </c>
      <c r="M153" s="13" t="str">
        <f aca="false">IF(A153="","",SUMIFS('Girdi — Faturalar ve tahsilat'!$R$2:$R$3001,'Girdi — Faturalar ve tahsilat'!$C$2:$C$3001,$A153,'Girdi — Faturalar ve tahsilat'!$T$2:$T$3001,$Z$5,'Girdi — Faturalar ve tahsilat'!$S$2:$S$3001,"90+"))</f>
        <v/>
      </c>
      <c r="N153" s="21" t="str">
        <f aca="false">IF(F153="","",RANK(F153,$F$17:$F$216,0)+COUNTIF($F$17:F153,F153)-1)</f>
        <v/>
      </c>
    </row>
    <row r="154" customFormat="false" ht="15" hidden="false" customHeight="false" outlineLevel="0" collapsed="false">
      <c r="A154" s="16" t="str">
        <f aca="false">IFERROR(INDEX('Girdi — Faturalar ve tahsilat'!$C$2:$C$3001,MATCH(138,'Girdi — Faturalar ve tahsilat'!$U$2:$U$3001,0)),"")</f>
        <v/>
      </c>
      <c r="B154" s="16" t="str">
        <f aca="false">IF(A154="","",INDEX('Girdi — Faturalar ve tahsilat'!$D$2:$D$3001,MATCH(138,'Girdi — Faturalar ve tahsilat'!$U$2:$U$3001,0)))</f>
        <v/>
      </c>
      <c r="C154" s="13" t="str">
        <f aca="false">IF(A154="","",SUMIFS('Girdi — Faturalar ve tahsilat'!$F$2:$F$3001,'Girdi — Faturalar ve tahsilat'!$C$2:$C$3001,$A154,'Girdi — Faturalar ve tahsilat'!$T$2:$T$3001,$Z$5))</f>
        <v/>
      </c>
      <c r="D154" s="15" t="str">
        <f aca="false">IF(OR(A154="",N(C154)=0),"",SUMIFS('Girdi — Faturalar ve tahsilat'!$P$2:$P$3001,'Girdi — Faturalar ve tahsilat'!$C$2:$C$3001,$A154,'Girdi — Faturalar ve tahsilat'!$T$2:$T$3001,$Z$5)/C154)</f>
        <v/>
      </c>
      <c r="E154" s="15" t="str">
        <f aca="false">IF(OR(A154="",N(C154)=0),"",SUMIFS('Girdi — Faturalar ve tahsilat'!$Q$2:$Q$3001,'Girdi — Faturalar ve tahsilat'!$C$2:$C$3001,$A154,'Girdi — Faturalar ve tahsilat'!$T$2:$T$3001,$Z$5)/C154)</f>
        <v/>
      </c>
      <c r="F154" s="20" t="str">
        <f aca="false">IF(D154="","",E154-D154)</f>
        <v/>
      </c>
      <c r="G154" s="13" t="str">
        <f aca="false">IF(F154="","",C154*$D$4*F154/365)</f>
        <v/>
      </c>
      <c r="H154" s="13" t="str">
        <f aca="false">IF(A154="","",SUMIFS('Girdi — Faturalar ve tahsilat'!$R$2:$R$3001,'Girdi — Faturalar ve tahsilat'!$C$2:$C$3001,$A154,'Girdi — Faturalar ve tahsilat'!$T$2:$T$3001,$Z$5))</f>
        <v/>
      </c>
      <c r="I154" s="13" t="str">
        <f aca="false">IF(A154="","",SUMIFS('Girdi — Faturalar ve tahsilat'!$R$2:$R$3001,'Girdi — Faturalar ve tahsilat'!$C$2:$C$3001,$A154,'Girdi — Faturalar ve tahsilat'!$T$2:$T$3001,$Z$5,'Girdi — Faturalar ve tahsilat'!$O$2:$O$3001,"&gt;0"))</f>
        <v/>
      </c>
      <c r="J154" s="13" t="str">
        <f aca="false">IF(A154="","",SUMIFS('Girdi — Faturalar ve tahsilat'!$R$2:$R$3001,'Girdi — Faturalar ve tahsilat'!$C$2:$C$3001,$A154,'Girdi — Faturalar ve tahsilat'!$T$2:$T$3001,$Z$5,'Girdi — Faturalar ve tahsilat'!$S$2:$S$3001,"1-30"))</f>
        <v/>
      </c>
      <c r="K154" s="13" t="str">
        <f aca="false">IF(A154="","",SUMIFS('Girdi — Faturalar ve tahsilat'!$R$2:$R$3001,'Girdi — Faturalar ve tahsilat'!$C$2:$C$3001,$A154,'Girdi — Faturalar ve tahsilat'!$T$2:$T$3001,$Z$5,'Girdi — Faturalar ve tahsilat'!$S$2:$S$3001,"31-60"))</f>
        <v/>
      </c>
      <c r="L154" s="13" t="str">
        <f aca="false">IF(A154="","",SUMIFS('Girdi — Faturalar ve tahsilat'!$R$2:$R$3001,'Girdi — Faturalar ve tahsilat'!$C$2:$C$3001,$A154,'Girdi — Faturalar ve tahsilat'!$T$2:$T$3001,$Z$5,'Girdi — Faturalar ve tahsilat'!$S$2:$S$3001,"61-90"))</f>
        <v/>
      </c>
      <c r="M154" s="13" t="str">
        <f aca="false">IF(A154="","",SUMIFS('Girdi — Faturalar ve tahsilat'!$R$2:$R$3001,'Girdi — Faturalar ve tahsilat'!$C$2:$C$3001,$A154,'Girdi — Faturalar ve tahsilat'!$T$2:$T$3001,$Z$5,'Girdi — Faturalar ve tahsilat'!$S$2:$S$3001,"90+"))</f>
        <v/>
      </c>
      <c r="N154" s="21" t="str">
        <f aca="false">IF(F154="","",RANK(F154,$F$17:$F$216,0)+COUNTIF($F$17:F154,F154)-1)</f>
        <v/>
      </c>
    </row>
    <row r="155" customFormat="false" ht="15" hidden="false" customHeight="false" outlineLevel="0" collapsed="false">
      <c r="A155" s="16" t="str">
        <f aca="false">IFERROR(INDEX('Girdi — Faturalar ve tahsilat'!$C$2:$C$3001,MATCH(139,'Girdi — Faturalar ve tahsilat'!$U$2:$U$3001,0)),"")</f>
        <v/>
      </c>
      <c r="B155" s="16" t="str">
        <f aca="false">IF(A155="","",INDEX('Girdi — Faturalar ve tahsilat'!$D$2:$D$3001,MATCH(139,'Girdi — Faturalar ve tahsilat'!$U$2:$U$3001,0)))</f>
        <v/>
      </c>
      <c r="C155" s="13" t="str">
        <f aca="false">IF(A155="","",SUMIFS('Girdi — Faturalar ve tahsilat'!$F$2:$F$3001,'Girdi — Faturalar ve tahsilat'!$C$2:$C$3001,$A155,'Girdi — Faturalar ve tahsilat'!$T$2:$T$3001,$Z$5))</f>
        <v/>
      </c>
      <c r="D155" s="15" t="str">
        <f aca="false">IF(OR(A155="",N(C155)=0),"",SUMIFS('Girdi — Faturalar ve tahsilat'!$P$2:$P$3001,'Girdi — Faturalar ve tahsilat'!$C$2:$C$3001,$A155,'Girdi — Faturalar ve tahsilat'!$T$2:$T$3001,$Z$5)/C155)</f>
        <v/>
      </c>
      <c r="E155" s="15" t="str">
        <f aca="false">IF(OR(A155="",N(C155)=0),"",SUMIFS('Girdi — Faturalar ve tahsilat'!$Q$2:$Q$3001,'Girdi — Faturalar ve tahsilat'!$C$2:$C$3001,$A155,'Girdi — Faturalar ve tahsilat'!$T$2:$T$3001,$Z$5)/C155)</f>
        <v/>
      </c>
      <c r="F155" s="20" t="str">
        <f aca="false">IF(D155="","",E155-D155)</f>
        <v/>
      </c>
      <c r="G155" s="13" t="str">
        <f aca="false">IF(F155="","",C155*$D$4*F155/365)</f>
        <v/>
      </c>
      <c r="H155" s="13" t="str">
        <f aca="false">IF(A155="","",SUMIFS('Girdi — Faturalar ve tahsilat'!$R$2:$R$3001,'Girdi — Faturalar ve tahsilat'!$C$2:$C$3001,$A155,'Girdi — Faturalar ve tahsilat'!$T$2:$T$3001,$Z$5))</f>
        <v/>
      </c>
      <c r="I155" s="13" t="str">
        <f aca="false">IF(A155="","",SUMIFS('Girdi — Faturalar ve tahsilat'!$R$2:$R$3001,'Girdi — Faturalar ve tahsilat'!$C$2:$C$3001,$A155,'Girdi — Faturalar ve tahsilat'!$T$2:$T$3001,$Z$5,'Girdi — Faturalar ve tahsilat'!$O$2:$O$3001,"&gt;0"))</f>
        <v/>
      </c>
      <c r="J155" s="13" t="str">
        <f aca="false">IF(A155="","",SUMIFS('Girdi — Faturalar ve tahsilat'!$R$2:$R$3001,'Girdi — Faturalar ve tahsilat'!$C$2:$C$3001,$A155,'Girdi — Faturalar ve tahsilat'!$T$2:$T$3001,$Z$5,'Girdi — Faturalar ve tahsilat'!$S$2:$S$3001,"1-30"))</f>
        <v/>
      </c>
      <c r="K155" s="13" t="str">
        <f aca="false">IF(A155="","",SUMIFS('Girdi — Faturalar ve tahsilat'!$R$2:$R$3001,'Girdi — Faturalar ve tahsilat'!$C$2:$C$3001,$A155,'Girdi — Faturalar ve tahsilat'!$T$2:$T$3001,$Z$5,'Girdi — Faturalar ve tahsilat'!$S$2:$S$3001,"31-60"))</f>
        <v/>
      </c>
      <c r="L155" s="13" t="str">
        <f aca="false">IF(A155="","",SUMIFS('Girdi — Faturalar ve tahsilat'!$R$2:$R$3001,'Girdi — Faturalar ve tahsilat'!$C$2:$C$3001,$A155,'Girdi — Faturalar ve tahsilat'!$T$2:$T$3001,$Z$5,'Girdi — Faturalar ve tahsilat'!$S$2:$S$3001,"61-90"))</f>
        <v/>
      </c>
      <c r="M155" s="13" t="str">
        <f aca="false">IF(A155="","",SUMIFS('Girdi — Faturalar ve tahsilat'!$R$2:$R$3001,'Girdi — Faturalar ve tahsilat'!$C$2:$C$3001,$A155,'Girdi — Faturalar ve tahsilat'!$T$2:$T$3001,$Z$5,'Girdi — Faturalar ve tahsilat'!$S$2:$S$3001,"90+"))</f>
        <v/>
      </c>
      <c r="N155" s="21" t="str">
        <f aca="false">IF(F155="","",RANK(F155,$F$17:$F$216,0)+COUNTIF($F$17:F155,F155)-1)</f>
        <v/>
      </c>
    </row>
    <row r="156" customFormat="false" ht="15" hidden="false" customHeight="false" outlineLevel="0" collapsed="false">
      <c r="A156" s="16" t="str">
        <f aca="false">IFERROR(INDEX('Girdi — Faturalar ve tahsilat'!$C$2:$C$3001,MATCH(140,'Girdi — Faturalar ve tahsilat'!$U$2:$U$3001,0)),"")</f>
        <v/>
      </c>
      <c r="B156" s="16" t="str">
        <f aca="false">IF(A156="","",INDEX('Girdi — Faturalar ve tahsilat'!$D$2:$D$3001,MATCH(140,'Girdi — Faturalar ve tahsilat'!$U$2:$U$3001,0)))</f>
        <v/>
      </c>
      <c r="C156" s="13" t="str">
        <f aca="false">IF(A156="","",SUMIFS('Girdi — Faturalar ve tahsilat'!$F$2:$F$3001,'Girdi — Faturalar ve tahsilat'!$C$2:$C$3001,$A156,'Girdi — Faturalar ve tahsilat'!$T$2:$T$3001,$Z$5))</f>
        <v/>
      </c>
      <c r="D156" s="15" t="str">
        <f aca="false">IF(OR(A156="",N(C156)=0),"",SUMIFS('Girdi — Faturalar ve tahsilat'!$P$2:$P$3001,'Girdi — Faturalar ve tahsilat'!$C$2:$C$3001,$A156,'Girdi — Faturalar ve tahsilat'!$T$2:$T$3001,$Z$5)/C156)</f>
        <v/>
      </c>
      <c r="E156" s="15" t="str">
        <f aca="false">IF(OR(A156="",N(C156)=0),"",SUMIFS('Girdi — Faturalar ve tahsilat'!$Q$2:$Q$3001,'Girdi — Faturalar ve tahsilat'!$C$2:$C$3001,$A156,'Girdi — Faturalar ve tahsilat'!$T$2:$T$3001,$Z$5)/C156)</f>
        <v/>
      </c>
      <c r="F156" s="20" t="str">
        <f aca="false">IF(D156="","",E156-D156)</f>
        <v/>
      </c>
      <c r="G156" s="13" t="str">
        <f aca="false">IF(F156="","",C156*$D$4*F156/365)</f>
        <v/>
      </c>
      <c r="H156" s="13" t="str">
        <f aca="false">IF(A156="","",SUMIFS('Girdi — Faturalar ve tahsilat'!$R$2:$R$3001,'Girdi — Faturalar ve tahsilat'!$C$2:$C$3001,$A156,'Girdi — Faturalar ve tahsilat'!$T$2:$T$3001,$Z$5))</f>
        <v/>
      </c>
      <c r="I156" s="13" t="str">
        <f aca="false">IF(A156="","",SUMIFS('Girdi — Faturalar ve tahsilat'!$R$2:$R$3001,'Girdi — Faturalar ve tahsilat'!$C$2:$C$3001,$A156,'Girdi — Faturalar ve tahsilat'!$T$2:$T$3001,$Z$5,'Girdi — Faturalar ve tahsilat'!$O$2:$O$3001,"&gt;0"))</f>
        <v/>
      </c>
      <c r="J156" s="13" t="str">
        <f aca="false">IF(A156="","",SUMIFS('Girdi — Faturalar ve tahsilat'!$R$2:$R$3001,'Girdi — Faturalar ve tahsilat'!$C$2:$C$3001,$A156,'Girdi — Faturalar ve tahsilat'!$T$2:$T$3001,$Z$5,'Girdi — Faturalar ve tahsilat'!$S$2:$S$3001,"1-30"))</f>
        <v/>
      </c>
      <c r="K156" s="13" t="str">
        <f aca="false">IF(A156="","",SUMIFS('Girdi — Faturalar ve tahsilat'!$R$2:$R$3001,'Girdi — Faturalar ve tahsilat'!$C$2:$C$3001,$A156,'Girdi — Faturalar ve tahsilat'!$T$2:$T$3001,$Z$5,'Girdi — Faturalar ve tahsilat'!$S$2:$S$3001,"31-60"))</f>
        <v/>
      </c>
      <c r="L156" s="13" t="str">
        <f aca="false">IF(A156="","",SUMIFS('Girdi — Faturalar ve tahsilat'!$R$2:$R$3001,'Girdi — Faturalar ve tahsilat'!$C$2:$C$3001,$A156,'Girdi — Faturalar ve tahsilat'!$T$2:$T$3001,$Z$5,'Girdi — Faturalar ve tahsilat'!$S$2:$S$3001,"61-90"))</f>
        <v/>
      </c>
      <c r="M156" s="13" t="str">
        <f aca="false">IF(A156="","",SUMIFS('Girdi — Faturalar ve tahsilat'!$R$2:$R$3001,'Girdi — Faturalar ve tahsilat'!$C$2:$C$3001,$A156,'Girdi — Faturalar ve tahsilat'!$T$2:$T$3001,$Z$5,'Girdi — Faturalar ve tahsilat'!$S$2:$S$3001,"90+"))</f>
        <v/>
      </c>
      <c r="N156" s="21" t="str">
        <f aca="false">IF(F156="","",RANK(F156,$F$17:$F$216,0)+COUNTIF($F$17:F156,F156)-1)</f>
        <v/>
      </c>
    </row>
    <row r="157" customFormat="false" ht="15" hidden="false" customHeight="false" outlineLevel="0" collapsed="false">
      <c r="A157" s="16" t="str">
        <f aca="false">IFERROR(INDEX('Girdi — Faturalar ve tahsilat'!$C$2:$C$3001,MATCH(141,'Girdi — Faturalar ve tahsilat'!$U$2:$U$3001,0)),"")</f>
        <v/>
      </c>
      <c r="B157" s="16" t="str">
        <f aca="false">IF(A157="","",INDEX('Girdi — Faturalar ve tahsilat'!$D$2:$D$3001,MATCH(141,'Girdi — Faturalar ve tahsilat'!$U$2:$U$3001,0)))</f>
        <v/>
      </c>
      <c r="C157" s="13" t="str">
        <f aca="false">IF(A157="","",SUMIFS('Girdi — Faturalar ve tahsilat'!$F$2:$F$3001,'Girdi — Faturalar ve tahsilat'!$C$2:$C$3001,$A157,'Girdi — Faturalar ve tahsilat'!$T$2:$T$3001,$Z$5))</f>
        <v/>
      </c>
      <c r="D157" s="15" t="str">
        <f aca="false">IF(OR(A157="",N(C157)=0),"",SUMIFS('Girdi — Faturalar ve tahsilat'!$P$2:$P$3001,'Girdi — Faturalar ve tahsilat'!$C$2:$C$3001,$A157,'Girdi — Faturalar ve tahsilat'!$T$2:$T$3001,$Z$5)/C157)</f>
        <v/>
      </c>
      <c r="E157" s="15" t="str">
        <f aca="false">IF(OR(A157="",N(C157)=0),"",SUMIFS('Girdi — Faturalar ve tahsilat'!$Q$2:$Q$3001,'Girdi — Faturalar ve tahsilat'!$C$2:$C$3001,$A157,'Girdi — Faturalar ve tahsilat'!$T$2:$T$3001,$Z$5)/C157)</f>
        <v/>
      </c>
      <c r="F157" s="20" t="str">
        <f aca="false">IF(D157="","",E157-D157)</f>
        <v/>
      </c>
      <c r="G157" s="13" t="str">
        <f aca="false">IF(F157="","",C157*$D$4*F157/365)</f>
        <v/>
      </c>
      <c r="H157" s="13" t="str">
        <f aca="false">IF(A157="","",SUMIFS('Girdi — Faturalar ve tahsilat'!$R$2:$R$3001,'Girdi — Faturalar ve tahsilat'!$C$2:$C$3001,$A157,'Girdi — Faturalar ve tahsilat'!$T$2:$T$3001,$Z$5))</f>
        <v/>
      </c>
      <c r="I157" s="13" t="str">
        <f aca="false">IF(A157="","",SUMIFS('Girdi — Faturalar ve tahsilat'!$R$2:$R$3001,'Girdi — Faturalar ve tahsilat'!$C$2:$C$3001,$A157,'Girdi — Faturalar ve tahsilat'!$T$2:$T$3001,$Z$5,'Girdi — Faturalar ve tahsilat'!$O$2:$O$3001,"&gt;0"))</f>
        <v/>
      </c>
      <c r="J157" s="13" t="str">
        <f aca="false">IF(A157="","",SUMIFS('Girdi — Faturalar ve tahsilat'!$R$2:$R$3001,'Girdi — Faturalar ve tahsilat'!$C$2:$C$3001,$A157,'Girdi — Faturalar ve tahsilat'!$T$2:$T$3001,$Z$5,'Girdi — Faturalar ve tahsilat'!$S$2:$S$3001,"1-30"))</f>
        <v/>
      </c>
      <c r="K157" s="13" t="str">
        <f aca="false">IF(A157="","",SUMIFS('Girdi — Faturalar ve tahsilat'!$R$2:$R$3001,'Girdi — Faturalar ve tahsilat'!$C$2:$C$3001,$A157,'Girdi — Faturalar ve tahsilat'!$T$2:$T$3001,$Z$5,'Girdi — Faturalar ve tahsilat'!$S$2:$S$3001,"31-60"))</f>
        <v/>
      </c>
      <c r="L157" s="13" t="str">
        <f aca="false">IF(A157="","",SUMIFS('Girdi — Faturalar ve tahsilat'!$R$2:$R$3001,'Girdi — Faturalar ve tahsilat'!$C$2:$C$3001,$A157,'Girdi — Faturalar ve tahsilat'!$T$2:$T$3001,$Z$5,'Girdi — Faturalar ve tahsilat'!$S$2:$S$3001,"61-90"))</f>
        <v/>
      </c>
      <c r="M157" s="13" t="str">
        <f aca="false">IF(A157="","",SUMIFS('Girdi — Faturalar ve tahsilat'!$R$2:$R$3001,'Girdi — Faturalar ve tahsilat'!$C$2:$C$3001,$A157,'Girdi — Faturalar ve tahsilat'!$T$2:$T$3001,$Z$5,'Girdi — Faturalar ve tahsilat'!$S$2:$S$3001,"90+"))</f>
        <v/>
      </c>
      <c r="N157" s="21" t="str">
        <f aca="false">IF(F157="","",RANK(F157,$F$17:$F$216,0)+COUNTIF($F$17:F157,F157)-1)</f>
        <v/>
      </c>
    </row>
    <row r="158" customFormat="false" ht="15" hidden="false" customHeight="false" outlineLevel="0" collapsed="false">
      <c r="A158" s="16" t="str">
        <f aca="false">IFERROR(INDEX('Girdi — Faturalar ve tahsilat'!$C$2:$C$3001,MATCH(142,'Girdi — Faturalar ve tahsilat'!$U$2:$U$3001,0)),"")</f>
        <v/>
      </c>
      <c r="B158" s="16" t="str">
        <f aca="false">IF(A158="","",INDEX('Girdi — Faturalar ve tahsilat'!$D$2:$D$3001,MATCH(142,'Girdi — Faturalar ve tahsilat'!$U$2:$U$3001,0)))</f>
        <v/>
      </c>
      <c r="C158" s="13" t="str">
        <f aca="false">IF(A158="","",SUMIFS('Girdi — Faturalar ve tahsilat'!$F$2:$F$3001,'Girdi — Faturalar ve tahsilat'!$C$2:$C$3001,$A158,'Girdi — Faturalar ve tahsilat'!$T$2:$T$3001,$Z$5))</f>
        <v/>
      </c>
      <c r="D158" s="15" t="str">
        <f aca="false">IF(OR(A158="",N(C158)=0),"",SUMIFS('Girdi — Faturalar ve tahsilat'!$P$2:$P$3001,'Girdi — Faturalar ve tahsilat'!$C$2:$C$3001,$A158,'Girdi — Faturalar ve tahsilat'!$T$2:$T$3001,$Z$5)/C158)</f>
        <v/>
      </c>
      <c r="E158" s="15" t="str">
        <f aca="false">IF(OR(A158="",N(C158)=0),"",SUMIFS('Girdi — Faturalar ve tahsilat'!$Q$2:$Q$3001,'Girdi — Faturalar ve tahsilat'!$C$2:$C$3001,$A158,'Girdi — Faturalar ve tahsilat'!$T$2:$T$3001,$Z$5)/C158)</f>
        <v/>
      </c>
      <c r="F158" s="20" t="str">
        <f aca="false">IF(D158="","",E158-D158)</f>
        <v/>
      </c>
      <c r="G158" s="13" t="str">
        <f aca="false">IF(F158="","",C158*$D$4*F158/365)</f>
        <v/>
      </c>
      <c r="H158" s="13" t="str">
        <f aca="false">IF(A158="","",SUMIFS('Girdi — Faturalar ve tahsilat'!$R$2:$R$3001,'Girdi — Faturalar ve tahsilat'!$C$2:$C$3001,$A158,'Girdi — Faturalar ve tahsilat'!$T$2:$T$3001,$Z$5))</f>
        <v/>
      </c>
      <c r="I158" s="13" t="str">
        <f aca="false">IF(A158="","",SUMIFS('Girdi — Faturalar ve tahsilat'!$R$2:$R$3001,'Girdi — Faturalar ve tahsilat'!$C$2:$C$3001,$A158,'Girdi — Faturalar ve tahsilat'!$T$2:$T$3001,$Z$5,'Girdi — Faturalar ve tahsilat'!$O$2:$O$3001,"&gt;0"))</f>
        <v/>
      </c>
      <c r="J158" s="13" t="str">
        <f aca="false">IF(A158="","",SUMIFS('Girdi — Faturalar ve tahsilat'!$R$2:$R$3001,'Girdi — Faturalar ve tahsilat'!$C$2:$C$3001,$A158,'Girdi — Faturalar ve tahsilat'!$T$2:$T$3001,$Z$5,'Girdi — Faturalar ve tahsilat'!$S$2:$S$3001,"1-30"))</f>
        <v/>
      </c>
      <c r="K158" s="13" t="str">
        <f aca="false">IF(A158="","",SUMIFS('Girdi — Faturalar ve tahsilat'!$R$2:$R$3001,'Girdi — Faturalar ve tahsilat'!$C$2:$C$3001,$A158,'Girdi — Faturalar ve tahsilat'!$T$2:$T$3001,$Z$5,'Girdi — Faturalar ve tahsilat'!$S$2:$S$3001,"31-60"))</f>
        <v/>
      </c>
      <c r="L158" s="13" t="str">
        <f aca="false">IF(A158="","",SUMIFS('Girdi — Faturalar ve tahsilat'!$R$2:$R$3001,'Girdi — Faturalar ve tahsilat'!$C$2:$C$3001,$A158,'Girdi — Faturalar ve tahsilat'!$T$2:$T$3001,$Z$5,'Girdi — Faturalar ve tahsilat'!$S$2:$S$3001,"61-90"))</f>
        <v/>
      </c>
      <c r="M158" s="13" t="str">
        <f aca="false">IF(A158="","",SUMIFS('Girdi — Faturalar ve tahsilat'!$R$2:$R$3001,'Girdi — Faturalar ve tahsilat'!$C$2:$C$3001,$A158,'Girdi — Faturalar ve tahsilat'!$T$2:$T$3001,$Z$5,'Girdi — Faturalar ve tahsilat'!$S$2:$S$3001,"90+"))</f>
        <v/>
      </c>
      <c r="N158" s="21" t="str">
        <f aca="false">IF(F158="","",RANK(F158,$F$17:$F$216,0)+COUNTIF($F$17:F158,F158)-1)</f>
        <v/>
      </c>
    </row>
    <row r="159" customFormat="false" ht="15" hidden="false" customHeight="false" outlineLevel="0" collapsed="false">
      <c r="A159" s="16" t="str">
        <f aca="false">IFERROR(INDEX('Girdi — Faturalar ve tahsilat'!$C$2:$C$3001,MATCH(143,'Girdi — Faturalar ve tahsilat'!$U$2:$U$3001,0)),"")</f>
        <v/>
      </c>
      <c r="B159" s="16" t="str">
        <f aca="false">IF(A159="","",INDEX('Girdi — Faturalar ve tahsilat'!$D$2:$D$3001,MATCH(143,'Girdi — Faturalar ve tahsilat'!$U$2:$U$3001,0)))</f>
        <v/>
      </c>
      <c r="C159" s="13" t="str">
        <f aca="false">IF(A159="","",SUMIFS('Girdi — Faturalar ve tahsilat'!$F$2:$F$3001,'Girdi — Faturalar ve tahsilat'!$C$2:$C$3001,$A159,'Girdi — Faturalar ve tahsilat'!$T$2:$T$3001,$Z$5))</f>
        <v/>
      </c>
      <c r="D159" s="15" t="str">
        <f aca="false">IF(OR(A159="",N(C159)=0),"",SUMIFS('Girdi — Faturalar ve tahsilat'!$P$2:$P$3001,'Girdi — Faturalar ve tahsilat'!$C$2:$C$3001,$A159,'Girdi — Faturalar ve tahsilat'!$T$2:$T$3001,$Z$5)/C159)</f>
        <v/>
      </c>
      <c r="E159" s="15" t="str">
        <f aca="false">IF(OR(A159="",N(C159)=0),"",SUMIFS('Girdi — Faturalar ve tahsilat'!$Q$2:$Q$3001,'Girdi — Faturalar ve tahsilat'!$C$2:$C$3001,$A159,'Girdi — Faturalar ve tahsilat'!$T$2:$T$3001,$Z$5)/C159)</f>
        <v/>
      </c>
      <c r="F159" s="20" t="str">
        <f aca="false">IF(D159="","",E159-D159)</f>
        <v/>
      </c>
      <c r="G159" s="13" t="str">
        <f aca="false">IF(F159="","",C159*$D$4*F159/365)</f>
        <v/>
      </c>
      <c r="H159" s="13" t="str">
        <f aca="false">IF(A159="","",SUMIFS('Girdi — Faturalar ve tahsilat'!$R$2:$R$3001,'Girdi — Faturalar ve tahsilat'!$C$2:$C$3001,$A159,'Girdi — Faturalar ve tahsilat'!$T$2:$T$3001,$Z$5))</f>
        <v/>
      </c>
      <c r="I159" s="13" t="str">
        <f aca="false">IF(A159="","",SUMIFS('Girdi — Faturalar ve tahsilat'!$R$2:$R$3001,'Girdi — Faturalar ve tahsilat'!$C$2:$C$3001,$A159,'Girdi — Faturalar ve tahsilat'!$T$2:$T$3001,$Z$5,'Girdi — Faturalar ve tahsilat'!$O$2:$O$3001,"&gt;0"))</f>
        <v/>
      </c>
      <c r="J159" s="13" t="str">
        <f aca="false">IF(A159="","",SUMIFS('Girdi — Faturalar ve tahsilat'!$R$2:$R$3001,'Girdi — Faturalar ve tahsilat'!$C$2:$C$3001,$A159,'Girdi — Faturalar ve tahsilat'!$T$2:$T$3001,$Z$5,'Girdi — Faturalar ve tahsilat'!$S$2:$S$3001,"1-30"))</f>
        <v/>
      </c>
      <c r="K159" s="13" t="str">
        <f aca="false">IF(A159="","",SUMIFS('Girdi — Faturalar ve tahsilat'!$R$2:$R$3001,'Girdi — Faturalar ve tahsilat'!$C$2:$C$3001,$A159,'Girdi — Faturalar ve tahsilat'!$T$2:$T$3001,$Z$5,'Girdi — Faturalar ve tahsilat'!$S$2:$S$3001,"31-60"))</f>
        <v/>
      </c>
      <c r="L159" s="13" t="str">
        <f aca="false">IF(A159="","",SUMIFS('Girdi — Faturalar ve tahsilat'!$R$2:$R$3001,'Girdi — Faturalar ve tahsilat'!$C$2:$C$3001,$A159,'Girdi — Faturalar ve tahsilat'!$T$2:$T$3001,$Z$5,'Girdi — Faturalar ve tahsilat'!$S$2:$S$3001,"61-90"))</f>
        <v/>
      </c>
      <c r="M159" s="13" t="str">
        <f aca="false">IF(A159="","",SUMIFS('Girdi — Faturalar ve tahsilat'!$R$2:$R$3001,'Girdi — Faturalar ve tahsilat'!$C$2:$C$3001,$A159,'Girdi — Faturalar ve tahsilat'!$T$2:$T$3001,$Z$5,'Girdi — Faturalar ve tahsilat'!$S$2:$S$3001,"90+"))</f>
        <v/>
      </c>
      <c r="N159" s="21" t="str">
        <f aca="false">IF(F159="","",RANK(F159,$F$17:$F$216,0)+COUNTIF($F$17:F159,F159)-1)</f>
        <v/>
      </c>
    </row>
    <row r="160" customFormat="false" ht="15" hidden="false" customHeight="false" outlineLevel="0" collapsed="false">
      <c r="A160" s="16" t="str">
        <f aca="false">IFERROR(INDEX('Girdi — Faturalar ve tahsilat'!$C$2:$C$3001,MATCH(144,'Girdi — Faturalar ve tahsilat'!$U$2:$U$3001,0)),"")</f>
        <v/>
      </c>
      <c r="B160" s="16" t="str">
        <f aca="false">IF(A160="","",INDEX('Girdi — Faturalar ve tahsilat'!$D$2:$D$3001,MATCH(144,'Girdi — Faturalar ve tahsilat'!$U$2:$U$3001,0)))</f>
        <v/>
      </c>
      <c r="C160" s="13" t="str">
        <f aca="false">IF(A160="","",SUMIFS('Girdi — Faturalar ve tahsilat'!$F$2:$F$3001,'Girdi — Faturalar ve tahsilat'!$C$2:$C$3001,$A160,'Girdi — Faturalar ve tahsilat'!$T$2:$T$3001,$Z$5))</f>
        <v/>
      </c>
      <c r="D160" s="15" t="str">
        <f aca="false">IF(OR(A160="",N(C160)=0),"",SUMIFS('Girdi — Faturalar ve tahsilat'!$P$2:$P$3001,'Girdi — Faturalar ve tahsilat'!$C$2:$C$3001,$A160,'Girdi — Faturalar ve tahsilat'!$T$2:$T$3001,$Z$5)/C160)</f>
        <v/>
      </c>
      <c r="E160" s="15" t="str">
        <f aca="false">IF(OR(A160="",N(C160)=0),"",SUMIFS('Girdi — Faturalar ve tahsilat'!$Q$2:$Q$3001,'Girdi — Faturalar ve tahsilat'!$C$2:$C$3001,$A160,'Girdi — Faturalar ve tahsilat'!$T$2:$T$3001,$Z$5)/C160)</f>
        <v/>
      </c>
      <c r="F160" s="20" t="str">
        <f aca="false">IF(D160="","",E160-D160)</f>
        <v/>
      </c>
      <c r="G160" s="13" t="str">
        <f aca="false">IF(F160="","",C160*$D$4*F160/365)</f>
        <v/>
      </c>
      <c r="H160" s="13" t="str">
        <f aca="false">IF(A160="","",SUMIFS('Girdi — Faturalar ve tahsilat'!$R$2:$R$3001,'Girdi — Faturalar ve tahsilat'!$C$2:$C$3001,$A160,'Girdi — Faturalar ve tahsilat'!$T$2:$T$3001,$Z$5))</f>
        <v/>
      </c>
      <c r="I160" s="13" t="str">
        <f aca="false">IF(A160="","",SUMIFS('Girdi — Faturalar ve tahsilat'!$R$2:$R$3001,'Girdi — Faturalar ve tahsilat'!$C$2:$C$3001,$A160,'Girdi — Faturalar ve tahsilat'!$T$2:$T$3001,$Z$5,'Girdi — Faturalar ve tahsilat'!$O$2:$O$3001,"&gt;0"))</f>
        <v/>
      </c>
      <c r="J160" s="13" t="str">
        <f aca="false">IF(A160="","",SUMIFS('Girdi — Faturalar ve tahsilat'!$R$2:$R$3001,'Girdi — Faturalar ve tahsilat'!$C$2:$C$3001,$A160,'Girdi — Faturalar ve tahsilat'!$T$2:$T$3001,$Z$5,'Girdi — Faturalar ve tahsilat'!$S$2:$S$3001,"1-30"))</f>
        <v/>
      </c>
      <c r="K160" s="13" t="str">
        <f aca="false">IF(A160="","",SUMIFS('Girdi — Faturalar ve tahsilat'!$R$2:$R$3001,'Girdi — Faturalar ve tahsilat'!$C$2:$C$3001,$A160,'Girdi — Faturalar ve tahsilat'!$T$2:$T$3001,$Z$5,'Girdi — Faturalar ve tahsilat'!$S$2:$S$3001,"31-60"))</f>
        <v/>
      </c>
      <c r="L160" s="13" t="str">
        <f aca="false">IF(A160="","",SUMIFS('Girdi — Faturalar ve tahsilat'!$R$2:$R$3001,'Girdi — Faturalar ve tahsilat'!$C$2:$C$3001,$A160,'Girdi — Faturalar ve tahsilat'!$T$2:$T$3001,$Z$5,'Girdi — Faturalar ve tahsilat'!$S$2:$S$3001,"61-90"))</f>
        <v/>
      </c>
      <c r="M160" s="13" t="str">
        <f aca="false">IF(A160="","",SUMIFS('Girdi — Faturalar ve tahsilat'!$R$2:$R$3001,'Girdi — Faturalar ve tahsilat'!$C$2:$C$3001,$A160,'Girdi — Faturalar ve tahsilat'!$T$2:$T$3001,$Z$5,'Girdi — Faturalar ve tahsilat'!$S$2:$S$3001,"90+"))</f>
        <v/>
      </c>
      <c r="N160" s="21" t="str">
        <f aca="false">IF(F160="","",RANK(F160,$F$17:$F$216,0)+COUNTIF($F$17:F160,F160)-1)</f>
        <v/>
      </c>
    </row>
    <row r="161" customFormat="false" ht="15" hidden="false" customHeight="false" outlineLevel="0" collapsed="false">
      <c r="A161" s="16" t="str">
        <f aca="false">IFERROR(INDEX('Girdi — Faturalar ve tahsilat'!$C$2:$C$3001,MATCH(145,'Girdi — Faturalar ve tahsilat'!$U$2:$U$3001,0)),"")</f>
        <v/>
      </c>
      <c r="B161" s="16" t="str">
        <f aca="false">IF(A161="","",INDEX('Girdi — Faturalar ve tahsilat'!$D$2:$D$3001,MATCH(145,'Girdi — Faturalar ve tahsilat'!$U$2:$U$3001,0)))</f>
        <v/>
      </c>
      <c r="C161" s="13" t="str">
        <f aca="false">IF(A161="","",SUMIFS('Girdi — Faturalar ve tahsilat'!$F$2:$F$3001,'Girdi — Faturalar ve tahsilat'!$C$2:$C$3001,$A161,'Girdi — Faturalar ve tahsilat'!$T$2:$T$3001,$Z$5))</f>
        <v/>
      </c>
      <c r="D161" s="15" t="str">
        <f aca="false">IF(OR(A161="",N(C161)=0),"",SUMIFS('Girdi — Faturalar ve tahsilat'!$P$2:$P$3001,'Girdi — Faturalar ve tahsilat'!$C$2:$C$3001,$A161,'Girdi — Faturalar ve tahsilat'!$T$2:$T$3001,$Z$5)/C161)</f>
        <v/>
      </c>
      <c r="E161" s="15" t="str">
        <f aca="false">IF(OR(A161="",N(C161)=0),"",SUMIFS('Girdi — Faturalar ve tahsilat'!$Q$2:$Q$3001,'Girdi — Faturalar ve tahsilat'!$C$2:$C$3001,$A161,'Girdi — Faturalar ve tahsilat'!$T$2:$T$3001,$Z$5)/C161)</f>
        <v/>
      </c>
      <c r="F161" s="20" t="str">
        <f aca="false">IF(D161="","",E161-D161)</f>
        <v/>
      </c>
      <c r="G161" s="13" t="str">
        <f aca="false">IF(F161="","",C161*$D$4*F161/365)</f>
        <v/>
      </c>
      <c r="H161" s="13" t="str">
        <f aca="false">IF(A161="","",SUMIFS('Girdi — Faturalar ve tahsilat'!$R$2:$R$3001,'Girdi — Faturalar ve tahsilat'!$C$2:$C$3001,$A161,'Girdi — Faturalar ve tahsilat'!$T$2:$T$3001,$Z$5))</f>
        <v/>
      </c>
      <c r="I161" s="13" t="str">
        <f aca="false">IF(A161="","",SUMIFS('Girdi — Faturalar ve tahsilat'!$R$2:$R$3001,'Girdi — Faturalar ve tahsilat'!$C$2:$C$3001,$A161,'Girdi — Faturalar ve tahsilat'!$T$2:$T$3001,$Z$5,'Girdi — Faturalar ve tahsilat'!$O$2:$O$3001,"&gt;0"))</f>
        <v/>
      </c>
      <c r="J161" s="13" t="str">
        <f aca="false">IF(A161="","",SUMIFS('Girdi — Faturalar ve tahsilat'!$R$2:$R$3001,'Girdi — Faturalar ve tahsilat'!$C$2:$C$3001,$A161,'Girdi — Faturalar ve tahsilat'!$T$2:$T$3001,$Z$5,'Girdi — Faturalar ve tahsilat'!$S$2:$S$3001,"1-30"))</f>
        <v/>
      </c>
      <c r="K161" s="13" t="str">
        <f aca="false">IF(A161="","",SUMIFS('Girdi — Faturalar ve tahsilat'!$R$2:$R$3001,'Girdi — Faturalar ve tahsilat'!$C$2:$C$3001,$A161,'Girdi — Faturalar ve tahsilat'!$T$2:$T$3001,$Z$5,'Girdi — Faturalar ve tahsilat'!$S$2:$S$3001,"31-60"))</f>
        <v/>
      </c>
      <c r="L161" s="13" t="str">
        <f aca="false">IF(A161="","",SUMIFS('Girdi — Faturalar ve tahsilat'!$R$2:$R$3001,'Girdi — Faturalar ve tahsilat'!$C$2:$C$3001,$A161,'Girdi — Faturalar ve tahsilat'!$T$2:$T$3001,$Z$5,'Girdi — Faturalar ve tahsilat'!$S$2:$S$3001,"61-90"))</f>
        <v/>
      </c>
      <c r="M161" s="13" t="str">
        <f aca="false">IF(A161="","",SUMIFS('Girdi — Faturalar ve tahsilat'!$R$2:$R$3001,'Girdi — Faturalar ve tahsilat'!$C$2:$C$3001,$A161,'Girdi — Faturalar ve tahsilat'!$T$2:$T$3001,$Z$5,'Girdi — Faturalar ve tahsilat'!$S$2:$S$3001,"90+"))</f>
        <v/>
      </c>
      <c r="N161" s="21" t="str">
        <f aca="false">IF(F161="","",RANK(F161,$F$17:$F$216,0)+COUNTIF($F$17:F161,F161)-1)</f>
        <v/>
      </c>
    </row>
    <row r="162" customFormat="false" ht="15" hidden="false" customHeight="false" outlineLevel="0" collapsed="false">
      <c r="A162" s="16" t="str">
        <f aca="false">IFERROR(INDEX('Girdi — Faturalar ve tahsilat'!$C$2:$C$3001,MATCH(146,'Girdi — Faturalar ve tahsilat'!$U$2:$U$3001,0)),"")</f>
        <v/>
      </c>
      <c r="B162" s="16" t="str">
        <f aca="false">IF(A162="","",INDEX('Girdi — Faturalar ve tahsilat'!$D$2:$D$3001,MATCH(146,'Girdi — Faturalar ve tahsilat'!$U$2:$U$3001,0)))</f>
        <v/>
      </c>
      <c r="C162" s="13" t="str">
        <f aca="false">IF(A162="","",SUMIFS('Girdi — Faturalar ve tahsilat'!$F$2:$F$3001,'Girdi — Faturalar ve tahsilat'!$C$2:$C$3001,$A162,'Girdi — Faturalar ve tahsilat'!$T$2:$T$3001,$Z$5))</f>
        <v/>
      </c>
      <c r="D162" s="15" t="str">
        <f aca="false">IF(OR(A162="",N(C162)=0),"",SUMIFS('Girdi — Faturalar ve tahsilat'!$P$2:$P$3001,'Girdi — Faturalar ve tahsilat'!$C$2:$C$3001,$A162,'Girdi — Faturalar ve tahsilat'!$T$2:$T$3001,$Z$5)/C162)</f>
        <v/>
      </c>
      <c r="E162" s="15" t="str">
        <f aca="false">IF(OR(A162="",N(C162)=0),"",SUMIFS('Girdi — Faturalar ve tahsilat'!$Q$2:$Q$3001,'Girdi — Faturalar ve tahsilat'!$C$2:$C$3001,$A162,'Girdi — Faturalar ve tahsilat'!$T$2:$T$3001,$Z$5)/C162)</f>
        <v/>
      </c>
      <c r="F162" s="20" t="str">
        <f aca="false">IF(D162="","",E162-D162)</f>
        <v/>
      </c>
      <c r="G162" s="13" t="str">
        <f aca="false">IF(F162="","",C162*$D$4*F162/365)</f>
        <v/>
      </c>
      <c r="H162" s="13" t="str">
        <f aca="false">IF(A162="","",SUMIFS('Girdi — Faturalar ve tahsilat'!$R$2:$R$3001,'Girdi — Faturalar ve tahsilat'!$C$2:$C$3001,$A162,'Girdi — Faturalar ve tahsilat'!$T$2:$T$3001,$Z$5))</f>
        <v/>
      </c>
      <c r="I162" s="13" t="str">
        <f aca="false">IF(A162="","",SUMIFS('Girdi — Faturalar ve tahsilat'!$R$2:$R$3001,'Girdi — Faturalar ve tahsilat'!$C$2:$C$3001,$A162,'Girdi — Faturalar ve tahsilat'!$T$2:$T$3001,$Z$5,'Girdi — Faturalar ve tahsilat'!$O$2:$O$3001,"&gt;0"))</f>
        <v/>
      </c>
      <c r="J162" s="13" t="str">
        <f aca="false">IF(A162="","",SUMIFS('Girdi — Faturalar ve tahsilat'!$R$2:$R$3001,'Girdi — Faturalar ve tahsilat'!$C$2:$C$3001,$A162,'Girdi — Faturalar ve tahsilat'!$T$2:$T$3001,$Z$5,'Girdi — Faturalar ve tahsilat'!$S$2:$S$3001,"1-30"))</f>
        <v/>
      </c>
      <c r="K162" s="13" t="str">
        <f aca="false">IF(A162="","",SUMIFS('Girdi — Faturalar ve tahsilat'!$R$2:$R$3001,'Girdi — Faturalar ve tahsilat'!$C$2:$C$3001,$A162,'Girdi — Faturalar ve tahsilat'!$T$2:$T$3001,$Z$5,'Girdi — Faturalar ve tahsilat'!$S$2:$S$3001,"31-60"))</f>
        <v/>
      </c>
      <c r="L162" s="13" t="str">
        <f aca="false">IF(A162="","",SUMIFS('Girdi — Faturalar ve tahsilat'!$R$2:$R$3001,'Girdi — Faturalar ve tahsilat'!$C$2:$C$3001,$A162,'Girdi — Faturalar ve tahsilat'!$T$2:$T$3001,$Z$5,'Girdi — Faturalar ve tahsilat'!$S$2:$S$3001,"61-90"))</f>
        <v/>
      </c>
      <c r="M162" s="13" t="str">
        <f aca="false">IF(A162="","",SUMIFS('Girdi — Faturalar ve tahsilat'!$R$2:$R$3001,'Girdi — Faturalar ve tahsilat'!$C$2:$C$3001,$A162,'Girdi — Faturalar ve tahsilat'!$T$2:$T$3001,$Z$5,'Girdi — Faturalar ve tahsilat'!$S$2:$S$3001,"90+"))</f>
        <v/>
      </c>
      <c r="N162" s="21" t="str">
        <f aca="false">IF(F162="","",RANK(F162,$F$17:$F$216,0)+COUNTIF($F$17:F162,F162)-1)</f>
        <v/>
      </c>
    </row>
    <row r="163" customFormat="false" ht="15" hidden="false" customHeight="false" outlineLevel="0" collapsed="false">
      <c r="A163" s="16" t="str">
        <f aca="false">IFERROR(INDEX('Girdi — Faturalar ve tahsilat'!$C$2:$C$3001,MATCH(147,'Girdi — Faturalar ve tahsilat'!$U$2:$U$3001,0)),"")</f>
        <v/>
      </c>
      <c r="B163" s="16" t="str">
        <f aca="false">IF(A163="","",INDEX('Girdi — Faturalar ve tahsilat'!$D$2:$D$3001,MATCH(147,'Girdi — Faturalar ve tahsilat'!$U$2:$U$3001,0)))</f>
        <v/>
      </c>
      <c r="C163" s="13" t="str">
        <f aca="false">IF(A163="","",SUMIFS('Girdi — Faturalar ve tahsilat'!$F$2:$F$3001,'Girdi — Faturalar ve tahsilat'!$C$2:$C$3001,$A163,'Girdi — Faturalar ve tahsilat'!$T$2:$T$3001,$Z$5))</f>
        <v/>
      </c>
      <c r="D163" s="15" t="str">
        <f aca="false">IF(OR(A163="",N(C163)=0),"",SUMIFS('Girdi — Faturalar ve tahsilat'!$P$2:$P$3001,'Girdi — Faturalar ve tahsilat'!$C$2:$C$3001,$A163,'Girdi — Faturalar ve tahsilat'!$T$2:$T$3001,$Z$5)/C163)</f>
        <v/>
      </c>
      <c r="E163" s="15" t="str">
        <f aca="false">IF(OR(A163="",N(C163)=0),"",SUMIFS('Girdi — Faturalar ve tahsilat'!$Q$2:$Q$3001,'Girdi — Faturalar ve tahsilat'!$C$2:$C$3001,$A163,'Girdi — Faturalar ve tahsilat'!$T$2:$T$3001,$Z$5)/C163)</f>
        <v/>
      </c>
      <c r="F163" s="20" t="str">
        <f aca="false">IF(D163="","",E163-D163)</f>
        <v/>
      </c>
      <c r="G163" s="13" t="str">
        <f aca="false">IF(F163="","",C163*$D$4*F163/365)</f>
        <v/>
      </c>
      <c r="H163" s="13" t="str">
        <f aca="false">IF(A163="","",SUMIFS('Girdi — Faturalar ve tahsilat'!$R$2:$R$3001,'Girdi — Faturalar ve tahsilat'!$C$2:$C$3001,$A163,'Girdi — Faturalar ve tahsilat'!$T$2:$T$3001,$Z$5))</f>
        <v/>
      </c>
      <c r="I163" s="13" t="str">
        <f aca="false">IF(A163="","",SUMIFS('Girdi — Faturalar ve tahsilat'!$R$2:$R$3001,'Girdi — Faturalar ve tahsilat'!$C$2:$C$3001,$A163,'Girdi — Faturalar ve tahsilat'!$T$2:$T$3001,$Z$5,'Girdi — Faturalar ve tahsilat'!$O$2:$O$3001,"&gt;0"))</f>
        <v/>
      </c>
      <c r="J163" s="13" t="str">
        <f aca="false">IF(A163="","",SUMIFS('Girdi — Faturalar ve tahsilat'!$R$2:$R$3001,'Girdi — Faturalar ve tahsilat'!$C$2:$C$3001,$A163,'Girdi — Faturalar ve tahsilat'!$T$2:$T$3001,$Z$5,'Girdi — Faturalar ve tahsilat'!$S$2:$S$3001,"1-30"))</f>
        <v/>
      </c>
      <c r="K163" s="13" t="str">
        <f aca="false">IF(A163="","",SUMIFS('Girdi — Faturalar ve tahsilat'!$R$2:$R$3001,'Girdi — Faturalar ve tahsilat'!$C$2:$C$3001,$A163,'Girdi — Faturalar ve tahsilat'!$T$2:$T$3001,$Z$5,'Girdi — Faturalar ve tahsilat'!$S$2:$S$3001,"31-60"))</f>
        <v/>
      </c>
      <c r="L163" s="13" t="str">
        <f aca="false">IF(A163="","",SUMIFS('Girdi — Faturalar ve tahsilat'!$R$2:$R$3001,'Girdi — Faturalar ve tahsilat'!$C$2:$C$3001,$A163,'Girdi — Faturalar ve tahsilat'!$T$2:$T$3001,$Z$5,'Girdi — Faturalar ve tahsilat'!$S$2:$S$3001,"61-90"))</f>
        <v/>
      </c>
      <c r="M163" s="13" t="str">
        <f aca="false">IF(A163="","",SUMIFS('Girdi — Faturalar ve tahsilat'!$R$2:$R$3001,'Girdi — Faturalar ve tahsilat'!$C$2:$C$3001,$A163,'Girdi — Faturalar ve tahsilat'!$T$2:$T$3001,$Z$5,'Girdi — Faturalar ve tahsilat'!$S$2:$S$3001,"90+"))</f>
        <v/>
      </c>
      <c r="N163" s="21" t="str">
        <f aca="false">IF(F163="","",RANK(F163,$F$17:$F$216,0)+COUNTIF($F$17:F163,F163)-1)</f>
        <v/>
      </c>
    </row>
    <row r="164" customFormat="false" ht="15" hidden="false" customHeight="false" outlineLevel="0" collapsed="false">
      <c r="A164" s="16" t="str">
        <f aca="false">IFERROR(INDEX('Girdi — Faturalar ve tahsilat'!$C$2:$C$3001,MATCH(148,'Girdi — Faturalar ve tahsilat'!$U$2:$U$3001,0)),"")</f>
        <v/>
      </c>
      <c r="B164" s="16" t="str">
        <f aca="false">IF(A164="","",INDEX('Girdi — Faturalar ve tahsilat'!$D$2:$D$3001,MATCH(148,'Girdi — Faturalar ve tahsilat'!$U$2:$U$3001,0)))</f>
        <v/>
      </c>
      <c r="C164" s="13" t="str">
        <f aca="false">IF(A164="","",SUMIFS('Girdi — Faturalar ve tahsilat'!$F$2:$F$3001,'Girdi — Faturalar ve tahsilat'!$C$2:$C$3001,$A164,'Girdi — Faturalar ve tahsilat'!$T$2:$T$3001,$Z$5))</f>
        <v/>
      </c>
      <c r="D164" s="15" t="str">
        <f aca="false">IF(OR(A164="",N(C164)=0),"",SUMIFS('Girdi — Faturalar ve tahsilat'!$P$2:$P$3001,'Girdi — Faturalar ve tahsilat'!$C$2:$C$3001,$A164,'Girdi — Faturalar ve tahsilat'!$T$2:$T$3001,$Z$5)/C164)</f>
        <v/>
      </c>
      <c r="E164" s="15" t="str">
        <f aca="false">IF(OR(A164="",N(C164)=0),"",SUMIFS('Girdi — Faturalar ve tahsilat'!$Q$2:$Q$3001,'Girdi — Faturalar ve tahsilat'!$C$2:$C$3001,$A164,'Girdi — Faturalar ve tahsilat'!$T$2:$T$3001,$Z$5)/C164)</f>
        <v/>
      </c>
      <c r="F164" s="20" t="str">
        <f aca="false">IF(D164="","",E164-D164)</f>
        <v/>
      </c>
      <c r="G164" s="13" t="str">
        <f aca="false">IF(F164="","",C164*$D$4*F164/365)</f>
        <v/>
      </c>
      <c r="H164" s="13" t="str">
        <f aca="false">IF(A164="","",SUMIFS('Girdi — Faturalar ve tahsilat'!$R$2:$R$3001,'Girdi — Faturalar ve tahsilat'!$C$2:$C$3001,$A164,'Girdi — Faturalar ve tahsilat'!$T$2:$T$3001,$Z$5))</f>
        <v/>
      </c>
      <c r="I164" s="13" t="str">
        <f aca="false">IF(A164="","",SUMIFS('Girdi — Faturalar ve tahsilat'!$R$2:$R$3001,'Girdi — Faturalar ve tahsilat'!$C$2:$C$3001,$A164,'Girdi — Faturalar ve tahsilat'!$T$2:$T$3001,$Z$5,'Girdi — Faturalar ve tahsilat'!$O$2:$O$3001,"&gt;0"))</f>
        <v/>
      </c>
      <c r="J164" s="13" t="str">
        <f aca="false">IF(A164="","",SUMIFS('Girdi — Faturalar ve tahsilat'!$R$2:$R$3001,'Girdi — Faturalar ve tahsilat'!$C$2:$C$3001,$A164,'Girdi — Faturalar ve tahsilat'!$T$2:$T$3001,$Z$5,'Girdi — Faturalar ve tahsilat'!$S$2:$S$3001,"1-30"))</f>
        <v/>
      </c>
      <c r="K164" s="13" t="str">
        <f aca="false">IF(A164="","",SUMIFS('Girdi — Faturalar ve tahsilat'!$R$2:$R$3001,'Girdi — Faturalar ve tahsilat'!$C$2:$C$3001,$A164,'Girdi — Faturalar ve tahsilat'!$T$2:$T$3001,$Z$5,'Girdi — Faturalar ve tahsilat'!$S$2:$S$3001,"31-60"))</f>
        <v/>
      </c>
      <c r="L164" s="13" t="str">
        <f aca="false">IF(A164="","",SUMIFS('Girdi — Faturalar ve tahsilat'!$R$2:$R$3001,'Girdi — Faturalar ve tahsilat'!$C$2:$C$3001,$A164,'Girdi — Faturalar ve tahsilat'!$T$2:$T$3001,$Z$5,'Girdi — Faturalar ve tahsilat'!$S$2:$S$3001,"61-90"))</f>
        <v/>
      </c>
      <c r="M164" s="13" t="str">
        <f aca="false">IF(A164="","",SUMIFS('Girdi — Faturalar ve tahsilat'!$R$2:$R$3001,'Girdi — Faturalar ve tahsilat'!$C$2:$C$3001,$A164,'Girdi — Faturalar ve tahsilat'!$T$2:$T$3001,$Z$5,'Girdi — Faturalar ve tahsilat'!$S$2:$S$3001,"90+"))</f>
        <v/>
      </c>
      <c r="N164" s="21" t="str">
        <f aca="false">IF(F164="","",RANK(F164,$F$17:$F$216,0)+COUNTIF($F$17:F164,F164)-1)</f>
        <v/>
      </c>
    </row>
    <row r="165" customFormat="false" ht="15" hidden="false" customHeight="false" outlineLevel="0" collapsed="false">
      <c r="A165" s="16" t="str">
        <f aca="false">IFERROR(INDEX('Girdi — Faturalar ve tahsilat'!$C$2:$C$3001,MATCH(149,'Girdi — Faturalar ve tahsilat'!$U$2:$U$3001,0)),"")</f>
        <v/>
      </c>
      <c r="B165" s="16" t="str">
        <f aca="false">IF(A165="","",INDEX('Girdi — Faturalar ve tahsilat'!$D$2:$D$3001,MATCH(149,'Girdi — Faturalar ve tahsilat'!$U$2:$U$3001,0)))</f>
        <v/>
      </c>
      <c r="C165" s="13" t="str">
        <f aca="false">IF(A165="","",SUMIFS('Girdi — Faturalar ve tahsilat'!$F$2:$F$3001,'Girdi — Faturalar ve tahsilat'!$C$2:$C$3001,$A165,'Girdi — Faturalar ve tahsilat'!$T$2:$T$3001,$Z$5))</f>
        <v/>
      </c>
      <c r="D165" s="15" t="str">
        <f aca="false">IF(OR(A165="",N(C165)=0),"",SUMIFS('Girdi — Faturalar ve tahsilat'!$P$2:$P$3001,'Girdi — Faturalar ve tahsilat'!$C$2:$C$3001,$A165,'Girdi — Faturalar ve tahsilat'!$T$2:$T$3001,$Z$5)/C165)</f>
        <v/>
      </c>
      <c r="E165" s="15" t="str">
        <f aca="false">IF(OR(A165="",N(C165)=0),"",SUMIFS('Girdi — Faturalar ve tahsilat'!$Q$2:$Q$3001,'Girdi — Faturalar ve tahsilat'!$C$2:$C$3001,$A165,'Girdi — Faturalar ve tahsilat'!$T$2:$T$3001,$Z$5)/C165)</f>
        <v/>
      </c>
      <c r="F165" s="20" t="str">
        <f aca="false">IF(D165="","",E165-D165)</f>
        <v/>
      </c>
      <c r="G165" s="13" t="str">
        <f aca="false">IF(F165="","",C165*$D$4*F165/365)</f>
        <v/>
      </c>
      <c r="H165" s="13" t="str">
        <f aca="false">IF(A165="","",SUMIFS('Girdi — Faturalar ve tahsilat'!$R$2:$R$3001,'Girdi — Faturalar ve tahsilat'!$C$2:$C$3001,$A165,'Girdi — Faturalar ve tahsilat'!$T$2:$T$3001,$Z$5))</f>
        <v/>
      </c>
      <c r="I165" s="13" t="str">
        <f aca="false">IF(A165="","",SUMIFS('Girdi — Faturalar ve tahsilat'!$R$2:$R$3001,'Girdi — Faturalar ve tahsilat'!$C$2:$C$3001,$A165,'Girdi — Faturalar ve tahsilat'!$T$2:$T$3001,$Z$5,'Girdi — Faturalar ve tahsilat'!$O$2:$O$3001,"&gt;0"))</f>
        <v/>
      </c>
      <c r="J165" s="13" t="str">
        <f aca="false">IF(A165="","",SUMIFS('Girdi — Faturalar ve tahsilat'!$R$2:$R$3001,'Girdi — Faturalar ve tahsilat'!$C$2:$C$3001,$A165,'Girdi — Faturalar ve tahsilat'!$T$2:$T$3001,$Z$5,'Girdi — Faturalar ve tahsilat'!$S$2:$S$3001,"1-30"))</f>
        <v/>
      </c>
      <c r="K165" s="13" t="str">
        <f aca="false">IF(A165="","",SUMIFS('Girdi — Faturalar ve tahsilat'!$R$2:$R$3001,'Girdi — Faturalar ve tahsilat'!$C$2:$C$3001,$A165,'Girdi — Faturalar ve tahsilat'!$T$2:$T$3001,$Z$5,'Girdi — Faturalar ve tahsilat'!$S$2:$S$3001,"31-60"))</f>
        <v/>
      </c>
      <c r="L165" s="13" t="str">
        <f aca="false">IF(A165="","",SUMIFS('Girdi — Faturalar ve tahsilat'!$R$2:$R$3001,'Girdi — Faturalar ve tahsilat'!$C$2:$C$3001,$A165,'Girdi — Faturalar ve tahsilat'!$T$2:$T$3001,$Z$5,'Girdi — Faturalar ve tahsilat'!$S$2:$S$3001,"61-90"))</f>
        <v/>
      </c>
      <c r="M165" s="13" t="str">
        <f aca="false">IF(A165="","",SUMIFS('Girdi — Faturalar ve tahsilat'!$R$2:$R$3001,'Girdi — Faturalar ve tahsilat'!$C$2:$C$3001,$A165,'Girdi — Faturalar ve tahsilat'!$T$2:$T$3001,$Z$5,'Girdi — Faturalar ve tahsilat'!$S$2:$S$3001,"90+"))</f>
        <v/>
      </c>
      <c r="N165" s="21" t="str">
        <f aca="false">IF(F165="","",RANK(F165,$F$17:$F$216,0)+COUNTIF($F$17:F165,F165)-1)</f>
        <v/>
      </c>
    </row>
    <row r="166" customFormat="false" ht="15" hidden="false" customHeight="false" outlineLevel="0" collapsed="false">
      <c r="A166" s="16" t="str">
        <f aca="false">IFERROR(INDEX('Girdi — Faturalar ve tahsilat'!$C$2:$C$3001,MATCH(150,'Girdi — Faturalar ve tahsilat'!$U$2:$U$3001,0)),"")</f>
        <v/>
      </c>
      <c r="B166" s="16" t="str">
        <f aca="false">IF(A166="","",INDEX('Girdi — Faturalar ve tahsilat'!$D$2:$D$3001,MATCH(150,'Girdi — Faturalar ve tahsilat'!$U$2:$U$3001,0)))</f>
        <v/>
      </c>
      <c r="C166" s="13" t="str">
        <f aca="false">IF(A166="","",SUMIFS('Girdi — Faturalar ve tahsilat'!$F$2:$F$3001,'Girdi — Faturalar ve tahsilat'!$C$2:$C$3001,$A166,'Girdi — Faturalar ve tahsilat'!$T$2:$T$3001,$Z$5))</f>
        <v/>
      </c>
      <c r="D166" s="15" t="str">
        <f aca="false">IF(OR(A166="",N(C166)=0),"",SUMIFS('Girdi — Faturalar ve tahsilat'!$P$2:$P$3001,'Girdi — Faturalar ve tahsilat'!$C$2:$C$3001,$A166,'Girdi — Faturalar ve tahsilat'!$T$2:$T$3001,$Z$5)/C166)</f>
        <v/>
      </c>
      <c r="E166" s="15" t="str">
        <f aca="false">IF(OR(A166="",N(C166)=0),"",SUMIFS('Girdi — Faturalar ve tahsilat'!$Q$2:$Q$3001,'Girdi — Faturalar ve tahsilat'!$C$2:$C$3001,$A166,'Girdi — Faturalar ve tahsilat'!$T$2:$T$3001,$Z$5)/C166)</f>
        <v/>
      </c>
      <c r="F166" s="20" t="str">
        <f aca="false">IF(D166="","",E166-D166)</f>
        <v/>
      </c>
      <c r="G166" s="13" t="str">
        <f aca="false">IF(F166="","",C166*$D$4*F166/365)</f>
        <v/>
      </c>
      <c r="H166" s="13" t="str">
        <f aca="false">IF(A166="","",SUMIFS('Girdi — Faturalar ve tahsilat'!$R$2:$R$3001,'Girdi — Faturalar ve tahsilat'!$C$2:$C$3001,$A166,'Girdi — Faturalar ve tahsilat'!$T$2:$T$3001,$Z$5))</f>
        <v/>
      </c>
      <c r="I166" s="13" t="str">
        <f aca="false">IF(A166="","",SUMIFS('Girdi — Faturalar ve tahsilat'!$R$2:$R$3001,'Girdi — Faturalar ve tahsilat'!$C$2:$C$3001,$A166,'Girdi — Faturalar ve tahsilat'!$T$2:$T$3001,$Z$5,'Girdi — Faturalar ve tahsilat'!$O$2:$O$3001,"&gt;0"))</f>
        <v/>
      </c>
      <c r="J166" s="13" t="str">
        <f aca="false">IF(A166="","",SUMIFS('Girdi — Faturalar ve tahsilat'!$R$2:$R$3001,'Girdi — Faturalar ve tahsilat'!$C$2:$C$3001,$A166,'Girdi — Faturalar ve tahsilat'!$T$2:$T$3001,$Z$5,'Girdi — Faturalar ve tahsilat'!$S$2:$S$3001,"1-30"))</f>
        <v/>
      </c>
      <c r="K166" s="13" t="str">
        <f aca="false">IF(A166="","",SUMIFS('Girdi — Faturalar ve tahsilat'!$R$2:$R$3001,'Girdi — Faturalar ve tahsilat'!$C$2:$C$3001,$A166,'Girdi — Faturalar ve tahsilat'!$T$2:$T$3001,$Z$5,'Girdi — Faturalar ve tahsilat'!$S$2:$S$3001,"31-60"))</f>
        <v/>
      </c>
      <c r="L166" s="13" t="str">
        <f aca="false">IF(A166="","",SUMIFS('Girdi — Faturalar ve tahsilat'!$R$2:$R$3001,'Girdi — Faturalar ve tahsilat'!$C$2:$C$3001,$A166,'Girdi — Faturalar ve tahsilat'!$T$2:$T$3001,$Z$5,'Girdi — Faturalar ve tahsilat'!$S$2:$S$3001,"61-90"))</f>
        <v/>
      </c>
      <c r="M166" s="13" t="str">
        <f aca="false">IF(A166="","",SUMIFS('Girdi — Faturalar ve tahsilat'!$R$2:$R$3001,'Girdi — Faturalar ve tahsilat'!$C$2:$C$3001,$A166,'Girdi — Faturalar ve tahsilat'!$T$2:$T$3001,$Z$5,'Girdi — Faturalar ve tahsilat'!$S$2:$S$3001,"90+"))</f>
        <v/>
      </c>
      <c r="N166" s="21" t="str">
        <f aca="false">IF(F166="","",RANK(F166,$F$17:$F$216,0)+COUNTIF($F$17:F166,F166)-1)</f>
        <v/>
      </c>
    </row>
    <row r="167" customFormat="false" ht="15" hidden="false" customHeight="false" outlineLevel="0" collapsed="false">
      <c r="A167" s="16" t="str">
        <f aca="false">IFERROR(INDEX('Girdi — Faturalar ve tahsilat'!$C$2:$C$3001,MATCH(151,'Girdi — Faturalar ve tahsilat'!$U$2:$U$3001,0)),"")</f>
        <v/>
      </c>
      <c r="B167" s="16" t="str">
        <f aca="false">IF(A167="","",INDEX('Girdi — Faturalar ve tahsilat'!$D$2:$D$3001,MATCH(151,'Girdi — Faturalar ve tahsilat'!$U$2:$U$3001,0)))</f>
        <v/>
      </c>
      <c r="C167" s="13" t="str">
        <f aca="false">IF(A167="","",SUMIFS('Girdi — Faturalar ve tahsilat'!$F$2:$F$3001,'Girdi — Faturalar ve tahsilat'!$C$2:$C$3001,$A167,'Girdi — Faturalar ve tahsilat'!$T$2:$T$3001,$Z$5))</f>
        <v/>
      </c>
      <c r="D167" s="15" t="str">
        <f aca="false">IF(OR(A167="",N(C167)=0),"",SUMIFS('Girdi — Faturalar ve tahsilat'!$P$2:$P$3001,'Girdi — Faturalar ve tahsilat'!$C$2:$C$3001,$A167,'Girdi — Faturalar ve tahsilat'!$T$2:$T$3001,$Z$5)/C167)</f>
        <v/>
      </c>
      <c r="E167" s="15" t="str">
        <f aca="false">IF(OR(A167="",N(C167)=0),"",SUMIFS('Girdi — Faturalar ve tahsilat'!$Q$2:$Q$3001,'Girdi — Faturalar ve tahsilat'!$C$2:$C$3001,$A167,'Girdi — Faturalar ve tahsilat'!$T$2:$T$3001,$Z$5)/C167)</f>
        <v/>
      </c>
      <c r="F167" s="20" t="str">
        <f aca="false">IF(D167="","",E167-D167)</f>
        <v/>
      </c>
      <c r="G167" s="13" t="str">
        <f aca="false">IF(F167="","",C167*$D$4*F167/365)</f>
        <v/>
      </c>
      <c r="H167" s="13" t="str">
        <f aca="false">IF(A167="","",SUMIFS('Girdi — Faturalar ve tahsilat'!$R$2:$R$3001,'Girdi — Faturalar ve tahsilat'!$C$2:$C$3001,$A167,'Girdi — Faturalar ve tahsilat'!$T$2:$T$3001,$Z$5))</f>
        <v/>
      </c>
      <c r="I167" s="13" t="str">
        <f aca="false">IF(A167="","",SUMIFS('Girdi — Faturalar ve tahsilat'!$R$2:$R$3001,'Girdi — Faturalar ve tahsilat'!$C$2:$C$3001,$A167,'Girdi — Faturalar ve tahsilat'!$T$2:$T$3001,$Z$5,'Girdi — Faturalar ve tahsilat'!$O$2:$O$3001,"&gt;0"))</f>
        <v/>
      </c>
      <c r="J167" s="13" t="str">
        <f aca="false">IF(A167="","",SUMIFS('Girdi — Faturalar ve tahsilat'!$R$2:$R$3001,'Girdi — Faturalar ve tahsilat'!$C$2:$C$3001,$A167,'Girdi — Faturalar ve tahsilat'!$T$2:$T$3001,$Z$5,'Girdi — Faturalar ve tahsilat'!$S$2:$S$3001,"1-30"))</f>
        <v/>
      </c>
      <c r="K167" s="13" t="str">
        <f aca="false">IF(A167="","",SUMIFS('Girdi — Faturalar ve tahsilat'!$R$2:$R$3001,'Girdi — Faturalar ve tahsilat'!$C$2:$C$3001,$A167,'Girdi — Faturalar ve tahsilat'!$T$2:$T$3001,$Z$5,'Girdi — Faturalar ve tahsilat'!$S$2:$S$3001,"31-60"))</f>
        <v/>
      </c>
      <c r="L167" s="13" t="str">
        <f aca="false">IF(A167="","",SUMIFS('Girdi — Faturalar ve tahsilat'!$R$2:$R$3001,'Girdi — Faturalar ve tahsilat'!$C$2:$C$3001,$A167,'Girdi — Faturalar ve tahsilat'!$T$2:$T$3001,$Z$5,'Girdi — Faturalar ve tahsilat'!$S$2:$S$3001,"61-90"))</f>
        <v/>
      </c>
      <c r="M167" s="13" t="str">
        <f aca="false">IF(A167="","",SUMIFS('Girdi — Faturalar ve tahsilat'!$R$2:$R$3001,'Girdi — Faturalar ve tahsilat'!$C$2:$C$3001,$A167,'Girdi — Faturalar ve tahsilat'!$T$2:$T$3001,$Z$5,'Girdi — Faturalar ve tahsilat'!$S$2:$S$3001,"90+"))</f>
        <v/>
      </c>
      <c r="N167" s="21" t="str">
        <f aca="false">IF(F167="","",RANK(F167,$F$17:$F$216,0)+COUNTIF($F$17:F167,F167)-1)</f>
        <v/>
      </c>
    </row>
    <row r="168" customFormat="false" ht="15" hidden="false" customHeight="false" outlineLevel="0" collapsed="false">
      <c r="A168" s="16" t="str">
        <f aca="false">IFERROR(INDEX('Girdi — Faturalar ve tahsilat'!$C$2:$C$3001,MATCH(152,'Girdi — Faturalar ve tahsilat'!$U$2:$U$3001,0)),"")</f>
        <v/>
      </c>
      <c r="B168" s="16" t="str">
        <f aca="false">IF(A168="","",INDEX('Girdi — Faturalar ve tahsilat'!$D$2:$D$3001,MATCH(152,'Girdi — Faturalar ve tahsilat'!$U$2:$U$3001,0)))</f>
        <v/>
      </c>
      <c r="C168" s="13" t="str">
        <f aca="false">IF(A168="","",SUMIFS('Girdi — Faturalar ve tahsilat'!$F$2:$F$3001,'Girdi — Faturalar ve tahsilat'!$C$2:$C$3001,$A168,'Girdi — Faturalar ve tahsilat'!$T$2:$T$3001,$Z$5))</f>
        <v/>
      </c>
      <c r="D168" s="15" t="str">
        <f aca="false">IF(OR(A168="",N(C168)=0),"",SUMIFS('Girdi — Faturalar ve tahsilat'!$P$2:$P$3001,'Girdi — Faturalar ve tahsilat'!$C$2:$C$3001,$A168,'Girdi — Faturalar ve tahsilat'!$T$2:$T$3001,$Z$5)/C168)</f>
        <v/>
      </c>
      <c r="E168" s="15" t="str">
        <f aca="false">IF(OR(A168="",N(C168)=0),"",SUMIFS('Girdi — Faturalar ve tahsilat'!$Q$2:$Q$3001,'Girdi — Faturalar ve tahsilat'!$C$2:$C$3001,$A168,'Girdi — Faturalar ve tahsilat'!$T$2:$T$3001,$Z$5)/C168)</f>
        <v/>
      </c>
      <c r="F168" s="20" t="str">
        <f aca="false">IF(D168="","",E168-D168)</f>
        <v/>
      </c>
      <c r="G168" s="13" t="str">
        <f aca="false">IF(F168="","",C168*$D$4*F168/365)</f>
        <v/>
      </c>
      <c r="H168" s="13" t="str">
        <f aca="false">IF(A168="","",SUMIFS('Girdi — Faturalar ve tahsilat'!$R$2:$R$3001,'Girdi — Faturalar ve tahsilat'!$C$2:$C$3001,$A168,'Girdi — Faturalar ve tahsilat'!$T$2:$T$3001,$Z$5))</f>
        <v/>
      </c>
      <c r="I168" s="13" t="str">
        <f aca="false">IF(A168="","",SUMIFS('Girdi — Faturalar ve tahsilat'!$R$2:$R$3001,'Girdi — Faturalar ve tahsilat'!$C$2:$C$3001,$A168,'Girdi — Faturalar ve tahsilat'!$T$2:$T$3001,$Z$5,'Girdi — Faturalar ve tahsilat'!$O$2:$O$3001,"&gt;0"))</f>
        <v/>
      </c>
      <c r="J168" s="13" t="str">
        <f aca="false">IF(A168="","",SUMIFS('Girdi — Faturalar ve tahsilat'!$R$2:$R$3001,'Girdi — Faturalar ve tahsilat'!$C$2:$C$3001,$A168,'Girdi — Faturalar ve tahsilat'!$T$2:$T$3001,$Z$5,'Girdi — Faturalar ve tahsilat'!$S$2:$S$3001,"1-30"))</f>
        <v/>
      </c>
      <c r="K168" s="13" t="str">
        <f aca="false">IF(A168="","",SUMIFS('Girdi — Faturalar ve tahsilat'!$R$2:$R$3001,'Girdi — Faturalar ve tahsilat'!$C$2:$C$3001,$A168,'Girdi — Faturalar ve tahsilat'!$T$2:$T$3001,$Z$5,'Girdi — Faturalar ve tahsilat'!$S$2:$S$3001,"31-60"))</f>
        <v/>
      </c>
      <c r="L168" s="13" t="str">
        <f aca="false">IF(A168="","",SUMIFS('Girdi — Faturalar ve tahsilat'!$R$2:$R$3001,'Girdi — Faturalar ve tahsilat'!$C$2:$C$3001,$A168,'Girdi — Faturalar ve tahsilat'!$T$2:$T$3001,$Z$5,'Girdi — Faturalar ve tahsilat'!$S$2:$S$3001,"61-90"))</f>
        <v/>
      </c>
      <c r="M168" s="13" t="str">
        <f aca="false">IF(A168="","",SUMIFS('Girdi — Faturalar ve tahsilat'!$R$2:$R$3001,'Girdi — Faturalar ve tahsilat'!$C$2:$C$3001,$A168,'Girdi — Faturalar ve tahsilat'!$T$2:$T$3001,$Z$5,'Girdi — Faturalar ve tahsilat'!$S$2:$S$3001,"90+"))</f>
        <v/>
      </c>
      <c r="N168" s="21" t="str">
        <f aca="false">IF(F168="","",RANK(F168,$F$17:$F$216,0)+COUNTIF($F$17:F168,F168)-1)</f>
        <v/>
      </c>
    </row>
    <row r="169" customFormat="false" ht="15" hidden="false" customHeight="false" outlineLevel="0" collapsed="false">
      <c r="A169" s="16" t="str">
        <f aca="false">IFERROR(INDEX('Girdi — Faturalar ve tahsilat'!$C$2:$C$3001,MATCH(153,'Girdi — Faturalar ve tahsilat'!$U$2:$U$3001,0)),"")</f>
        <v/>
      </c>
      <c r="B169" s="16" t="str">
        <f aca="false">IF(A169="","",INDEX('Girdi — Faturalar ve tahsilat'!$D$2:$D$3001,MATCH(153,'Girdi — Faturalar ve tahsilat'!$U$2:$U$3001,0)))</f>
        <v/>
      </c>
      <c r="C169" s="13" t="str">
        <f aca="false">IF(A169="","",SUMIFS('Girdi — Faturalar ve tahsilat'!$F$2:$F$3001,'Girdi — Faturalar ve tahsilat'!$C$2:$C$3001,$A169,'Girdi — Faturalar ve tahsilat'!$T$2:$T$3001,$Z$5))</f>
        <v/>
      </c>
      <c r="D169" s="15" t="str">
        <f aca="false">IF(OR(A169="",N(C169)=0),"",SUMIFS('Girdi — Faturalar ve tahsilat'!$P$2:$P$3001,'Girdi — Faturalar ve tahsilat'!$C$2:$C$3001,$A169,'Girdi — Faturalar ve tahsilat'!$T$2:$T$3001,$Z$5)/C169)</f>
        <v/>
      </c>
      <c r="E169" s="15" t="str">
        <f aca="false">IF(OR(A169="",N(C169)=0),"",SUMIFS('Girdi — Faturalar ve tahsilat'!$Q$2:$Q$3001,'Girdi — Faturalar ve tahsilat'!$C$2:$C$3001,$A169,'Girdi — Faturalar ve tahsilat'!$T$2:$T$3001,$Z$5)/C169)</f>
        <v/>
      </c>
      <c r="F169" s="20" t="str">
        <f aca="false">IF(D169="","",E169-D169)</f>
        <v/>
      </c>
      <c r="G169" s="13" t="str">
        <f aca="false">IF(F169="","",C169*$D$4*F169/365)</f>
        <v/>
      </c>
      <c r="H169" s="13" t="str">
        <f aca="false">IF(A169="","",SUMIFS('Girdi — Faturalar ve tahsilat'!$R$2:$R$3001,'Girdi — Faturalar ve tahsilat'!$C$2:$C$3001,$A169,'Girdi — Faturalar ve tahsilat'!$T$2:$T$3001,$Z$5))</f>
        <v/>
      </c>
      <c r="I169" s="13" t="str">
        <f aca="false">IF(A169="","",SUMIFS('Girdi — Faturalar ve tahsilat'!$R$2:$R$3001,'Girdi — Faturalar ve tahsilat'!$C$2:$C$3001,$A169,'Girdi — Faturalar ve tahsilat'!$T$2:$T$3001,$Z$5,'Girdi — Faturalar ve tahsilat'!$O$2:$O$3001,"&gt;0"))</f>
        <v/>
      </c>
      <c r="J169" s="13" t="str">
        <f aca="false">IF(A169="","",SUMIFS('Girdi — Faturalar ve tahsilat'!$R$2:$R$3001,'Girdi — Faturalar ve tahsilat'!$C$2:$C$3001,$A169,'Girdi — Faturalar ve tahsilat'!$T$2:$T$3001,$Z$5,'Girdi — Faturalar ve tahsilat'!$S$2:$S$3001,"1-30"))</f>
        <v/>
      </c>
      <c r="K169" s="13" t="str">
        <f aca="false">IF(A169="","",SUMIFS('Girdi — Faturalar ve tahsilat'!$R$2:$R$3001,'Girdi — Faturalar ve tahsilat'!$C$2:$C$3001,$A169,'Girdi — Faturalar ve tahsilat'!$T$2:$T$3001,$Z$5,'Girdi — Faturalar ve tahsilat'!$S$2:$S$3001,"31-60"))</f>
        <v/>
      </c>
      <c r="L169" s="13" t="str">
        <f aca="false">IF(A169="","",SUMIFS('Girdi — Faturalar ve tahsilat'!$R$2:$R$3001,'Girdi — Faturalar ve tahsilat'!$C$2:$C$3001,$A169,'Girdi — Faturalar ve tahsilat'!$T$2:$T$3001,$Z$5,'Girdi — Faturalar ve tahsilat'!$S$2:$S$3001,"61-90"))</f>
        <v/>
      </c>
      <c r="M169" s="13" t="str">
        <f aca="false">IF(A169="","",SUMIFS('Girdi — Faturalar ve tahsilat'!$R$2:$R$3001,'Girdi — Faturalar ve tahsilat'!$C$2:$C$3001,$A169,'Girdi — Faturalar ve tahsilat'!$T$2:$T$3001,$Z$5,'Girdi — Faturalar ve tahsilat'!$S$2:$S$3001,"90+"))</f>
        <v/>
      </c>
      <c r="N169" s="21" t="str">
        <f aca="false">IF(F169="","",RANK(F169,$F$17:$F$216,0)+COUNTIF($F$17:F169,F169)-1)</f>
        <v/>
      </c>
    </row>
    <row r="170" customFormat="false" ht="15" hidden="false" customHeight="false" outlineLevel="0" collapsed="false">
      <c r="A170" s="16" t="str">
        <f aca="false">IFERROR(INDEX('Girdi — Faturalar ve tahsilat'!$C$2:$C$3001,MATCH(154,'Girdi — Faturalar ve tahsilat'!$U$2:$U$3001,0)),"")</f>
        <v/>
      </c>
      <c r="B170" s="16" t="str">
        <f aca="false">IF(A170="","",INDEX('Girdi — Faturalar ve tahsilat'!$D$2:$D$3001,MATCH(154,'Girdi — Faturalar ve tahsilat'!$U$2:$U$3001,0)))</f>
        <v/>
      </c>
      <c r="C170" s="13" t="str">
        <f aca="false">IF(A170="","",SUMIFS('Girdi — Faturalar ve tahsilat'!$F$2:$F$3001,'Girdi — Faturalar ve tahsilat'!$C$2:$C$3001,$A170,'Girdi — Faturalar ve tahsilat'!$T$2:$T$3001,$Z$5))</f>
        <v/>
      </c>
      <c r="D170" s="15" t="str">
        <f aca="false">IF(OR(A170="",N(C170)=0),"",SUMIFS('Girdi — Faturalar ve tahsilat'!$P$2:$P$3001,'Girdi — Faturalar ve tahsilat'!$C$2:$C$3001,$A170,'Girdi — Faturalar ve tahsilat'!$T$2:$T$3001,$Z$5)/C170)</f>
        <v/>
      </c>
      <c r="E170" s="15" t="str">
        <f aca="false">IF(OR(A170="",N(C170)=0),"",SUMIFS('Girdi — Faturalar ve tahsilat'!$Q$2:$Q$3001,'Girdi — Faturalar ve tahsilat'!$C$2:$C$3001,$A170,'Girdi — Faturalar ve tahsilat'!$T$2:$T$3001,$Z$5)/C170)</f>
        <v/>
      </c>
      <c r="F170" s="20" t="str">
        <f aca="false">IF(D170="","",E170-D170)</f>
        <v/>
      </c>
      <c r="G170" s="13" t="str">
        <f aca="false">IF(F170="","",C170*$D$4*F170/365)</f>
        <v/>
      </c>
      <c r="H170" s="13" t="str">
        <f aca="false">IF(A170="","",SUMIFS('Girdi — Faturalar ve tahsilat'!$R$2:$R$3001,'Girdi — Faturalar ve tahsilat'!$C$2:$C$3001,$A170,'Girdi — Faturalar ve tahsilat'!$T$2:$T$3001,$Z$5))</f>
        <v/>
      </c>
      <c r="I170" s="13" t="str">
        <f aca="false">IF(A170="","",SUMIFS('Girdi — Faturalar ve tahsilat'!$R$2:$R$3001,'Girdi — Faturalar ve tahsilat'!$C$2:$C$3001,$A170,'Girdi — Faturalar ve tahsilat'!$T$2:$T$3001,$Z$5,'Girdi — Faturalar ve tahsilat'!$O$2:$O$3001,"&gt;0"))</f>
        <v/>
      </c>
      <c r="J170" s="13" t="str">
        <f aca="false">IF(A170="","",SUMIFS('Girdi — Faturalar ve tahsilat'!$R$2:$R$3001,'Girdi — Faturalar ve tahsilat'!$C$2:$C$3001,$A170,'Girdi — Faturalar ve tahsilat'!$T$2:$T$3001,$Z$5,'Girdi — Faturalar ve tahsilat'!$S$2:$S$3001,"1-30"))</f>
        <v/>
      </c>
      <c r="K170" s="13" t="str">
        <f aca="false">IF(A170="","",SUMIFS('Girdi — Faturalar ve tahsilat'!$R$2:$R$3001,'Girdi — Faturalar ve tahsilat'!$C$2:$C$3001,$A170,'Girdi — Faturalar ve tahsilat'!$T$2:$T$3001,$Z$5,'Girdi — Faturalar ve tahsilat'!$S$2:$S$3001,"31-60"))</f>
        <v/>
      </c>
      <c r="L170" s="13" t="str">
        <f aca="false">IF(A170="","",SUMIFS('Girdi — Faturalar ve tahsilat'!$R$2:$R$3001,'Girdi — Faturalar ve tahsilat'!$C$2:$C$3001,$A170,'Girdi — Faturalar ve tahsilat'!$T$2:$T$3001,$Z$5,'Girdi — Faturalar ve tahsilat'!$S$2:$S$3001,"61-90"))</f>
        <v/>
      </c>
      <c r="M170" s="13" t="str">
        <f aca="false">IF(A170="","",SUMIFS('Girdi — Faturalar ve tahsilat'!$R$2:$R$3001,'Girdi — Faturalar ve tahsilat'!$C$2:$C$3001,$A170,'Girdi — Faturalar ve tahsilat'!$T$2:$T$3001,$Z$5,'Girdi — Faturalar ve tahsilat'!$S$2:$S$3001,"90+"))</f>
        <v/>
      </c>
      <c r="N170" s="21" t="str">
        <f aca="false">IF(F170="","",RANK(F170,$F$17:$F$216,0)+COUNTIF($F$17:F170,F170)-1)</f>
        <v/>
      </c>
    </row>
    <row r="171" customFormat="false" ht="15" hidden="false" customHeight="false" outlineLevel="0" collapsed="false">
      <c r="A171" s="16" t="str">
        <f aca="false">IFERROR(INDEX('Girdi — Faturalar ve tahsilat'!$C$2:$C$3001,MATCH(155,'Girdi — Faturalar ve tahsilat'!$U$2:$U$3001,0)),"")</f>
        <v/>
      </c>
      <c r="B171" s="16" t="str">
        <f aca="false">IF(A171="","",INDEX('Girdi — Faturalar ve tahsilat'!$D$2:$D$3001,MATCH(155,'Girdi — Faturalar ve tahsilat'!$U$2:$U$3001,0)))</f>
        <v/>
      </c>
      <c r="C171" s="13" t="str">
        <f aca="false">IF(A171="","",SUMIFS('Girdi — Faturalar ve tahsilat'!$F$2:$F$3001,'Girdi — Faturalar ve tahsilat'!$C$2:$C$3001,$A171,'Girdi — Faturalar ve tahsilat'!$T$2:$T$3001,$Z$5))</f>
        <v/>
      </c>
      <c r="D171" s="15" t="str">
        <f aca="false">IF(OR(A171="",N(C171)=0),"",SUMIFS('Girdi — Faturalar ve tahsilat'!$P$2:$P$3001,'Girdi — Faturalar ve tahsilat'!$C$2:$C$3001,$A171,'Girdi — Faturalar ve tahsilat'!$T$2:$T$3001,$Z$5)/C171)</f>
        <v/>
      </c>
      <c r="E171" s="15" t="str">
        <f aca="false">IF(OR(A171="",N(C171)=0),"",SUMIFS('Girdi — Faturalar ve tahsilat'!$Q$2:$Q$3001,'Girdi — Faturalar ve tahsilat'!$C$2:$C$3001,$A171,'Girdi — Faturalar ve tahsilat'!$T$2:$T$3001,$Z$5)/C171)</f>
        <v/>
      </c>
      <c r="F171" s="20" t="str">
        <f aca="false">IF(D171="","",E171-D171)</f>
        <v/>
      </c>
      <c r="G171" s="13" t="str">
        <f aca="false">IF(F171="","",C171*$D$4*F171/365)</f>
        <v/>
      </c>
      <c r="H171" s="13" t="str">
        <f aca="false">IF(A171="","",SUMIFS('Girdi — Faturalar ve tahsilat'!$R$2:$R$3001,'Girdi — Faturalar ve tahsilat'!$C$2:$C$3001,$A171,'Girdi — Faturalar ve tahsilat'!$T$2:$T$3001,$Z$5))</f>
        <v/>
      </c>
      <c r="I171" s="13" t="str">
        <f aca="false">IF(A171="","",SUMIFS('Girdi — Faturalar ve tahsilat'!$R$2:$R$3001,'Girdi — Faturalar ve tahsilat'!$C$2:$C$3001,$A171,'Girdi — Faturalar ve tahsilat'!$T$2:$T$3001,$Z$5,'Girdi — Faturalar ve tahsilat'!$O$2:$O$3001,"&gt;0"))</f>
        <v/>
      </c>
      <c r="J171" s="13" t="str">
        <f aca="false">IF(A171="","",SUMIFS('Girdi — Faturalar ve tahsilat'!$R$2:$R$3001,'Girdi — Faturalar ve tahsilat'!$C$2:$C$3001,$A171,'Girdi — Faturalar ve tahsilat'!$T$2:$T$3001,$Z$5,'Girdi — Faturalar ve tahsilat'!$S$2:$S$3001,"1-30"))</f>
        <v/>
      </c>
      <c r="K171" s="13" t="str">
        <f aca="false">IF(A171="","",SUMIFS('Girdi — Faturalar ve tahsilat'!$R$2:$R$3001,'Girdi — Faturalar ve tahsilat'!$C$2:$C$3001,$A171,'Girdi — Faturalar ve tahsilat'!$T$2:$T$3001,$Z$5,'Girdi — Faturalar ve tahsilat'!$S$2:$S$3001,"31-60"))</f>
        <v/>
      </c>
      <c r="L171" s="13" t="str">
        <f aca="false">IF(A171="","",SUMIFS('Girdi — Faturalar ve tahsilat'!$R$2:$R$3001,'Girdi — Faturalar ve tahsilat'!$C$2:$C$3001,$A171,'Girdi — Faturalar ve tahsilat'!$T$2:$T$3001,$Z$5,'Girdi — Faturalar ve tahsilat'!$S$2:$S$3001,"61-90"))</f>
        <v/>
      </c>
      <c r="M171" s="13" t="str">
        <f aca="false">IF(A171="","",SUMIFS('Girdi — Faturalar ve tahsilat'!$R$2:$R$3001,'Girdi — Faturalar ve tahsilat'!$C$2:$C$3001,$A171,'Girdi — Faturalar ve tahsilat'!$T$2:$T$3001,$Z$5,'Girdi — Faturalar ve tahsilat'!$S$2:$S$3001,"90+"))</f>
        <v/>
      </c>
      <c r="N171" s="21" t="str">
        <f aca="false">IF(F171="","",RANK(F171,$F$17:$F$216,0)+COUNTIF($F$17:F171,F171)-1)</f>
        <v/>
      </c>
    </row>
    <row r="172" customFormat="false" ht="15" hidden="false" customHeight="false" outlineLevel="0" collapsed="false">
      <c r="A172" s="16" t="str">
        <f aca="false">IFERROR(INDEX('Girdi — Faturalar ve tahsilat'!$C$2:$C$3001,MATCH(156,'Girdi — Faturalar ve tahsilat'!$U$2:$U$3001,0)),"")</f>
        <v/>
      </c>
      <c r="B172" s="16" t="str">
        <f aca="false">IF(A172="","",INDEX('Girdi — Faturalar ve tahsilat'!$D$2:$D$3001,MATCH(156,'Girdi — Faturalar ve tahsilat'!$U$2:$U$3001,0)))</f>
        <v/>
      </c>
      <c r="C172" s="13" t="str">
        <f aca="false">IF(A172="","",SUMIFS('Girdi — Faturalar ve tahsilat'!$F$2:$F$3001,'Girdi — Faturalar ve tahsilat'!$C$2:$C$3001,$A172,'Girdi — Faturalar ve tahsilat'!$T$2:$T$3001,$Z$5))</f>
        <v/>
      </c>
      <c r="D172" s="15" t="str">
        <f aca="false">IF(OR(A172="",N(C172)=0),"",SUMIFS('Girdi — Faturalar ve tahsilat'!$P$2:$P$3001,'Girdi — Faturalar ve tahsilat'!$C$2:$C$3001,$A172,'Girdi — Faturalar ve tahsilat'!$T$2:$T$3001,$Z$5)/C172)</f>
        <v/>
      </c>
      <c r="E172" s="15" t="str">
        <f aca="false">IF(OR(A172="",N(C172)=0),"",SUMIFS('Girdi — Faturalar ve tahsilat'!$Q$2:$Q$3001,'Girdi — Faturalar ve tahsilat'!$C$2:$C$3001,$A172,'Girdi — Faturalar ve tahsilat'!$T$2:$T$3001,$Z$5)/C172)</f>
        <v/>
      </c>
      <c r="F172" s="20" t="str">
        <f aca="false">IF(D172="","",E172-D172)</f>
        <v/>
      </c>
      <c r="G172" s="13" t="str">
        <f aca="false">IF(F172="","",C172*$D$4*F172/365)</f>
        <v/>
      </c>
      <c r="H172" s="13" t="str">
        <f aca="false">IF(A172="","",SUMIFS('Girdi — Faturalar ve tahsilat'!$R$2:$R$3001,'Girdi — Faturalar ve tahsilat'!$C$2:$C$3001,$A172,'Girdi — Faturalar ve tahsilat'!$T$2:$T$3001,$Z$5))</f>
        <v/>
      </c>
      <c r="I172" s="13" t="str">
        <f aca="false">IF(A172="","",SUMIFS('Girdi — Faturalar ve tahsilat'!$R$2:$R$3001,'Girdi — Faturalar ve tahsilat'!$C$2:$C$3001,$A172,'Girdi — Faturalar ve tahsilat'!$T$2:$T$3001,$Z$5,'Girdi — Faturalar ve tahsilat'!$O$2:$O$3001,"&gt;0"))</f>
        <v/>
      </c>
      <c r="J172" s="13" t="str">
        <f aca="false">IF(A172="","",SUMIFS('Girdi — Faturalar ve tahsilat'!$R$2:$R$3001,'Girdi — Faturalar ve tahsilat'!$C$2:$C$3001,$A172,'Girdi — Faturalar ve tahsilat'!$T$2:$T$3001,$Z$5,'Girdi — Faturalar ve tahsilat'!$S$2:$S$3001,"1-30"))</f>
        <v/>
      </c>
      <c r="K172" s="13" t="str">
        <f aca="false">IF(A172="","",SUMIFS('Girdi — Faturalar ve tahsilat'!$R$2:$R$3001,'Girdi — Faturalar ve tahsilat'!$C$2:$C$3001,$A172,'Girdi — Faturalar ve tahsilat'!$T$2:$T$3001,$Z$5,'Girdi — Faturalar ve tahsilat'!$S$2:$S$3001,"31-60"))</f>
        <v/>
      </c>
      <c r="L172" s="13" t="str">
        <f aca="false">IF(A172="","",SUMIFS('Girdi — Faturalar ve tahsilat'!$R$2:$R$3001,'Girdi — Faturalar ve tahsilat'!$C$2:$C$3001,$A172,'Girdi — Faturalar ve tahsilat'!$T$2:$T$3001,$Z$5,'Girdi — Faturalar ve tahsilat'!$S$2:$S$3001,"61-90"))</f>
        <v/>
      </c>
      <c r="M172" s="13" t="str">
        <f aca="false">IF(A172="","",SUMIFS('Girdi — Faturalar ve tahsilat'!$R$2:$R$3001,'Girdi — Faturalar ve tahsilat'!$C$2:$C$3001,$A172,'Girdi — Faturalar ve tahsilat'!$T$2:$T$3001,$Z$5,'Girdi — Faturalar ve tahsilat'!$S$2:$S$3001,"90+"))</f>
        <v/>
      </c>
      <c r="N172" s="21" t="str">
        <f aca="false">IF(F172="","",RANK(F172,$F$17:$F$216,0)+COUNTIF($F$17:F172,F172)-1)</f>
        <v/>
      </c>
    </row>
    <row r="173" customFormat="false" ht="15" hidden="false" customHeight="false" outlineLevel="0" collapsed="false">
      <c r="A173" s="16" t="str">
        <f aca="false">IFERROR(INDEX('Girdi — Faturalar ve tahsilat'!$C$2:$C$3001,MATCH(157,'Girdi — Faturalar ve tahsilat'!$U$2:$U$3001,0)),"")</f>
        <v/>
      </c>
      <c r="B173" s="16" t="str">
        <f aca="false">IF(A173="","",INDEX('Girdi — Faturalar ve tahsilat'!$D$2:$D$3001,MATCH(157,'Girdi — Faturalar ve tahsilat'!$U$2:$U$3001,0)))</f>
        <v/>
      </c>
      <c r="C173" s="13" t="str">
        <f aca="false">IF(A173="","",SUMIFS('Girdi — Faturalar ve tahsilat'!$F$2:$F$3001,'Girdi — Faturalar ve tahsilat'!$C$2:$C$3001,$A173,'Girdi — Faturalar ve tahsilat'!$T$2:$T$3001,$Z$5))</f>
        <v/>
      </c>
      <c r="D173" s="15" t="str">
        <f aca="false">IF(OR(A173="",N(C173)=0),"",SUMIFS('Girdi — Faturalar ve tahsilat'!$P$2:$P$3001,'Girdi — Faturalar ve tahsilat'!$C$2:$C$3001,$A173,'Girdi — Faturalar ve tahsilat'!$T$2:$T$3001,$Z$5)/C173)</f>
        <v/>
      </c>
      <c r="E173" s="15" t="str">
        <f aca="false">IF(OR(A173="",N(C173)=0),"",SUMIFS('Girdi — Faturalar ve tahsilat'!$Q$2:$Q$3001,'Girdi — Faturalar ve tahsilat'!$C$2:$C$3001,$A173,'Girdi — Faturalar ve tahsilat'!$T$2:$T$3001,$Z$5)/C173)</f>
        <v/>
      </c>
      <c r="F173" s="20" t="str">
        <f aca="false">IF(D173="","",E173-D173)</f>
        <v/>
      </c>
      <c r="G173" s="13" t="str">
        <f aca="false">IF(F173="","",C173*$D$4*F173/365)</f>
        <v/>
      </c>
      <c r="H173" s="13" t="str">
        <f aca="false">IF(A173="","",SUMIFS('Girdi — Faturalar ve tahsilat'!$R$2:$R$3001,'Girdi — Faturalar ve tahsilat'!$C$2:$C$3001,$A173,'Girdi — Faturalar ve tahsilat'!$T$2:$T$3001,$Z$5))</f>
        <v/>
      </c>
      <c r="I173" s="13" t="str">
        <f aca="false">IF(A173="","",SUMIFS('Girdi — Faturalar ve tahsilat'!$R$2:$R$3001,'Girdi — Faturalar ve tahsilat'!$C$2:$C$3001,$A173,'Girdi — Faturalar ve tahsilat'!$T$2:$T$3001,$Z$5,'Girdi — Faturalar ve tahsilat'!$O$2:$O$3001,"&gt;0"))</f>
        <v/>
      </c>
      <c r="J173" s="13" t="str">
        <f aca="false">IF(A173="","",SUMIFS('Girdi — Faturalar ve tahsilat'!$R$2:$R$3001,'Girdi — Faturalar ve tahsilat'!$C$2:$C$3001,$A173,'Girdi — Faturalar ve tahsilat'!$T$2:$T$3001,$Z$5,'Girdi — Faturalar ve tahsilat'!$S$2:$S$3001,"1-30"))</f>
        <v/>
      </c>
      <c r="K173" s="13" t="str">
        <f aca="false">IF(A173="","",SUMIFS('Girdi — Faturalar ve tahsilat'!$R$2:$R$3001,'Girdi — Faturalar ve tahsilat'!$C$2:$C$3001,$A173,'Girdi — Faturalar ve tahsilat'!$T$2:$T$3001,$Z$5,'Girdi — Faturalar ve tahsilat'!$S$2:$S$3001,"31-60"))</f>
        <v/>
      </c>
      <c r="L173" s="13" t="str">
        <f aca="false">IF(A173="","",SUMIFS('Girdi — Faturalar ve tahsilat'!$R$2:$R$3001,'Girdi — Faturalar ve tahsilat'!$C$2:$C$3001,$A173,'Girdi — Faturalar ve tahsilat'!$T$2:$T$3001,$Z$5,'Girdi — Faturalar ve tahsilat'!$S$2:$S$3001,"61-90"))</f>
        <v/>
      </c>
      <c r="M173" s="13" t="str">
        <f aca="false">IF(A173="","",SUMIFS('Girdi — Faturalar ve tahsilat'!$R$2:$R$3001,'Girdi — Faturalar ve tahsilat'!$C$2:$C$3001,$A173,'Girdi — Faturalar ve tahsilat'!$T$2:$T$3001,$Z$5,'Girdi — Faturalar ve tahsilat'!$S$2:$S$3001,"90+"))</f>
        <v/>
      </c>
      <c r="N173" s="21" t="str">
        <f aca="false">IF(F173="","",RANK(F173,$F$17:$F$216,0)+COUNTIF($F$17:F173,F173)-1)</f>
        <v/>
      </c>
    </row>
    <row r="174" customFormat="false" ht="15" hidden="false" customHeight="false" outlineLevel="0" collapsed="false">
      <c r="A174" s="16" t="str">
        <f aca="false">IFERROR(INDEX('Girdi — Faturalar ve tahsilat'!$C$2:$C$3001,MATCH(158,'Girdi — Faturalar ve tahsilat'!$U$2:$U$3001,0)),"")</f>
        <v/>
      </c>
      <c r="B174" s="16" t="str">
        <f aca="false">IF(A174="","",INDEX('Girdi — Faturalar ve tahsilat'!$D$2:$D$3001,MATCH(158,'Girdi — Faturalar ve tahsilat'!$U$2:$U$3001,0)))</f>
        <v/>
      </c>
      <c r="C174" s="13" t="str">
        <f aca="false">IF(A174="","",SUMIFS('Girdi — Faturalar ve tahsilat'!$F$2:$F$3001,'Girdi — Faturalar ve tahsilat'!$C$2:$C$3001,$A174,'Girdi — Faturalar ve tahsilat'!$T$2:$T$3001,$Z$5))</f>
        <v/>
      </c>
      <c r="D174" s="15" t="str">
        <f aca="false">IF(OR(A174="",N(C174)=0),"",SUMIFS('Girdi — Faturalar ve tahsilat'!$P$2:$P$3001,'Girdi — Faturalar ve tahsilat'!$C$2:$C$3001,$A174,'Girdi — Faturalar ve tahsilat'!$T$2:$T$3001,$Z$5)/C174)</f>
        <v/>
      </c>
      <c r="E174" s="15" t="str">
        <f aca="false">IF(OR(A174="",N(C174)=0),"",SUMIFS('Girdi — Faturalar ve tahsilat'!$Q$2:$Q$3001,'Girdi — Faturalar ve tahsilat'!$C$2:$C$3001,$A174,'Girdi — Faturalar ve tahsilat'!$T$2:$T$3001,$Z$5)/C174)</f>
        <v/>
      </c>
      <c r="F174" s="20" t="str">
        <f aca="false">IF(D174="","",E174-D174)</f>
        <v/>
      </c>
      <c r="G174" s="13" t="str">
        <f aca="false">IF(F174="","",C174*$D$4*F174/365)</f>
        <v/>
      </c>
      <c r="H174" s="13" t="str">
        <f aca="false">IF(A174="","",SUMIFS('Girdi — Faturalar ve tahsilat'!$R$2:$R$3001,'Girdi — Faturalar ve tahsilat'!$C$2:$C$3001,$A174,'Girdi — Faturalar ve tahsilat'!$T$2:$T$3001,$Z$5))</f>
        <v/>
      </c>
      <c r="I174" s="13" t="str">
        <f aca="false">IF(A174="","",SUMIFS('Girdi — Faturalar ve tahsilat'!$R$2:$R$3001,'Girdi — Faturalar ve tahsilat'!$C$2:$C$3001,$A174,'Girdi — Faturalar ve tahsilat'!$T$2:$T$3001,$Z$5,'Girdi — Faturalar ve tahsilat'!$O$2:$O$3001,"&gt;0"))</f>
        <v/>
      </c>
      <c r="J174" s="13" t="str">
        <f aca="false">IF(A174="","",SUMIFS('Girdi — Faturalar ve tahsilat'!$R$2:$R$3001,'Girdi — Faturalar ve tahsilat'!$C$2:$C$3001,$A174,'Girdi — Faturalar ve tahsilat'!$T$2:$T$3001,$Z$5,'Girdi — Faturalar ve tahsilat'!$S$2:$S$3001,"1-30"))</f>
        <v/>
      </c>
      <c r="K174" s="13" t="str">
        <f aca="false">IF(A174="","",SUMIFS('Girdi — Faturalar ve tahsilat'!$R$2:$R$3001,'Girdi — Faturalar ve tahsilat'!$C$2:$C$3001,$A174,'Girdi — Faturalar ve tahsilat'!$T$2:$T$3001,$Z$5,'Girdi — Faturalar ve tahsilat'!$S$2:$S$3001,"31-60"))</f>
        <v/>
      </c>
      <c r="L174" s="13" t="str">
        <f aca="false">IF(A174="","",SUMIFS('Girdi — Faturalar ve tahsilat'!$R$2:$R$3001,'Girdi — Faturalar ve tahsilat'!$C$2:$C$3001,$A174,'Girdi — Faturalar ve tahsilat'!$T$2:$T$3001,$Z$5,'Girdi — Faturalar ve tahsilat'!$S$2:$S$3001,"61-90"))</f>
        <v/>
      </c>
      <c r="M174" s="13" t="str">
        <f aca="false">IF(A174="","",SUMIFS('Girdi — Faturalar ve tahsilat'!$R$2:$R$3001,'Girdi — Faturalar ve tahsilat'!$C$2:$C$3001,$A174,'Girdi — Faturalar ve tahsilat'!$T$2:$T$3001,$Z$5,'Girdi — Faturalar ve tahsilat'!$S$2:$S$3001,"90+"))</f>
        <v/>
      </c>
      <c r="N174" s="21" t="str">
        <f aca="false">IF(F174="","",RANK(F174,$F$17:$F$216,0)+COUNTIF($F$17:F174,F174)-1)</f>
        <v/>
      </c>
    </row>
    <row r="175" customFormat="false" ht="15" hidden="false" customHeight="false" outlineLevel="0" collapsed="false">
      <c r="A175" s="16" t="str">
        <f aca="false">IFERROR(INDEX('Girdi — Faturalar ve tahsilat'!$C$2:$C$3001,MATCH(159,'Girdi — Faturalar ve tahsilat'!$U$2:$U$3001,0)),"")</f>
        <v/>
      </c>
      <c r="B175" s="16" t="str">
        <f aca="false">IF(A175="","",INDEX('Girdi — Faturalar ve tahsilat'!$D$2:$D$3001,MATCH(159,'Girdi — Faturalar ve tahsilat'!$U$2:$U$3001,0)))</f>
        <v/>
      </c>
      <c r="C175" s="13" t="str">
        <f aca="false">IF(A175="","",SUMIFS('Girdi — Faturalar ve tahsilat'!$F$2:$F$3001,'Girdi — Faturalar ve tahsilat'!$C$2:$C$3001,$A175,'Girdi — Faturalar ve tahsilat'!$T$2:$T$3001,$Z$5))</f>
        <v/>
      </c>
      <c r="D175" s="15" t="str">
        <f aca="false">IF(OR(A175="",N(C175)=0),"",SUMIFS('Girdi — Faturalar ve tahsilat'!$P$2:$P$3001,'Girdi — Faturalar ve tahsilat'!$C$2:$C$3001,$A175,'Girdi — Faturalar ve tahsilat'!$T$2:$T$3001,$Z$5)/C175)</f>
        <v/>
      </c>
      <c r="E175" s="15" t="str">
        <f aca="false">IF(OR(A175="",N(C175)=0),"",SUMIFS('Girdi — Faturalar ve tahsilat'!$Q$2:$Q$3001,'Girdi — Faturalar ve tahsilat'!$C$2:$C$3001,$A175,'Girdi — Faturalar ve tahsilat'!$T$2:$T$3001,$Z$5)/C175)</f>
        <v/>
      </c>
      <c r="F175" s="20" t="str">
        <f aca="false">IF(D175="","",E175-D175)</f>
        <v/>
      </c>
      <c r="G175" s="13" t="str">
        <f aca="false">IF(F175="","",C175*$D$4*F175/365)</f>
        <v/>
      </c>
      <c r="H175" s="13" t="str">
        <f aca="false">IF(A175="","",SUMIFS('Girdi — Faturalar ve tahsilat'!$R$2:$R$3001,'Girdi — Faturalar ve tahsilat'!$C$2:$C$3001,$A175,'Girdi — Faturalar ve tahsilat'!$T$2:$T$3001,$Z$5))</f>
        <v/>
      </c>
      <c r="I175" s="13" t="str">
        <f aca="false">IF(A175="","",SUMIFS('Girdi — Faturalar ve tahsilat'!$R$2:$R$3001,'Girdi — Faturalar ve tahsilat'!$C$2:$C$3001,$A175,'Girdi — Faturalar ve tahsilat'!$T$2:$T$3001,$Z$5,'Girdi — Faturalar ve tahsilat'!$O$2:$O$3001,"&gt;0"))</f>
        <v/>
      </c>
      <c r="J175" s="13" t="str">
        <f aca="false">IF(A175="","",SUMIFS('Girdi — Faturalar ve tahsilat'!$R$2:$R$3001,'Girdi — Faturalar ve tahsilat'!$C$2:$C$3001,$A175,'Girdi — Faturalar ve tahsilat'!$T$2:$T$3001,$Z$5,'Girdi — Faturalar ve tahsilat'!$S$2:$S$3001,"1-30"))</f>
        <v/>
      </c>
      <c r="K175" s="13" t="str">
        <f aca="false">IF(A175="","",SUMIFS('Girdi — Faturalar ve tahsilat'!$R$2:$R$3001,'Girdi — Faturalar ve tahsilat'!$C$2:$C$3001,$A175,'Girdi — Faturalar ve tahsilat'!$T$2:$T$3001,$Z$5,'Girdi — Faturalar ve tahsilat'!$S$2:$S$3001,"31-60"))</f>
        <v/>
      </c>
      <c r="L175" s="13" t="str">
        <f aca="false">IF(A175="","",SUMIFS('Girdi — Faturalar ve tahsilat'!$R$2:$R$3001,'Girdi — Faturalar ve tahsilat'!$C$2:$C$3001,$A175,'Girdi — Faturalar ve tahsilat'!$T$2:$T$3001,$Z$5,'Girdi — Faturalar ve tahsilat'!$S$2:$S$3001,"61-90"))</f>
        <v/>
      </c>
      <c r="M175" s="13" t="str">
        <f aca="false">IF(A175="","",SUMIFS('Girdi — Faturalar ve tahsilat'!$R$2:$R$3001,'Girdi — Faturalar ve tahsilat'!$C$2:$C$3001,$A175,'Girdi — Faturalar ve tahsilat'!$T$2:$T$3001,$Z$5,'Girdi — Faturalar ve tahsilat'!$S$2:$S$3001,"90+"))</f>
        <v/>
      </c>
      <c r="N175" s="21" t="str">
        <f aca="false">IF(F175="","",RANK(F175,$F$17:$F$216,0)+COUNTIF($F$17:F175,F175)-1)</f>
        <v/>
      </c>
    </row>
    <row r="176" customFormat="false" ht="15" hidden="false" customHeight="false" outlineLevel="0" collapsed="false">
      <c r="A176" s="16" t="str">
        <f aca="false">IFERROR(INDEX('Girdi — Faturalar ve tahsilat'!$C$2:$C$3001,MATCH(160,'Girdi — Faturalar ve tahsilat'!$U$2:$U$3001,0)),"")</f>
        <v/>
      </c>
      <c r="B176" s="16" t="str">
        <f aca="false">IF(A176="","",INDEX('Girdi — Faturalar ve tahsilat'!$D$2:$D$3001,MATCH(160,'Girdi — Faturalar ve tahsilat'!$U$2:$U$3001,0)))</f>
        <v/>
      </c>
      <c r="C176" s="13" t="str">
        <f aca="false">IF(A176="","",SUMIFS('Girdi — Faturalar ve tahsilat'!$F$2:$F$3001,'Girdi — Faturalar ve tahsilat'!$C$2:$C$3001,$A176,'Girdi — Faturalar ve tahsilat'!$T$2:$T$3001,$Z$5))</f>
        <v/>
      </c>
      <c r="D176" s="15" t="str">
        <f aca="false">IF(OR(A176="",N(C176)=0),"",SUMIFS('Girdi — Faturalar ve tahsilat'!$P$2:$P$3001,'Girdi — Faturalar ve tahsilat'!$C$2:$C$3001,$A176,'Girdi — Faturalar ve tahsilat'!$T$2:$T$3001,$Z$5)/C176)</f>
        <v/>
      </c>
      <c r="E176" s="15" t="str">
        <f aca="false">IF(OR(A176="",N(C176)=0),"",SUMIFS('Girdi — Faturalar ve tahsilat'!$Q$2:$Q$3001,'Girdi — Faturalar ve tahsilat'!$C$2:$C$3001,$A176,'Girdi — Faturalar ve tahsilat'!$T$2:$T$3001,$Z$5)/C176)</f>
        <v/>
      </c>
      <c r="F176" s="20" t="str">
        <f aca="false">IF(D176="","",E176-D176)</f>
        <v/>
      </c>
      <c r="G176" s="13" t="str">
        <f aca="false">IF(F176="","",C176*$D$4*F176/365)</f>
        <v/>
      </c>
      <c r="H176" s="13" t="str">
        <f aca="false">IF(A176="","",SUMIFS('Girdi — Faturalar ve tahsilat'!$R$2:$R$3001,'Girdi — Faturalar ve tahsilat'!$C$2:$C$3001,$A176,'Girdi — Faturalar ve tahsilat'!$T$2:$T$3001,$Z$5))</f>
        <v/>
      </c>
      <c r="I176" s="13" t="str">
        <f aca="false">IF(A176="","",SUMIFS('Girdi — Faturalar ve tahsilat'!$R$2:$R$3001,'Girdi — Faturalar ve tahsilat'!$C$2:$C$3001,$A176,'Girdi — Faturalar ve tahsilat'!$T$2:$T$3001,$Z$5,'Girdi — Faturalar ve tahsilat'!$O$2:$O$3001,"&gt;0"))</f>
        <v/>
      </c>
      <c r="J176" s="13" t="str">
        <f aca="false">IF(A176="","",SUMIFS('Girdi — Faturalar ve tahsilat'!$R$2:$R$3001,'Girdi — Faturalar ve tahsilat'!$C$2:$C$3001,$A176,'Girdi — Faturalar ve tahsilat'!$T$2:$T$3001,$Z$5,'Girdi — Faturalar ve tahsilat'!$S$2:$S$3001,"1-30"))</f>
        <v/>
      </c>
      <c r="K176" s="13" t="str">
        <f aca="false">IF(A176="","",SUMIFS('Girdi — Faturalar ve tahsilat'!$R$2:$R$3001,'Girdi — Faturalar ve tahsilat'!$C$2:$C$3001,$A176,'Girdi — Faturalar ve tahsilat'!$T$2:$T$3001,$Z$5,'Girdi — Faturalar ve tahsilat'!$S$2:$S$3001,"31-60"))</f>
        <v/>
      </c>
      <c r="L176" s="13" t="str">
        <f aca="false">IF(A176="","",SUMIFS('Girdi — Faturalar ve tahsilat'!$R$2:$R$3001,'Girdi — Faturalar ve tahsilat'!$C$2:$C$3001,$A176,'Girdi — Faturalar ve tahsilat'!$T$2:$T$3001,$Z$5,'Girdi — Faturalar ve tahsilat'!$S$2:$S$3001,"61-90"))</f>
        <v/>
      </c>
      <c r="M176" s="13" t="str">
        <f aca="false">IF(A176="","",SUMIFS('Girdi — Faturalar ve tahsilat'!$R$2:$R$3001,'Girdi — Faturalar ve tahsilat'!$C$2:$C$3001,$A176,'Girdi — Faturalar ve tahsilat'!$T$2:$T$3001,$Z$5,'Girdi — Faturalar ve tahsilat'!$S$2:$S$3001,"90+"))</f>
        <v/>
      </c>
      <c r="N176" s="21" t="str">
        <f aca="false">IF(F176="","",RANK(F176,$F$17:$F$216,0)+COUNTIF($F$17:F176,F176)-1)</f>
        <v/>
      </c>
    </row>
    <row r="177" customFormat="false" ht="15" hidden="false" customHeight="false" outlineLevel="0" collapsed="false">
      <c r="A177" s="16" t="str">
        <f aca="false">IFERROR(INDEX('Girdi — Faturalar ve tahsilat'!$C$2:$C$3001,MATCH(161,'Girdi — Faturalar ve tahsilat'!$U$2:$U$3001,0)),"")</f>
        <v/>
      </c>
      <c r="B177" s="16" t="str">
        <f aca="false">IF(A177="","",INDEX('Girdi — Faturalar ve tahsilat'!$D$2:$D$3001,MATCH(161,'Girdi — Faturalar ve tahsilat'!$U$2:$U$3001,0)))</f>
        <v/>
      </c>
      <c r="C177" s="13" t="str">
        <f aca="false">IF(A177="","",SUMIFS('Girdi — Faturalar ve tahsilat'!$F$2:$F$3001,'Girdi — Faturalar ve tahsilat'!$C$2:$C$3001,$A177,'Girdi — Faturalar ve tahsilat'!$T$2:$T$3001,$Z$5))</f>
        <v/>
      </c>
      <c r="D177" s="15" t="str">
        <f aca="false">IF(OR(A177="",N(C177)=0),"",SUMIFS('Girdi — Faturalar ve tahsilat'!$P$2:$P$3001,'Girdi — Faturalar ve tahsilat'!$C$2:$C$3001,$A177,'Girdi — Faturalar ve tahsilat'!$T$2:$T$3001,$Z$5)/C177)</f>
        <v/>
      </c>
      <c r="E177" s="15" t="str">
        <f aca="false">IF(OR(A177="",N(C177)=0),"",SUMIFS('Girdi — Faturalar ve tahsilat'!$Q$2:$Q$3001,'Girdi — Faturalar ve tahsilat'!$C$2:$C$3001,$A177,'Girdi — Faturalar ve tahsilat'!$T$2:$T$3001,$Z$5)/C177)</f>
        <v/>
      </c>
      <c r="F177" s="20" t="str">
        <f aca="false">IF(D177="","",E177-D177)</f>
        <v/>
      </c>
      <c r="G177" s="13" t="str">
        <f aca="false">IF(F177="","",C177*$D$4*F177/365)</f>
        <v/>
      </c>
      <c r="H177" s="13" t="str">
        <f aca="false">IF(A177="","",SUMIFS('Girdi — Faturalar ve tahsilat'!$R$2:$R$3001,'Girdi — Faturalar ve tahsilat'!$C$2:$C$3001,$A177,'Girdi — Faturalar ve tahsilat'!$T$2:$T$3001,$Z$5))</f>
        <v/>
      </c>
      <c r="I177" s="13" t="str">
        <f aca="false">IF(A177="","",SUMIFS('Girdi — Faturalar ve tahsilat'!$R$2:$R$3001,'Girdi — Faturalar ve tahsilat'!$C$2:$C$3001,$A177,'Girdi — Faturalar ve tahsilat'!$T$2:$T$3001,$Z$5,'Girdi — Faturalar ve tahsilat'!$O$2:$O$3001,"&gt;0"))</f>
        <v/>
      </c>
      <c r="J177" s="13" t="str">
        <f aca="false">IF(A177="","",SUMIFS('Girdi — Faturalar ve tahsilat'!$R$2:$R$3001,'Girdi — Faturalar ve tahsilat'!$C$2:$C$3001,$A177,'Girdi — Faturalar ve tahsilat'!$T$2:$T$3001,$Z$5,'Girdi — Faturalar ve tahsilat'!$S$2:$S$3001,"1-30"))</f>
        <v/>
      </c>
      <c r="K177" s="13" t="str">
        <f aca="false">IF(A177="","",SUMIFS('Girdi — Faturalar ve tahsilat'!$R$2:$R$3001,'Girdi — Faturalar ve tahsilat'!$C$2:$C$3001,$A177,'Girdi — Faturalar ve tahsilat'!$T$2:$T$3001,$Z$5,'Girdi — Faturalar ve tahsilat'!$S$2:$S$3001,"31-60"))</f>
        <v/>
      </c>
      <c r="L177" s="13" t="str">
        <f aca="false">IF(A177="","",SUMIFS('Girdi — Faturalar ve tahsilat'!$R$2:$R$3001,'Girdi — Faturalar ve tahsilat'!$C$2:$C$3001,$A177,'Girdi — Faturalar ve tahsilat'!$T$2:$T$3001,$Z$5,'Girdi — Faturalar ve tahsilat'!$S$2:$S$3001,"61-90"))</f>
        <v/>
      </c>
      <c r="M177" s="13" t="str">
        <f aca="false">IF(A177="","",SUMIFS('Girdi — Faturalar ve tahsilat'!$R$2:$R$3001,'Girdi — Faturalar ve tahsilat'!$C$2:$C$3001,$A177,'Girdi — Faturalar ve tahsilat'!$T$2:$T$3001,$Z$5,'Girdi — Faturalar ve tahsilat'!$S$2:$S$3001,"90+"))</f>
        <v/>
      </c>
      <c r="N177" s="21" t="str">
        <f aca="false">IF(F177="","",RANK(F177,$F$17:$F$216,0)+COUNTIF($F$17:F177,F177)-1)</f>
        <v/>
      </c>
    </row>
    <row r="178" customFormat="false" ht="15" hidden="false" customHeight="false" outlineLevel="0" collapsed="false">
      <c r="A178" s="16" t="str">
        <f aca="false">IFERROR(INDEX('Girdi — Faturalar ve tahsilat'!$C$2:$C$3001,MATCH(162,'Girdi — Faturalar ve tahsilat'!$U$2:$U$3001,0)),"")</f>
        <v/>
      </c>
      <c r="B178" s="16" t="str">
        <f aca="false">IF(A178="","",INDEX('Girdi — Faturalar ve tahsilat'!$D$2:$D$3001,MATCH(162,'Girdi — Faturalar ve tahsilat'!$U$2:$U$3001,0)))</f>
        <v/>
      </c>
      <c r="C178" s="13" t="str">
        <f aca="false">IF(A178="","",SUMIFS('Girdi — Faturalar ve tahsilat'!$F$2:$F$3001,'Girdi — Faturalar ve tahsilat'!$C$2:$C$3001,$A178,'Girdi — Faturalar ve tahsilat'!$T$2:$T$3001,$Z$5))</f>
        <v/>
      </c>
      <c r="D178" s="15" t="str">
        <f aca="false">IF(OR(A178="",N(C178)=0),"",SUMIFS('Girdi — Faturalar ve tahsilat'!$P$2:$P$3001,'Girdi — Faturalar ve tahsilat'!$C$2:$C$3001,$A178,'Girdi — Faturalar ve tahsilat'!$T$2:$T$3001,$Z$5)/C178)</f>
        <v/>
      </c>
      <c r="E178" s="15" t="str">
        <f aca="false">IF(OR(A178="",N(C178)=0),"",SUMIFS('Girdi — Faturalar ve tahsilat'!$Q$2:$Q$3001,'Girdi — Faturalar ve tahsilat'!$C$2:$C$3001,$A178,'Girdi — Faturalar ve tahsilat'!$T$2:$T$3001,$Z$5)/C178)</f>
        <v/>
      </c>
      <c r="F178" s="20" t="str">
        <f aca="false">IF(D178="","",E178-D178)</f>
        <v/>
      </c>
      <c r="G178" s="13" t="str">
        <f aca="false">IF(F178="","",C178*$D$4*F178/365)</f>
        <v/>
      </c>
      <c r="H178" s="13" t="str">
        <f aca="false">IF(A178="","",SUMIFS('Girdi — Faturalar ve tahsilat'!$R$2:$R$3001,'Girdi — Faturalar ve tahsilat'!$C$2:$C$3001,$A178,'Girdi — Faturalar ve tahsilat'!$T$2:$T$3001,$Z$5))</f>
        <v/>
      </c>
      <c r="I178" s="13" t="str">
        <f aca="false">IF(A178="","",SUMIFS('Girdi — Faturalar ve tahsilat'!$R$2:$R$3001,'Girdi — Faturalar ve tahsilat'!$C$2:$C$3001,$A178,'Girdi — Faturalar ve tahsilat'!$T$2:$T$3001,$Z$5,'Girdi — Faturalar ve tahsilat'!$O$2:$O$3001,"&gt;0"))</f>
        <v/>
      </c>
      <c r="J178" s="13" t="str">
        <f aca="false">IF(A178="","",SUMIFS('Girdi — Faturalar ve tahsilat'!$R$2:$R$3001,'Girdi — Faturalar ve tahsilat'!$C$2:$C$3001,$A178,'Girdi — Faturalar ve tahsilat'!$T$2:$T$3001,$Z$5,'Girdi — Faturalar ve tahsilat'!$S$2:$S$3001,"1-30"))</f>
        <v/>
      </c>
      <c r="K178" s="13" t="str">
        <f aca="false">IF(A178="","",SUMIFS('Girdi — Faturalar ve tahsilat'!$R$2:$R$3001,'Girdi — Faturalar ve tahsilat'!$C$2:$C$3001,$A178,'Girdi — Faturalar ve tahsilat'!$T$2:$T$3001,$Z$5,'Girdi — Faturalar ve tahsilat'!$S$2:$S$3001,"31-60"))</f>
        <v/>
      </c>
      <c r="L178" s="13" t="str">
        <f aca="false">IF(A178="","",SUMIFS('Girdi — Faturalar ve tahsilat'!$R$2:$R$3001,'Girdi — Faturalar ve tahsilat'!$C$2:$C$3001,$A178,'Girdi — Faturalar ve tahsilat'!$T$2:$T$3001,$Z$5,'Girdi — Faturalar ve tahsilat'!$S$2:$S$3001,"61-90"))</f>
        <v/>
      </c>
      <c r="M178" s="13" t="str">
        <f aca="false">IF(A178="","",SUMIFS('Girdi — Faturalar ve tahsilat'!$R$2:$R$3001,'Girdi — Faturalar ve tahsilat'!$C$2:$C$3001,$A178,'Girdi — Faturalar ve tahsilat'!$T$2:$T$3001,$Z$5,'Girdi — Faturalar ve tahsilat'!$S$2:$S$3001,"90+"))</f>
        <v/>
      </c>
      <c r="N178" s="21" t="str">
        <f aca="false">IF(F178="","",RANK(F178,$F$17:$F$216,0)+COUNTIF($F$17:F178,F178)-1)</f>
        <v/>
      </c>
    </row>
    <row r="179" customFormat="false" ht="15" hidden="false" customHeight="false" outlineLevel="0" collapsed="false">
      <c r="A179" s="16" t="str">
        <f aca="false">IFERROR(INDEX('Girdi — Faturalar ve tahsilat'!$C$2:$C$3001,MATCH(163,'Girdi — Faturalar ve tahsilat'!$U$2:$U$3001,0)),"")</f>
        <v/>
      </c>
      <c r="B179" s="16" t="str">
        <f aca="false">IF(A179="","",INDEX('Girdi — Faturalar ve tahsilat'!$D$2:$D$3001,MATCH(163,'Girdi — Faturalar ve tahsilat'!$U$2:$U$3001,0)))</f>
        <v/>
      </c>
      <c r="C179" s="13" t="str">
        <f aca="false">IF(A179="","",SUMIFS('Girdi — Faturalar ve tahsilat'!$F$2:$F$3001,'Girdi — Faturalar ve tahsilat'!$C$2:$C$3001,$A179,'Girdi — Faturalar ve tahsilat'!$T$2:$T$3001,$Z$5))</f>
        <v/>
      </c>
      <c r="D179" s="15" t="str">
        <f aca="false">IF(OR(A179="",N(C179)=0),"",SUMIFS('Girdi — Faturalar ve tahsilat'!$P$2:$P$3001,'Girdi — Faturalar ve tahsilat'!$C$2:$C$3001,$A179,'Girdi — Faturalar ve tahsilat'!$T$2:$T$3001,$Z$5)/C179)</f>
        <v/>
      </c>
      <c r="E179" s="15" t="str">
        <f aca="false">IF(OR(A179="",N(C179)=0),"",SUMIFS('Girdi — Faturalar ve tahsilat'!$Q$2:$Q$3001,'Girdi — Faturalar ve tahsilat'!$C$2:$C$3001,$A179,'Girdi — Faturalar ve tahsilat'!$T$2:$T$3001,$Z$5)/C179)</f>
        <v/>
      </c>
      <c r="F179" s="20" t="str">
        <f aca="false">IF(D179="","",E179-D179)</f>
        <v/>
      </c>
      <c r="G179" s="13" t="str">
        <f aca="false">IF(F179="","",C179*$D$4*F179/365)</f>
        <v/>
      </c>
      <c r="H179" s="13" t="str">
        <f aca="false">IF(A179="","",SUMIFS('Girdi — Faturalar ve tahsilat'!$R$2:$R$3001,'Girdi — Faturalar ve tahsilat'!$C$2:$C$3001,$A179,'Girdi — Faturalar ve tahsilat'!$T$2:$T$3001,$Z$5))</f>
        <v/>
      </c>
      <c r="I179" s="13" t="str">
        <f aca="false">IF(A179="","",SUMIFS('Girdi — Faturalar ve tahsilat'!$R$2:$R$3001,'Girdi — Faturalar ve tahsilat'!$C$2:$C$3001,$A179,'Girdi — Faturalar ve tahsilat'!$T$2:$T$3001,$Z$5,'Girdi — Faturalar ve tahsilat'!$O$2:$O$3001,"&gt;0"))</f>
        <v/>
      </c>
      <c r="J179" s="13" t="str">
        <f aca="false">IF(A179="","",SUMIFS('Girdi — Faturalar ve tahsilat'!$R$2:$R$3001,'Girdi — Faturalar ve tahsilat'!$C$2:$C$3001,$A179,'Girdi — Faturalar ve tahsilat'!$T$2:$T$3001,$Z$5,'Girdi — Faturalar ve tahsilat'!$S$2:$S$3001,"1-30"))</f>
        <v/>
      </c>
      <c r="K179" s="13" t="str">
        <f aca="false">IF(A179="","",SUMIFS('Girdi — Faturalar ve tahsilat'!$R$2:$R$3001,'Girdi — Faturalar ve tahsilat'!$C$2:$C$3001,$A179,'Girdi — Faturalar ve tahsilat'!$T$2:$T$3001,$Z$5,'Girdi — Faturalar ve tahsilat'!$S$2:$S$3001,"31-60"))</f>
        <v/>
      </c>
      <c r="L179" s="13" t="str">
        <f aca="false">IF(A179="","",SUMIFS('Girdi — Faturalar ve tahsilat'!$R$2:$R$3001,'Girdi — Faturalar ve tahsilat'!$C$2:$C$3001,$A179,'Girdi — Faturalar ve tahsilat'!$T$2:$T$3001,$Z$5,'Girdi — Faturalar ve tahsilat'!$S$2:$S$3001,"61-90"))</f>
        <v/>
      </c>
      <c r="M179" s="13" t="str">
        <f aca="false">IF(A179="","",SUMIFS('Girdi — Faturalar ve tahsilat'!$R$2:$R$3001,'Girdi — Faturalar ve tahsilat'!$C$2:$C$3001,$A179,'Girdi — Faturalar ve tahsilat'!$T$2:$T$3001,$Z$5,'Girdi — Faturalar ve tahsilat'!$S$2:$S$3001,"90+"))</f>
        <v/>
      </c>
      <c r="N179" s="21" t="str">
        <f aca="false">IF(F179="","",RANK(F179,$F$17:$F$216,0)+COUNTIF($F$17:F179,F179)-1)</f>
        <v/>
      </c>
    </row>
    <row r="180" customFormat="false" ht="15" hidden="false" customHeight="false" outlineLevel="0" collapsed="false">
      <c r="A180" s="16" t="str">
        <f aca="false">IFERROR(INDEX('Girdi — Faturalar ve tahsilat'!$C$2:$C$3001,MATCH(164,'Girdi — Faturalar ve tahsilat'!$U$2:$U$3001,0)),"")</f>
        <v/>
      </c>
      <c r="B180" s="16" t="str">
        <f aca="false">IF(A180="","",INDEX('Girdi — Faturalar ve tahsilat'!$D$2:$D$3001,MATCH(164,'Girdi — Faturalar ve tahsilat'!$U$2:$U$3001,0)))</f>
        <v/>
      </c>
      <c r="C180" s="13" t="str">
        <f aca="false">IF(A180="","",SUMIFS('Girdi — Faturalar ve tahsilat'!$F$2:$F$3001,'Girdi — Faturalar ve tahsilat'!$C$2:$C$3001,$A180,'Girdi — Faturalar ve tahsilat'!$T$2:$T$3001,$Z$5))</f>
        <v/>
      </c>
      <c r="D180" s="15" t="str">
        <f aca="false">IF(OR(A180="",N(C180)=0),"",SUMIFS('Girdi — Faturalar ve tahsilat'!$P$2:$P$3001,'Girdi — Faturalar ve tahsilat'!$C$2:$C$3001,$A180,'Girdi — Faturalar ve tahsilat'!$T$2:$T$3001,$Z$5)/C180)</f>
        <v/>
      </c>
      <c r="E180" s="15" t="str">
        <f aca="false">IF(OR(A180="",N(C180)=0),"",SUMIFS('Girdi — Faturalar ve tahsilat'!$Q$2:$Q$3001,'Girdi — Faturalar ve tahsilat'!$C$2:$C$3001,$A180,'Girdi — Faturalar ve tahsilat'!$T$2:$T$3001,$Z$5)/C180)</f>
        <v/>
      </c>
      <c r="F180" s="20" t="str">
        <f aca="false">IF(D180="","",E180-D180)</f>
        <v/>
      </c>
      <c r="G180" s="13" t="str">
        <f aca="false">IF(F180="","",C180*$D$4*F180/365)</f>
        <v/>
      </c>
      <c r="H180" s="13" t="str">
        <f aca="false">IF(A180="","",SUMIFS('Girdi — Faturalar ve tahsilat'!$R$2:$R$3001,'Girdi — Faturalar ve tahsilat'!$C$2:$C$3001,$A180,'Girdi — Faturalar ve tahsilat'!$T$2:$T$3001,$Z$5))</f>
        <v/>
      </c>
      <c r="I180" s="13" t="str">
        <f aca="false">IF(A180="","",SUMIFS('Girdi — Faturalar ve tahsilat'!$R$2:$R$3001,'Girdi — Faturalar ve tahsilat'!$C$2:$C$3001,$A180,'Girdi — Faturalar ve tahsilat'!$T$2:$T$3001,$Z$5,'Girdi — Faturalar ve tahsilat'!$O$2:$O$3001,"&gt;0"))</f>
        <v/>
      </c>
      <c r="J180" s="13" t="str">
        <f aca="false">IF(A180="","",SUMIFS('Girdi — Faturalar ve tahsilat'!$R$2:$R$3001,'Girdi — Faturalar ve tahsilat'!$C$2:$C$3001,$A180,'Girdi — Faturalar ve tahsilat'!$T$2:$T$3001,$Z$5,'Girdi — Faturalar ve tahsilat'!$S$2:$S$3001,"1-30"))</f>
        <v/>
      </c>
      <c r="K180" s="13" t="str">
        <f aca="false">IF(A180="","",SUMIFS('Girdi — Faturalar ve tahsilat'!$R$2:$R$3001,'Girdi — Faturalar ve tahsilat'!$C$2:$C$3001,$A180,'Girdi — Faturalar ve tahsilat'!$T$2:$T$3001,$Z$5,'Girdi — Faturalar ve tahsilat'!$S$2:$S$3001,"31-60"))</f>
        <v/>
      </c>
      <c r="L180" s="13" t="str">
        <f aca="false">IF(A180="","",SUMIFS('Girdi — Faturalar ve tahsilat'!$R$2:$R$3001,'Girdi — Faturalar ve tahsilat'!$C$2:$C$3001,$A180,'Girdi — Faturalar ve tahsilat'!$T$2:$T$3001,$Z$5,'Girdi — Faturalar ve tahsilat'!$S$2:$S$3001,"61-90"))</f>
        <v/>
      </c>
      <c r="M180" s="13" t="str">
        <f aca="false">IF(A180="","",SUMIFS('Girdi — Faturalar ve tahsilat'!$R$2:$R$3001,'Girdi — Faturalar ve tahsilat'!$C$2:$C$3001,$A180,'Girdi — Faturalar ve tahsilat'!$T$2:$T$3001,$Z$5,'Girdi — Faturalar ve tahsilat'!$S$2:$S$3001,"90+"))</f>
        <v/>
      </c>
      <c r="N180" s="21" t="str">
        <f aca="false">IF(F180="","",RANK(F180,$F$17:$F$216,0)+COUNTIF($F$17:F180,F180)-1)</f>
        <v/>
      </c>
    </row>
    <row r="181" customFormat="false" ht="15" hidden="false" customHeight="false" outlineLevel="0" collapsed="false">
      <c r="A181" s="16" t="str">
        <f aca="false">IFERROR(INDEX('Girdi — Faturalar ve tahsilat'!$C$2:$C$3001,MATCH(165,'Girdi — Faturalar ve tahsilat'!$U$2:$U$3001,0)),"")</f>
        <v/>
      </c>
      <c r="B181" s="16" t="str">
        <f aca="false">IF(A181="","",INDEX('Girdi — Faturalar ve tahsilat'!$D$2:$D$3001,MATCH(165,'Girdi — Faturalar ve tahsilat'!$U$2:$U$3001,0)))</f>
        <v/>
      </c>
      <c r="C181" s="13" t="str">
        <f aca="false">IF(A181="","",SUMIFS('Girdi — Faturalar ve tahsilat'!$F$2:$F$3001,'Girdi — Faturalar ve tahsilat'!$C$2:$C$3001,$A181,'Girdi — Faturalar ve tahsilat'!$T$2:$T$3001,$Z$5))</f>
        <v/>
      </c>
      <c r="D181" s="15" t="str">
        <f aca="false">IF(OR(A181="",N(C181)=0),"",SUMIFS('Girdi — Faturalar ve tahsilat'!$P$2:$P$3001,'Girdi — Faturalar ve tahsilat'!$C$2:$C$3001,$A181,'Girdi — Faturalar ve tahsilat'!$T$2:$T$3001,$Z$5)/C181)</f>
        <v/>
      </c>
      <c r="E181" s="15" t="str">
        <f aca="false">IF(OR(A181="",N(C181)=0),"",SUMIFS('Girdi — Faturalar ve tahsilat'!$Q$2:$Q$3001,'Girdi — Faturalar ve tahsilat'!$C$2:$C$3001,$A181,'Girdi — Faturalar ve tahsilat'!$T$2:$T$3001,$Z$5)/C181)</f>
        <v/>
      </c>
      <c r="F181" s="20" t="str">
        <f aca="false">IF(D181="","",E181-D181)</f>
        <v/>
      </c>
      <c r="G181" s="13" t="str">
        <f aca="false">IF(F181="","",C181*$D$4*F181/365)</f>
        <v/>
      </c>
      <c r="H181" s="13" t="str">
        <f aca="false">IF(A181="","",SUMIFS('Girdi — Faturalar ve tahsilat'!$R$2:$R$3001,'Girdi — Faturalar ve tahsilat'!$C$2:$C$3001,$A181,'Girdi — Faturalar ve tahsilat'!$T$2:$T$3001,$Z$5))</f>
        <v/>
      </c>
      <c r="I181" s="13" t="str">
        <f aca="false">IF(A181="","",SUMIFS('Girdi — Faturalar ve tahsilat'!$R$2:$R$3001,'Girdi — Faturalar ve tahsilat'!$C$2:$C$3001,$A181,'Girdi — Faturalar ve tahsilat'!$T$2:$T$3001,$Z$5,'Girdi — Faturalar ve tahsilat'!$O$2:$O$3001,"&gt;0"))</f>
        <v/>
      </c>
      <c r="J181" s="13" t="str">
        <f aca="false">IF(A181="","",SUMIFS('Girdi — Faturalar ve tahsilat'!$R$2:$R$3001,'Girdi — Faturalar ve tahsilat'!$C$2:$C$3001,$A181,'Girdi — Faturalar ve tahsilat'!$T$2:$T$3001,$Z$5,'Girdi — Faturalar ve tahsilat'!$S$2:$S$3001,"1-30"))</f>
        <v/>
      </c>
      <c r="K181" s="13" t="str">
        <f aca="false">IF(A181="","",SUMIFS('Girdi — Faturalar ve tahsilat'!$R$2:$R$3001,'Girdi — Faturalar ve tahsilat'!$C$2:$C$3001,$A181,'Girdi — Faturalar ve tahsilat'!$T$2:$T$3001,$Z$5,'Girdi — Faturalar ve tahsilat'!$S$2:$S$3001,"31-60"))</f>
        <v/>
      </c>
      <c r="L181" s="13" t="str">
        <f aca="false">IF(A181="","",SUMIFS('Girdi — Faturalar ve tahsilat'!$R$2:$R$3001,'Girdi — Faturalar ve tahsilat'!$C$2:$C$3001,$A181,'Girdi — Faturalar ve tahsilat'!$T$2:$T$3001,$Z$5,'Girdi — Faturalar ve tahsilat'!$S$2:$S$3001,"61-90"))</f>
        <v/>
      </c>
      <c r="M181" s="13" t="str">
        <f aca="false">IF(A181="","",SUMIFS('Girdi — Faturalar ve tahsilat'!$R$2:$R$3001,'Girdi — Faturalar ve tahsilat'!$C$2:$C$3001,$A181,'Girdi — Faturalar ve tahsilat'!$T$2:$T$3001,$Z$5,'Girdi — Faturalar ve tahsilat'!$S$2:$S$3001,"90+"))</f>
        <v/>
      </c>
      <c r="N181" s="21" t="str">
        <f aca="false">IF(F181="","",RANK(F181,$F$17:$F$216,0)+COUNTIF($F$17:F181,F181)-1)</f>
        <v/>
      </c>
    </row>
    <row r="182" customFormat="false" ht="15" hidden="false" customHeight="false" outlineLevel="0" collapsed="false">
      <c r="A182" s="16" t="str">
        <f aca="false">IFERROR(INDEX('Girdi — Faturalar ve tahsilat'!$C$2:$C$3001,MATCH(166,'Girdi — Faturalar ve tahsilat'!$U$2:$U$3001,0)),"")</f>
        <v/>
      </c>
      <c r="B182" s="16" t="str">
        <f aca="false">IF(A182="","",INDEX('Girdi — Faturalar ve tahsilat'!$D$2:$D$3001,MATCH(166,'Girdi — Faturalar ve tahsilat'!$U$2:$U$3001,0)))</f>
        <v/>
      </c>
      <c r="C182" s="13" t="str">
        <f aca="false">IF(A182="","",SUMIFS('Girdi — Faturalar ve tahsilat'!$F$2:$F$3001,'Girdi — Faturalar ve tahsilat'!$C$2:$C$3001,$A182,'Girdi — Faturalar ve tahsilat'!$T$2:$T$3001,$Z$5))</f>
        <v/>
      </c>
      <c r="D182" s="15" t="str">
        <f aca="false">IF(OR(A182="",N(C182)=0),"",SUMIFS('Girdi — Faturalar ve tahsilat'!$P$2:$P$3001,'Girdi — Faturalar ve tahsilat'!$C$2:$C$3001,$A182,'Girdi — Faturalar ve tahsilat'!$T$2:$T$3001,$Z$5)/C182)</f>
        <v/>
      </c>
      <c r="E182" s="15" t="str">
        <f aca="false">IF(OR(A182="",N(C182)=0),"",SUMIFS('Girdi — Faturalar ve tahsilat'!$Q$2:$Q$3001,'Girdi — Faturalar ve tahsilat'!$C$2:$C$3001,$A182,'Girdi — Faturalar ve tahsilat'!$T$2:$T$3001,$Z$5)/C182)</f>
        <v/>
      </c>
      <c r="F182" s="20" t="str">
        <f aca="false">IF(D182="","",E182-D182)</f>
        <v/>
      </c>
      <c r="G182" s="13" t="str">
        <f aca="false">IF(F182="","",C182*$D$4*F182/365)</f>
        <v/>
      </c>
      <c r="H182" s="13" t="str">
        <f aca="false">IF(A182="","",SUMIFS('Girdi — Faturalar ve tahsilat'!$R$2:$R$3001,'Girdi — Faturalar ve tahsilat'!$C$2:$C$3001,$A182,'Girdi — Faturalar ve tahsilat'!$T$2:$T$3001,$Z$5))</f>
        <v/>
      </c>
      <c r="I182" s="13" t="str">
        <f aca="false">IF(A182="","",SUMIFS('Girdi — Faturalar ve tahsilat'!$R$2:$R$3001,'Girdi — Faturalar ve tahsilat'!$C$2:$C$3001,$A182,'Girdi — Faturalar ve tahsilat'!$T$2:$T$3001,$Z$5,'Girdi — Faturalar ve tahsilat'!$O$2:$O$3001,"&gt;0"))</f>
        <v/>
      </c>
      <c r="J182" s="13" t="str">
        <f aca="false">IF(A182="","",SUMIFS('Girdi — Faturalar ve tahsilat'!$R$2:$R$3001,'Girdi — Faturalar ve tahsilat'!$C$2:$C$3001,$A182,'Girdi — Faturalar ve tahsilat'!$T$2:$T$3001,$Z$5,'Girdi — Faturalar ve tahsilat'!$S$2:$S$3001,"1-30"))</f>
        <v/>
      </c>
      <c r="K182" s="13" t="str">
        <f aca="false">IF(A182="","",SUMIFS('Girdi — Faturalar ve tahsilat'!$R$2:$R$3001,'Girdi — Faturalar ve tahsilat'!$C$2:$C$3001,$A182,'Girdi — Faturalar ve tahsilat'!$T$2:$T$3001,$Z$5,'Girdi — Faturalar ve tahsilat'!$S$2:$S$3001,"31-60"))</f>
        <v/>
      </c>
      <c r="L182" s="13" t="str">
        <f aca="false">IF(A182="","",SUMIFS('Girdi — Faturalar ve tahsilat'!$R$2:$R$3001,'Girdi — Faturalar ve tahsilat'!$C$2:$C$3001,$A182,'Girdi — Faturalar ve tahsilat'!$T$2:$T$3001,$Z$5,'Girdi — Faturalar ve tahsilat'!$S$2:$S$3001,"61-90"))</f>
        <v/>
      </c>
      <c r="M182" s="13" t="str">
        <f aca="false">IF(A182="","",SUMIFS('Girdi — Faturalar ve tahsilat'!$R$2:$R$3001,'Girdi — Faturalar ve tahsilat'!$C$2:$C$3001,$A182,'Girdi — Faturalar ve tahsilat'!$T$2:$T$3001,$Z$5,'Girdi — Faturalar ve tahsilat'!$S$2:$S$3001,"90+"))</f>
        <v/>
      </c>
      <c r="N182" s="21" t="str">
        <f aca="false">IF(F182="","",RANK(F182,$F$17:$F$216,0)+COUNTIF($F$17:F182,F182)-1)</f>
        <v/>
      </c>
    </row>
    <row r="183" customFormat="false" ht="15" hidden="false" customHeight="false" outlineLevel="0" collapsed="false">
      <c r="A183" s="16" t="str">
        <f aca="false">IFERROR(INDEX('Girdi — Faturalar ve tahsilat'!$C$2:$C$3001,MATCH(167,'Girdi — Faturalar ve tahsilat'!$U$2:$U$3001,0)),"")</f>
        <v/>
      </c>
      <c r="B183" s="16" t="str">
        <f aca="false">IF(A183="","",INDEX('Girdi — Faturalar ve tahsilat'!$D$2:$D$3001,MATCH(167,'Girdi — Faturalar ve tahsilat'!$U$2:$U$3001,0)))</f>
        <v/>
      </c>
      <c r="C183" s="13" t="str">
        <f aca="false">IF(A183="","",SUMIFS('Girdi — Faturalar ve tahsilat'!$F$2:$F$3001,'Girdi — Faturalar ve tahsilat'!$C$2:$C$3001,$A183,'Girdi — Faturalar ve tahsilat'!$T$2:$T$3001,$Z$5))</f>
        <v/>
      </c>
      <c r="D183" s="15" t="str">
        <f aca="false">IF(OR(A183="",N(C183)=0),"",SUMIFS('Girdi — Faturalar ve tahsilat'!$P$2:$P$3001,'Girdi — Faturalar ve tahsilat'!$C$2:$C$3001,$A183,'Girdi — Faturalar ve tahsilat'!$T$2:$T$3001,$Z$5)/C183)</f>
        <v/>
      </c>
      <c r="E183" s="15" t="str">
        <f aca="false">IF(OR(A183="",N(C183)=0),"",SUMIFS('Girdi — Faturalar ve tahsilat'!$Q$2:$Q$3001,'Girdi — Faturalar ve tahsilat'!$C$2:$C$3001,$A183,'Girdi — Faturalar ve tahsilat'!$T$2:$T$3001,$Z$5)/C183)</f>
        <v/>
      </c>
      <c r="F183" s="20" t="str">
        <f aca="false">IF(D183="","",E183-D183)</f>
        <v/>
      </c>
      <c r="G183" s="13" t="str">
        <f aca="false">IF(F183="","",C183*$D$4*F183/365)</f>
        <v/>
      </c>
      <c r="H183" s="13" t="str">
        <f aca="false">IF(A183="","",SUMIFS('Girdi — Faturalar ve tahsilat'!$R$2:$R$3001,'Girdi — Faturalar ve tahsilat'!$C$2:$C$3001,$A183,'Girdi — Faturalar ve tahsilat'!$T$2:$T$3001,$Z$5))</f>
        <v/>
      </c>
      <c r="I183" s="13" t="str">
        <f aca="false">IF(A183="","",SUMIFS('Girdi — Faturalar ve tahsilat'!$R$2:$R$3001,'Girdi — Faturalar ve tahsilat'!$C$2:$C$3001,$A183,'Girdi — Faturalar ve tahsilat'!$T$2:$T$3001,$Z$5,'Girdi — Faturalar ve tahsilat'!$O$2:$O$3001,"&gt;0"))</f>
        <v/>
      </c>
      <c r="J183" s="13" t="str">
        <f aca="false">IF(A183="","",SUMIFS('Girdi — Faturalar ve tahsilat'!$R$2:$R$3001,'Girdi — Faturalar ve tahsilat'!$C$2:$C$3001,$A183,'Girdi — Faturalar ve tahsilat'!$T$2:$T$3001,$Z$5,'Girdi — Faturalar ve tahsilat'!$S$2:$S$3001,"1-30"))</f>
        <v/>
      </c>
      <c r="K183" s="13" t="str">
        <f aca="false">IF(A183="","",SUMIFS('Girdi — Faturalar ve tahsilat'!$R$2:$R$3001,'Girdi — Faturalar ve tahsilat'!$C$2:$C$3001,$A183,'Girdi — Faturalar ve tahsilat'!$T$2:$T$3001,$Z$5,'Girdi — Faturalar ve tahsilat'!$S$2:$S$3001,"31-60"))</f>
        <v/>
      </c>
      <c r="L183" s="13" t="str">
        <f aca="false">IF(A183="","",SUMIFS('Girdi — Faturalar ve tahsilat'!$R$2:$R$3001,'Girdi — Faturalar ve tahsilat'!$C$2:$C$3001,$A183,'Girdi — Faturalar ve tahsilat'!$T$2:$T$3001,$Z$5,'Girdi — Faturalar ve tahsilat'!$S$2:$S$3001,"61-90"))</f>
        <v/>
      </c>
      <c r="M183" s="13" t="str">
        <f aca="false">IF(A183="","",SUMIFS('Girdi — Faturalar ve tahsilat'!$R$2:$R$3001,'Girdi — Faturalar ve tahsilat'!$C$2:$C$3001,$A183,'Girdi — Faturalar ve tahsilat'!$T$2:$T$3001,$Z$5,'Girdi — Faturalar ve tahsilat'!$S$2:$S$3001,"90+"))</f>
        <v/>
      </c>
      <c r="N183" s="21" t="str">
        <f aca="false">IF(F183="","",RANK(F183,$F$17:$F$216,0)+COUNTIF($F$17:F183,F183)-1)</f>
        <v/>
      </c>
    </row>
    <row r="184" customFormat="false" ht="15" hidden="false" customHeight="false" outlineLevel="0" collapsed="false">
      <c r="A184" s="16" t="str">
        <f aca="false">IFERROR(INDEX('Girdi — Faturalar ve tahsilat'!$C$2:$C$3001,MATCH(168,'Girdi — Faturalar ve tahsilat'!$U$2:$U$3001,0)),"")</f>
        <v/>
      </c>
      <c r="B184" s="16" t="str">
        <f aca="false">IF(A184="","",INDEX('Girdi — Faturalar ve tahsilat'!$D$2:$D$3001,MATCH(168,'Girdi — Faturalar ve tahsilat'!$U$2:$U$3001,0)))</f>
        <v/>
      </c>
      <c r="C184" s="13" t="str">
        <f aca="false">IF(A184="","",SUMIFS('Girdi — Faturalar ve tahsilat'!$F$2:$F$3001,'Girdi — Faturalar ve tahsilat'!$C$2:$C$3001,$A184,'Girdi — Faturalar ve tahsilat'!$T$2:$T$3001,$Z$5))</f>
        <v/>
      </c>
      <c r="D184" s="15" t="str">
        <f aca="false">IF(OR(A184="",N(C184)=0),"",SUMIFS('Girdi — Faturalar ve tahsilat'!$P$2:$P$3001,'Girdi — Faturalar ve tahsilat'!$C$2:$C$3001,$A184,'Girdi — Faturalar ve tahsilat'!$T$2:$T$3001,$Z$5)/C184)</f>
        <v/>
      </c>
      <c r="E184" s="15" t="str">
        <f aca="false">IF(OR(A184="",N(C184)=0),"",SUMIFS('Girdi — Faturalar ve tahsilat'!$Q$2:$Q$3001,'Girdi — Faturalar ve tahsilat'!$C$2:$C$3001,$A184,'Girdi — Faturalar ve tahsilat'!$T$2:$T$3001,$Z$5)/C184)</f>
        <v/>
      </c>
      <c r="F184" s="20" t="str">
        <f aca="false">IF(D184="","",E184-D184)</f>
        <v/>
      </c>
      <c r="G184" s="13" t="str">
        <f aca="false">IF(F184="","",C184*$D$4*F184/365)</f>
        <v/>
      </c>
      <c r="H184" s="13" t="str">
        <f aca="false">IF(A184="","",SUMIFS('Girdi — Faturalar ve tahsilat'!$R$2:$R$3001,'Girdi — Faturalar ve tahsilat'!$C$2:$C$3001,$A184,'Girdi — Faturalar ve tahsilat'!$T$2:$T$3001,$Z$5))</f>
        <v/>
      </c>
      <c r="I184" s="13" t="str">
        <f aca="false">IF(A184="","",SUMIFS('Girdi — Faturalar ve tahsilat'!$R$2:$R$3001,'Girdi — Faturalar ve tahsilat'!$C$2:$C$3001,$A184,'Girdi — Faturalar ve tahsilat'!$T$2:$T$3001,$Z$5,'Girdi — Faturalar ve tahsilat'!$O$2:$O$3001,"&gt;0"))</f>
        <v/>
      </c>
      <c r="J184" s="13" t="str">
        <f aca="false">IF(A184="","",SUMIFS('Girdi — Faturalar ve tahsilat'!$R$2:$R$3001,'Girdi — Faturalar ve tahsilat'!$C$2:$C$3001,$A184,'Girdi — Faturalar ve tahsilat'!$T$2:$T$3001,$Z$5,'Girdi — Faturalar ve tahsilat'!$S$2:$S$3001,"1-30"))</f>
        <v/>
      </c>
      <c r="K184" s="13" t="str">
        <f aca="false">IF(A184="","",SUMIFS('Girdi — Faturalar ve tahsilat'!$R$2:$R$3001,'Girdi — Faturalar ve tahsilat'!$C$2:$C$3001,$A184,'Girdi — Faturalar ve tahsilat'!$T$2:$T$3001,$Z$5,'Girdi — Faturalar ve tahsilat'!$S$2:$S$3001,"31-60"))</f>
        <v/>
      </c>
      <c r="L184" s="13" t="str">
        <f aca="false">IF(A184="","",SUMIFS('Girdi — Faturalar ve tahsilat'!$R$2:$R$3001,'Girdi — Faturalar ve tahsilat'!$C$2:$C$3001,$A184,'Girdi — Faturalar ve tahsilat'!$T$2:$T$3001,$Z$5,'Girdi — Faturalar ve tahsilat'!$S$2:$S$3001,"61-90"))</f>
        <v/>
      </c>
      <c r="M184" s="13" t="str">
        <f aca="false">IF(A184="","",SUMIFS('Girdi — Faturalar ve tahsilat'!$R$2:$R$3001,'Girdi — Faturalar ve tahsilat'!$C$2:$C$3001,$A184,'Girdi — Faturalar ve tahsilat'!$T$2:$T$3001,$Z$5,'Girdi — Faturalar ve tahsilat'!$S$2:$S$3001,"90+"))</f>
        <v/>
      </c>
      <c r="N184" s="21" t="str">
        <f aca="false">IF(F184="","",RANK(F184,$F$17:$F$216,0)+COUNTIF($F$17:F184,F184)-1)</f>
        <v/>
      </c>
    </row>
    <row r="185" customFormat="false" ht="15" hidden="false" customHeight="false" outlineLevel="0" collapsed="false">
      <c r="A185" s="16" t="str">
        <f aca="false">IFERROR(INDEX('Girdi — Faturalar ve tahsilat'!$C$2:$C$3001,MATCH(169,'Girdi — Faturalar ve tahsilat'!$U$2:$U$3001,0)),"")</f>
        <v/>
      </c>
      <c r="B185" s="16" t="str">
        <f aca="false">IF(A185="","",INDEX('Girdi — Faturalar ve tahsilat'!$D$2:$D$3001,MATCH(169,'Girdi — Faturalar ve tahsilat'!$U$2:$U$3001,0)))</f>
        <v/>
      </c>
      <c r="C185" s="13" t="str">
        <f aca="false">IF(A185="","",SUMIFS('Girdi — Faturalar ve tahsilat'!$F$2:$F$3001,'Girdi — Faturalar ve tahsilat'!$C$2:$C$3001,$A185,'Girdi — Faturalar ve tahsilat'!$T$2:$T$3001,$Z$5))</f>
        <v/>
      </c>
      <c r="D185" s="15" t="str">
        <f aca="false">IF(OR(A185="",N(C185)=0),"",SUMIFS('Girdi — Faturalar ve tahsilat'!$P$2:$P$3001,'Girdi — Faturalar ve tahsilat'!$C$2:$C$3001,$A185,'Girdi — Faturalar ve tahsilat'!$T$2:$T$3001,$Z$5)/C185)</f>
        <v/>
      </c>
      <c r="E185" s="15" t="str">
        <f aca="false">IF(OR(A185="",N(C185)=0),"",SUMIFS('Girdi — Faturalar ve tahsilat'!$Q$2:$Q$3001,'Girdi — Faturalar ve tahsilat'!$C$2:$C$3001,$A185,'Girdi — Faturalar ve tahsilat'!$T$2:$T$3001,$Z$5)/C185)</f>
        <v/>
      </c>
      <c r="F185" s="20" t="str">
        <f aca="false">IF(D185="","",E185-D185)</f>
        <v/>
      </c>
      <c r="G185" s="13" t="str">
        <f aca="false">IF(F185="","",C185*$D$4*F185/365)</f>
        <v/>
      </c>
      <c r="H185" s="13" t="str">
        <f aca="false">IF(A185="","",SUMIFS('Girdi — Faturalar ve tahsilat'!$R$2:$R$3001,'Girdi — Faturalar ve tahsilat'!$C$2:$C$3001,$A185,'Girdi — Faturalar ve tahsilat'!$T$2:$T$3001,$Z$5))</f>
        <v/>
      </c>
      <c r="I185" s="13" t="str">
        <f aca="false">IF(A185="","",SUMIFS('Girdi — Faturalar ve tahsilat'!$R$2:$R$3001,'Girdi — Faturalar ve tahsilat'!$C$2:$C$3001,$A185,'Girdi — Faturalar ve tahsilat'!$T$2:$T$3001,$Z$5,'Girdi — Faturalar ve tahsilat'!$O$2:$O$3001,"&gt;0"))</f>
        <v/>
      </c>
      <c r="J185" s="13" t="str">
        <f aca="false">IF(A185="","",SUMIFS('Girdi — Faturalar ve tahsilat'!$R$2:$R$3001,'Girdi — Faturalar ve tahsilat'!$C$2:$C$3001,$A185,'Girdi — Faturalar ve tahsilat'!$T$2:$T$3001,$Z$5,'Girdi — Faturalar ve tahsilat'!$S$2:$S$3001,"1-30"))</f>
        <v/>
      </c>
      <c r="K185" s="13" t="str">
        <f aca="false">IF(A185="","",SUMIFS('Girdi — Faturalar ve tahsilat'!$R$2:$R$3001,'Girdi — Faturalar ve tahsilat'!$C$2:$C$3001,$A185,'Girdi — Faturalar ve tahsilat'!$T$2:$T$3001,$Z$5,'Girdi — Faturalar ve tahsilat'!$S$2:$S$3001,"31-60"))</f>
        <v/>
      </c>
      <c r="L185" s="13" t="str">
        <f aca="false">IF(A185="","",SUMIFS('Girdi — Faturalar ve tahsilat'!$R$2:$R$3001,'Girdi — Faturalar ve tahsilat'!$C$2:$C$3001,$A185,'Girdi — Faturalar ve tahsilat'!$T$2:$T$3001,$Z$5,'Girdi — Faturalar ve tahsilat'!$S$2:$S$3001,"61-90"))</f>
        <v/>
      </c>
      <c r="M185" s="13" t="str">
        <f aca="false">IF(A185="","",SUMIFS('Girdi — Faturalar ve tahsilat'!$R$2:$R$3001,'Girdi — Faturalar ve tahsilat'!$C$2:$C$3001,$A185,'Girdi — Faturalar ve tahsilat'!$T$2:$T$3001,$Z$5,'Girdi — Faturalar ve tahsilat'!$S$2:$S$3001,"90+"))</f>
        <v/>
      </c>
      <c r="N185" s="21" t="str">
        <f aca="false">IF(F185="","",RANK(F185,$F$17:$F$216,0)+COUNTIF($F$17:F185,F185)-1)</f>
        <v/>
      </c>
    </row>
    <row r="186" customFormat="false" ht="15" hidden="false" customHeight="false" outlineLevel="0" collapsed="false">
      <c r="A186" s="16" t="str">
        <f aca="false">IFERROR(INDEX('Girdi — Faturalar ve tahsilat'!$C$2:$C$3001,MATCH(170,'Girdi — Faturalar ve tahsilat'!$U$2:$U$3001,0)),"")</f>
        <v/>
      </c>
      <c r="B186" s="16" t="str">
        <f aca="false">IF(A186="","",INDEX('Girdi — Faturalar ve tahsilat'!$D$2:$D$3001,MATCH(170,'Girdi — Faturalar ve tahsilat'!$U$2:$U$3001,0)))</f>
        <v/>
      </c>
      <c r="C186" s="13" t="str">
        <f aca="false">IF(A186="","",SUMIFS('Girdi — Faturalar ve tahsilat'!$F$2:$F$3001,'Girdi — Faturalar ve tahsilat'!$C$2:$C$3001,$A186,'Girdi — Faturalar ve tahsilat'!$T$2:$T$3001,$Z$5))</f>
        <v/>
      </c>
      <c r="D186" s="15" t="str">
        <f aca="false">IF(OR(A186="",N(C186)=0),"",SUMIFS('Girdi — Faturalar ve tahsilat'!$P$2:$P$3001,'Girdi — Faturalar ve tahsilat'!$C$2:$C$3001,$A186,'Girdi — Faturalar ve tahsilat'!$T$2:$T$3001,$Z$5)/C186)</f>
        <v/>
      </c>
      <c r="E186" s="15" t="str">
        <f aca="false">IF(OR(A186="",N(C186)=0),"",SUMIFS('Girdi — Faturalar ve tahsilat'!$Q$2:$Q$3001,'Girdi — Faturalar ve tahsilat'!$C$2:$C$3001,$A186,'Girdi — Faturalar ve tahsilat'!$T$2:$T$3001,$Z$5)/C186)</f>
        <v/>
      </c>
      <c r="F186" s="20" t="str">
        <f aca="false">IF(D186="","",E186-D186)</f>
        <v/>
      </c>
      <c r="G186" s="13" t="str">
        <f aca="false">IF(F186="","",C186*$D$4*F186/365)</f>
        <v/>
      </c>
      <c r="H186" s="13" t="str">
        <f aca="false">IF(A186="","",SUMIFS('Girdi — Faturalar ve tahsilat'!$R$2:$R$3001,'Girdi — Faturalar ve tahsilat'!$C$2:$C$3001,$A186,'Girdi — Faturalar ve tahsilat'!$T$2:$T$3001,$Z$5))</f>
        <v/>
      </c>
      <c r="I186" s="13" t="str">
        <f aca="false">IF(A186="","",SUMIFS('Girdi — Faturalar ve tahsilat'!$R$2:$R$3001,'Girdi — Faturalar ve tahsilat'!$C$2:$C$3001,$A186,'Girdi — Faturalar ve tahsilat'!$T$2:$T$3001,$Z$5,'Girdi — Faturalar ve tahsilat'!$O$2:$O$3001,"&gt;0"))</f>
        <v/>
      </c>
      <c r="J186" s="13" t="str">
        <f aca="false">IF(A186="","",SUMIFS('Girdi — Faturalar ve tahsilat'!$R$2:$R$3001,'Girdi — Faturalar ve tahsilat'!$C$2:$C$3001,$A186,'Girdi — Faturalar ve tahsilat'!$T$2:$T$3001,$Z$5,'Girdi — Faturalar ve tahsilat'!$S$2:$S$3001,"1-30"))</f>
        <v/>
      </c>
      <c r="K186" s="13" t="str">
        <f aca="false">IF(A186="","",SUMIFS('Girdi — Faturalar ve tahsilat'!$R$2:$R$3001,'Girdi — Faturalar ve tahsilat'!$C$2:$C$3001,$A186,'Girdi — Faturalar ve tahsilat'!$T$2:$T$3001,$Z$5,'Girdi — Faturalar ve tahsilat'!$S$2:$S$3001,"31-60"))</f>
        <v/>
      </c>
      <c r="L186" s="13" t="str">
        <f aca="false">IF(A186="","",SUMIFS('Girdi — Faturalar ve tahsilat'!$R$2:$R$3001,'Girdi — Faturalar ve tahsilat'!$C$2:$C$3001,$A186,'Girdi — Faturalar ve tahsilat'!$T$2:$T$3001,$Z$5,'Girdi — Faturalar ve tahsilat'!$S$2:$S$3001,"61-90"))</f>
        <v/>
      </c>
      <c r="M186" s="13" t="str">
        <f aca="false">IF(A186="","",SUMIFS('Girdi — Faturalar ve tahsilat'!$R$2:$R$3001,'Girdi — Faturalar ve tahsilat'!$C$2:$C$3001,$A186,'Girdi — Faturalar ve tahsilat'!$T$2:$T$3001,$Z$5,'Girdi — Faturalar ve tahsilat'!$S$2:$S$3001,"90+"))</f>
        <v/>
      </c>
      <c r="N186" s="21" t="str">
        <f aca="false">IF(F186="","",RANK(F186,$F$17:$F$216,0)+COUNTIF($F$17:F186,F186)-1)</f>
        <v/>
      </c>
    </row>
    <row r="187" customFormat="false" ht="15" hidden="false" customHeight="false" outlineLevel="0" collapsed="false">
      <c r="A187" s="16" t="str">
        <f aca="false">IFERROR(INDEX('Girdi — Faturalar ve tahsilat'!$C$2:$C$3001,MATCH(171,'Girdi — Faturalar ve tahsilat'!$U$2:$U$3001,0)),"")</f>
        <v/>
      </c>
      <c r="B187" s="16" t="str">
        <f aca="false">IF(A187="","",INDEX('Girdi — Faturalar ve tahsilat'!$D$2:$D$3001,MATCH(171,'Girdi — Faturalar ve tahsilat'!$U$2:$U$3001,0)))</f>
        <v/>
      </c>
      <c r="C187" s="13" t="str">
        <f aca="false">IF(A187="","",SUMIFS('Girdi — Faturalar ve tahsilat'!$F$2:$F$3001,'Girdi — Faturalar ve tahsilat'!$C$2:$C$3001,$A187,'Girdi — Faturalar ve tahsilat'!$T$2:$T$3001,$Z$5))</f>
        <v/>
      </c>
      <c r="D187" s="15" t="str">
        <f aca="false">IF(OR(A187="",N(C187)=0),"",SUMIFS('Girdi — Faturalar ve tahsilat'!$P$2:$P$3001,'Girdi — Faturalar ve tahsilat'!$C$2:$C$3001,$A187,'Girdi — Faturalar ve tahsilat'!$T$2:$T$3001,$Z$5)/C187)</f>
        <v/>
      </c>
      <c r="E187" s="15" t="str">
        <f aca="false">IF(OR(A187="",N(C187)=0),"",SUMIFS('Girdi — Faturalar ve tahsilat'!$Q$2:$Q$3001,'Girdi — Faturalar ve tahsilat'!$C$2:$C$3001,$A187,'Girdi — Faturalar ve tahsilat'!$T$2:$T$3001,$Z$5)/C187)</f>
        <v/>
      </c>
      <c r="F187" s="20" t="str">
        <f aca="false">IF(D187="","",E187-D187)</f>
        <v/>
      </c>
      <c r="G187" s="13" t="str">
        <f aca="false">IF(F187="","",C187*$D$4*F187/365)</f>
        <v/>
      </c>
      <c r="H187" s="13" t="str">
        <f aca="false">IF(A187="","",SUMIFS('Girdi — Faturalar ve tahsilat'!$R$2:$R$3001,'Girdi — Faturalar ve tahsilat'!$C$2:$C$3001,$A187,'Girdi — Faturalar ve tahsilat'!$T$2:$T$3001,$Z$5))</f>
        <v/>
      </c>
      <c r="I187" s="13" t="str">
        <f aca="false">IF(A187="","",SUMIFS('Girdi — Faturalar ve tahsilat'!$R$2:$R$3001,'Girdi — Faturalar ve tahsilat'!$C$2:$C$3001,$A187,'Girdi — Faturalar ve tahsilat'!$T$2:$T$3001,$Z$5,'Girdi — Faturalar ve tahsilat'!$O$2:$O$3001,"&gt;0"))</f>
        <v/>
      </c>
      <c r="J187" s="13" t="str">
        <f aca="false">IF(A187="","",SUMIFS('Girdi — Faturalar ve tahsilat'!$R$2:$R$3001,'Girdi — Faturalar ve tahsilat'!$C$2:$C$3001,$A187,'Girdi — Faturalar ve tahsilat'!$T$2:$T$3001,$Z$5,'Girdi — Faturalar ve tahsilat'!$S$2:$S$3001,"1-30"))</f>
        <v/>
      </c>
      <c r="K187" s="13" t="str">
        <f aca="false">IF(A187="","",SUMIFS('Girdi — Faturalar ve tahsilat'!$R$2:$R$3001,'Girdi — Faturalar ve tahsilat'!$C$2:$C$3001,$A187,'Girdi — Faturalar ve tahsilat'!$T$2:$T$3001,$Z$5,'Girdi — Faturalar ve tahsilat'!$S$2:$S$3001,"31-60"))</f>
        <v/>
      </c>
      <c r="L187" s="13" t="str">
        <f aca="false">IF(A187="","",SUMIFS('Girdi — Faturalar ve tahsilat'!$R$2:$R$3001,'Girdi — Faturalar ve tahsilat'!$C$2:$C$3001,$A187,'Girdi — Faturalar ve tahsilat'!$T$2:$T$3001,$Z$5,'Girdi — Faturalar ve tahsilat'!$S$2:$S$3001,"61-90"))</f>
        <v/>
      </c>
      <c r="M187" s="13" t="str">
        <f aca="false">IF(A187="","",SUMIFS('Girdi — Faturalar ve tahsilat'!$R$2:$R$3001,'Girdi — Faturalar ve tahsilat'!$C$2:$C$3001,$A187,'Girdi — Faturalar ve tahsilat'!$T$2:$T$3001,$Z$5,'Girdi — Faturalar ve tahsilat'!$S$2:$S$3001,"90+"))</f>
        <v/>
      </c>
      <c r="N187" s="21" t="str">
        <f aca="false">IF(F187="","",RANK(F187,$F$17:$F$216,0)+COUNTIF($F$17:F187,F187)-1)</f>
        <v/>
      </c>
    </row>
    <row r="188" customFormat="false" ht="15" hidden="false" customHeight="false" outlineLevel="0" collapsed="false">
      <c r="A188" s="16" t="str">
        <f aca="false">IFERROR(INDEX('Girdi — Faturalar ve tahsilat'!$C$2:$C$3001,MATCH(172,'Girdi — Faturalar ve tahsilat'!$U$2:$U$3001,0)),"")</f>
        <v/>
      </c>
      <c r="B188" s="16" t="str">
        <f aca="false">IF(A188="","",INDEX('Girdi — Faturalar ve tahsilat'!$D$2:$D$3001,MATCH(172,'Girdi — Faturalar ve tahsilat'!$U$2:$U$3001,0)))</f>
        <v/>
      </c>
      <c r="C188" s="13" t="str">
        <f aca="false">IF(A188="","",SUMIFS('Girdi — Faturalar ve tahsilat'!$F$2:$F$3001,'Girdi — Faturalar ve tahsilat'!$C$2:$C$3001,$A188,'Girdi — Faturalar ve tahsilat'!$T$2:$T$3001,$Z$5))</f>
        <v/>
      </c>
      <c r="D188" s="15" t="str">
        <f aca="false">IF(OR(A188="",N(C188)=0),"",SUMIFS('Girdi — Faturalar ve tahsilat'!$P$2:$P$3001,'Girdi — Faturalar ve tahsilat'!$C$2:$C$3001,$A188,'Girdi — Faturalar ve tahsilat'!$T$2:$T$3001,$Z$5)/C188)</f>
        <v/>
      </c>
      <c r="E188" s="15" t="str">
        <f aca="false">IF(OR(A188="",N(C188)=0),"",SUMIFS('Girdi — Faturalar ve tahsilat'!$Q$2:$Q$3001,'Girdi — Faturalar ve tahsilat'!$C$2:$C$3001,$A188,'Girdi — Faturalar ve tahsilat'!$T$2:$T$3001,$Z$5)/C188)</f>
        <v/>
      </c>
      <c r="F188" s="20" t="str">
        <f aca="false">IF(D188="","",E188-D188)</f>
        <v/>
      </c>
      <c r="G188" s="13" t="str">
        <f aca="false">IF(F188="","",C188*$D$4*F188/365)</f>
        <v/>
      </c>
      <c r="H188" s="13" t="str">
        <f aca="false">IF(A188="","",SUMIFS('Girdi — Faturalar ve tahsilat'!$R$2:$R$3001,'Girdi — Faturalar ve tahsilat'!$C$2:$C$3001,$A188,'Girdi — Faturalar ve tahsilat'!$T$2:$T$3001,$Z$5))</f>
        <v/>
      </c>
      <c r="I188" s="13" t="str">
        <f aca="false">IF(A188="","",SUMIFS('Girdi — Faturalar ve tahsilat'!$R$2:$R$3001,'Girdi — Faturalar ve tahsilat'!$C$2:$C$3001,$A188,'Girdi — Faturalar ve tahsilat'!$T$2:$T$3001,$Z$5,'Girdi — Faturalar ve tahsilat'!$O$2:$O$3001,"&gt;0"))</f>
        <v/>
      </c>
      <c r="J188" s="13" t="str">
        <f aca="false">IF(A188="","",SUMIFS('Girdi — Faturalar ve tahsilat'!$R$2:$R$3001,'Girdi — Faturalar ve tahsilat'!$C$2:$C$3001,$A188,'Girdi — Faturalar ve tahsilat'!$T$2:$T$3001,$Z$5,'Girdi — Faturalar ve tahsilat'!$S$2:$S$3001,"1-30"))</f>
        <v/>
      </c>
      <c r="K188" s="13" t="str">
        <f aca="false">IF(A188="","",SUMIFS('Girdi — Faturalar ve tahsilat'!$R$2:$R$3001,'Girdi — Faturalar ve tahsilat'!$C$2:$C$3001,$A188,'Girdi — Faturalar ve tahsilat'!$T$2:$T$3001,$Z$5,'Girdi — Faturalar ve tahsilat'!$S$2:$S$3001,"31-60"))</f>
        <v/>
      </c>
      <c r="L188" s="13" t="str">
        <f aca="false">IF(A188="","",SUMIFS('Girdi — Faturalar ve tahsilat'!$R$2:$R$3001,'Girdi — Faturalar ve tahsilat'!$C$2:$C$3001,$A188,'Girdi — Faturalar ve tahsilat'!$T$2:$T$3001,$Z$5,'Girdi — Faturalar ve tahsilat'!$S$2:$S$3001,"61-90"))</f>
        <v/>
      </c>
      <c r="M188" s="13" t="str">
        <f aca="false">IF(A188="","",SUMIFS('Girdi — Faturalar ve tahsilat'!$R$2:$R$3001,'Girdi — Faturalar ve tahsilat'!$C$2:$C$3001,$A188,'Girdi — Faturalar ve tahsilat'!$T$2:$T$3001,$Z$5,'Girdi — Faturalar ve tahsilat'!$S$2:$S$3001,"90+"))</f>
        <v/>
      </c>
      <c r="N188" s="21" t="str">
        <f aca="false">IF(F188="","",RANK(F188,$F$17:$F$216,0)+COUNTIF($F$17:F188,F188)-1)</f>
        <v/>
      </c>
    </row>
    <row r="189" customFormat="false" ht="15" hidden="false" customHeight="false" outlineLevel="0" collapsed="false">
      <c r="A189" s="16" t="str">
        <f aca="false">IFERROR(INDEX('Girdi — Faturalar ve tahsilat'!$C$2:$C$3001,MATCH(173,'Girdi — Faturalar ve tahsilat'!$U$2:$U$3001,0)),"")</f>
        <v/>
      </c>
      <c r="B189" s="16" t="str">
        <f aca="false">IF(A189="","",INDEX('Girdi — Faturalar ve tahsilat'!$D$2:$D$3001,MATCH(173,'Girdi — Faturalar ve tahsilat'!$U$2:$U$3001,0)))</f>
        <v/>
      </c>
      <c r="C189" s="13" t="str">
        <f aca="false">IF(A189="","",SUMIFS('Girdi — Faturalar ve tahsilat'!$F$2:$F$3001,'Girdi — Faturalar ve tahsilat'!$C$2:$C$3001,$A189,'Girdi — Faturalar ve tahsilat'!$T$2:$T$3001,$Z$5))</f>
        <v/>
      </c>
      <c r="D189" s="15" t="str">
        <f aca="false">IF(OR(A189="",N(C189)=0),"",SUMIFS('Girdi — Faturalar ve tahsilat'!$P$2:$P$3001,'Girdi — Faturalar ve tahsilat'!$C$2:$C$3001,$A189,'Girdi — Faturalar ve tahsilat'!$T$2:$T$3001,$Z$5)/C189)</f>
        <v/>
      </c>
      <c r="E189" s="15" t="str">
        <f aca="false">IF(OR(A189="",N(C189)=0),"",SUMIFS('Girdi — Faturalar ve tahsilat'!$Q$2:$Q$3001,'Girdi — Faturalar ve tahsilat'!$C$2:$C$3001,$A189,'Girdi — Faturalar ve tahsilat'!$T$2:$T$3001,$Z$5)/C189)</f>
        <v/>
      </c>
      <c r="F189" s="20" t="str">
        <f aca="false">IF(D189="","",E189-D189)</f>
        <v/>
      </c>
      <c r="G189" s="13" t="str">
        <f aca="false">IF(F189="","",C189*$D$4*F189/365)</f>
        <v/>
      </c>
      <c r="H189" s="13" t="str">
        <f aca="false">IF(A189="","",SUMIFS('Girdi — Faturalar ve tahsilat'!$R$2:$R$3001,'Girdi — Faturalar ve tahsilat'!$C$2:$C$3001,$A189,'Girdi — Faturalar ve tahsilat'!$T$2:$T$3001,$Z$5))</f>
        <v/>
      </c>
      <c r="I189" s="13" t="str">
        <f aca="false">IF(A189="","",SUMIFS('Girdi — Faturalar ve tahsilat'!$R$2:$R$3001,'Girdi — Faturalar ve tahsilat'!$C$2:$C$3001,$A189,'Girdi — Faturalar ve tahsilat'!$T$2:$T$3001,$Z$5,'Girdi — Faturalar ve tahsilat'!$O$2:$O$3001,"&gt;0"))</f>
        <v/>
      </c>
      <c r="J189" s="13" t="str">
        <f aca="false">IF(A189="","",SUMIFS('Girdi — Faturalar ve tahsilat'!$R$2:$R$3001,'Girdi — Faturalar ve tahsilat'!$C$2:$C$3001,$A189,'Girdi — Faturalar ve tahsilat'!$T$2:$T$3001,$Z$5,'Girdi — Faturalar ve tahsilat'!$S$2:$S$3001,"1-30"))</f>
        <v/>
      </c>
      <c r="K189" s="13" t="str">
        <f aca="false">IF(A189="","",SUMIFS('Girdi — Faturalar ve tahsilat'!$R$2:$R$3001,'Girdi — Faturalar ve tahsilat'!$C$2:$C$3001,$A189,'Girdi — Faturalar ve tahsilat'!$T$2:$T$3001,$Z$5,'Girdi — Faturalar ve tahsilat'!$S$2:$S$3001,"31-60"))</f>
        <v/>
      </c>
      <c r="L189" s="13" t="str">
        <f aca="false">IF(A189="","",SUMIFS('Girdi — Faturalar ve tahsilat'!$R$2:$R$3001,'Girdi — Faturalar ve tahsilat'!$C$2:$C$3001,$A189,'Girdi — Faturalar ve tahsilat'!$T$2:$T$3001,$Z$5,'Girdi — Faturalar ve tahsilat'!$S$2:$S$3001,"61-90"))</f>
        <v/>
      </c>
      <c r="M189" s="13" t="str">
        <f aca="false">IF(A189="","",SUMIFS('Girdi — Faturalar ve tahsilat'!$R$2:$R$3001,'Girdi — Faturalar ve tahsilat'!$C$2:$C$3001,$A189,'Girdi — Faturalar ve tahsilat'!$T$2:$T$3001,$Z$5,'Girdi — Faturalar ve tahsilat'!$S$2:$S$3001,"90+"))</f>
        <v/>
      </c>
      <c r="N189" s="21" t="str">
        <f aca="false">IF(F189="","",RANK(F189,$F$17:$F$216,0)+COUNTIF($F$17:F189,F189)-1)</f>
        <v/>
      </c>
    </row>
    <row r="190" customFormat="false" ht="15" hidden="false" customHeight="false" outlineLevel="0" collapsed="false">
      <c r="A190" s="16" t="str">
        <f aca="false">IFERROR(INDEX('Girdi — Faturalar ve tahsilat'!$C$2:$C$3001,MATCH(174,'Girdi — Faturalar ve tahsilat'!$U$2:$U$3001,0)),"")</f>
        <v/>
      </c>
      <c r="B190" s="16" t="str">
        <f aca="false">IF(A190="","",INDEX('Girdi — Faturalar ve tahsilat'!$D$2:$D$3001,MATCH(174,'Girdi — Faturalar ve tahsilat'!$U$2:$U$3001,0)))</f>
        <v/>
      </c>
      <c r="C190" s="13" t="str">
        <f aca="false">IF(A190="","",SUMIFS('Girdi — Faturalar ve tahsilat'!$F$2:$F$3001,'Girdi — Faturalar ve tahsilat'!$C$2:$C$3001,$A190,'Girdi — Faturalar ve tahsilat'!$T$2:$T$3001,$Z$5))</f>
        <v/>
      </c>
      <c r="D190" s="15" t="str">
        <f aca="false">IF(OR(A190="",N(C190)=0),"",SUMIFS('Girdi — Faturalar ve tahsilat'!$P$2:$P$3001,'Girdi — Faturalar ve tahsilat'!$C$2:$C$3001,$A190,'Girdi — Faturalar ve tahsilat'!$T$2:$T$3001,$Z$5)/C190)</f>
        <v/>
      </c>
      <c r="E190" s="15" t="str">
        <f aca="false">IF(OR(A190="",N(C190)=0),"",SUMIFS('Girdi — Faturalar ve tahsilat'!$Q$2:$Q$3001,'Girdi — Faturalar ve tahsilat'!$C$2:$C$3001,$A190,'Girdi — Faturalar ve tahsilat'!$T$2:$T$3001,$Z$5)/C190)</f>
        <v/>
      </c>
      <c r="F190" s="20" t="str">
        <f aca="false">IF(D190="","",E190-D190)</f>
        <v/>
      </c>
      <c r="G190" s="13" t="str">
        <f aca="false">IF(F190="","",C190*$D$4*F190/365)</f>
        <v/>
      </c>
      <c r="H190" s="13" t="str">
        <f aca="false">IF(A190="","",SUMIFS('Girdi — Faturalar ve tahsilat'!$R$2:$R$3001,'Girdi — Faturalar ve tahsilat'!$C$2:$C$3001,$A190,'Girdi — Faturalar ve tahsilat'!$T$2:$T$3001,$Z$5))</f>
        <v/>
      </c>
      <c r="I190" s="13" t="str">
        <f aca="false">IF(A190="","",SUMIFS('Girdi — Faturalar ve tahsilat'!$R$2:$R$3001,'Girdi — Faturalar ve tahsilat'!$C$2:$C$3001,$A190,'Girdi — Faturalar ve tahsilat'!$T$2:$T$3001,$Z$5,'Girdi — Faturalar ve tahsilat'!$O$2:$O$3001,"&gt;0"))</f>
        <v/>
      </c>
      <c r="J190" s="13" t="str">
        <f aca="false">IF(A190="","",SUMIFS('Girdi — Faturalar ve tahsilat'!$R$2:$R$3001,'Girdi — Faturalar ve tahsilat'!$C$2:$C$3001,$A190,'Girdi — Faturalar ve tahsilat'!$T$2:$T$3001,$Z$5,'Girdi — Faturalar ve tahsilat'!$S$2:$S$3001,"1-30"))</f>
        <v/>
      </c>
      <c r="K190" s="13" t="str">
        <f aca="false">IF(A190="","",SUMIFS('Girdi — Faturalar ve tahsilat'!$R$2:$R$3001,'Girdi — Faturalar ve tahsilat'!$C$2:$C$3001,$A190,'Girdi — Faturalar ve tahsilat'!$T$2:$T$3001,$Z$5,'Girdi — Faturalar ve tahsilat'!$S$2:$S$3001,"31-60"))</f>
        <v/>
      </c>
      <c r="L190" s="13" t="str">
        <f aca="false">IF(A190="","",SUMIFS('Girdi — Faturalar ve tahsilat'!$R$2:$R$3001,'Girdi — Faturalar ve tahsilat'!$C$2:$C$3001,$A190,'Girdi — Faturalar ve tahsilat'!$T$2:$T$3001,$Z$5,'Girdi — Faturalar ve tahsilat'!$S$2:$S$3001,"61-90"))</f>
        <v/>
      </c>
      <c r="M190" s="13" t="str">
        <f aca="false">IF(A190="","",SUMIFS('Girdi — Faturalar ve tahsilat'!$R$2:$R$3001,'Girdi — Faturalar ve tahsilat'!$C$2:$C$3001,$A190,'Girdi — Faturalar ve tahsilat'!$T$2:$T$3001,$Z$5,'Girdi — Faturalar ve tahsilat'!$S$2:$S$3001,"90+"))</f>
        <v/>
      </c>
      <c r="N190" s="21" t="str">
        <f aca="false">IF(F190="","",RANK(F190,$F$17:$F$216,0)+COUNTIF($F$17:F190,F190)-1)</f>
        <v/>
      </c>
    </row>
    <row r="191" customFormat="false" ht="15" hidden="false" customHeight="false" outlineLevel="0" collapsed="false">
      <c r="A191" s="16" t="str">
        <f aca="false">IFERROR(INDEX('Girdi — Faturalar ve tahsilat'!$C$2:$C$3001,MATCH(175,'Girdi — Faturalar ve tahsilat'!$U$2:$U$3001,0)),"")</f>
        <v/>
      </c>
      <c r="B191" s="16" t="str">
        <f aca="false">IF(A191="","",INDEX('Girdi — Faturalar ve tahsilat'!$D$2:$D$3001,MATCH(175,'Girdi — Faturalar ve tahsilat'!$U$2:$U$3001,0)))</f>
        <v/>
      </c>
      <c r="C191" s="13" t="str">
        <f aca="false">IF(A191="","",SUMIFS('Girdi — Faturalar ve tahsilat'!$F$2:$F$3001,'Girdi — Faturalar ve tahsilat'!$C$2:$C$3001,$A191,'Girdi — Faturalar ve tahsilat'!$T$2:$T$3001,$Z$5))</f>
        <v/>
      </c>
      <c r="D191" s="15" t="str">
        <f aca="false">IF(OR(A191="",N(C191)=0),"",SUMIFS('Girdi — Faturalar ve tahsilat'!$P$2:$P$3001,'Girdi — Faturalar ve tahsilat'!$C$2:$C$3001,$A191,'Girdi — Faturalar ve tahsilat'!$T$2:$T$3001,$Z$5)/C191)</f>
        <v/>
      </c>
      <c r="E191" s="15" t="str">
        <f aca="false">IF(OR(A191="",N(C191)=0),"",SUMIFS('Girdi — Faturalar ve tahsilat'!$Q$2:$Q$3001,'Girdi — Faturalar ve tahsilat'!$C$2:$C$3001,$A191,'Girdi — Faturalar ve tahsilat'!$T$2:$T$3001,$Z$5)/C191)</f>
        <v/>
      </c>
      <c r="F191" s="20" t="str">
        <f aca="false">IF(D191="","",E191-D191)</f>
        <v/>
      </c>
      <c r="G191" s="13" t="str">
        <f aca="false">IF(F191="","",C191*$D$4*F191/365)</f>
        <v/>
      </c>
      <c r="H191" s="13" t="str">
        <f aca="false">IF(A191="","",SUMIFS('Girdi — Faturalar ve tahsilat'!$R$2:$R$3001,'Girdi — Faturalar ve tahsilat'!$C$2:$C$3001,$A191,'Girdi — Faturalar ve tahsilat'!$T$2:$T$3001,$Z$5))</f>
        <v/>
      </c>
      <c r="I191" s="13" t="str">
        <f aca="false">IF(A191="","",SUMIFS('Girdi — Faturalar ve tahsilat'!$R$2:$R$3001,'Girdi — Faturalar ve tahsilat'!$C$2:$C$3001,$A191,'Girdi — Faturalar ve tahsilat'!$T$2:$T$3001,$Z$5,'Girdi — Faturalar ve tahsilat'!$O$2:$O$3001,"&gt;0"))</f>
        <v/>
      </c>
      <c r="J191" s="13" t="str">
        <f aca="false">IF(A191="","",SUMIFS('Girdi — Faturalar ve tahsilat'!$R$2:$R$3001,'Girdi — Faturalar ve tahsilat'!$C$2:$C$3001,$A191,'Girdi — Faturalar ve tahsilat'!$T$2:$T$3001,$Z$5,'Girdi — Faturalar ve tahsilat'!$S$2:$S$3001,"1-30"))</f>
        <v/>
      </c>
      <c r="K191" s="13" t="str">
        <f aca="false">IF(A191="","",SUMIFS('Girdi — Faturalar ve tahsilat'!$R$2:$R$3001,'Girdi — Faturalar ve tahsilat'!$C$2:$C$3001,$A191,'Girdi — Faturalar ve tahsilat'!$T$2:$T$3001,$Z$5,'Girdi — Faturalar ve tahsilat'!$S$2:$S$3001,"31-60"))</f>
        <v/>
      </c>
      <c r="L191" s="13" t="str">
        <f aca="false">IF(A191="","",SUMIFS('Girdi — Faturalar ve tahsilat'!$R$2:$R$3001,'Girdi — Faturalar ve tahsilat'!$C$2:$C$3001,$A191,'Girdi — Faturalar ve tahsilat'!$T$2:$T$3001,$Z$5,'Girdi — Faturalar ve tahsilat'!$S$2:$S$3001,"61-90"))</f>
        <v/>
      </c>
      <c r="M191" s="13" t="str">
        <f aca="false">IF(A191="","",SUMIFS('Girdi — Faturalar ve tahsilat'!$R$2:$R$3001,'Girdi — Faturalar ve tahsilat'!$C$2:$C$3001,$A191,'Girdi — Faturalar ve tahsilat'!$T$2:$T$3001,$Z$5,'Girdi — Faturalar ve tahsilat'!$S$2:$S$3001,"90+"))</f>
        <v/>
      </c>
      <c r="N191" s="21" t="str">
        <f aca="false">IF(F191="","",RANK(F191,$F$17:$F$216,0)+COUNTIF($F$17:F191,F191)-1)</f>
        <v/>
      </c>
    </row>
    <row r="192" customFormat="false" ht="15" hidden="false" customHeight="false" outlineLevel="0" collapsed="false">
      <c r="A192" s="16" t="str">
        <f aca="false">IFERROR(INDEX('Girdi — Faturalar ve tahsilat'!$C$2:$C$3001,MATCH(176,'Girdi — Faturalar ve tahsilat'!$U$2:$U$3001,0)),"")</f>
        <v/>
      </c>
      <c r="B192" s="16" t="str">
        <f aca="false">IF(A192="","",INDEX('Girdi — Faturalar ve tahsilat'!$D$2:$D$3001,MATCH(176,'Girdi — Faturalar ve tahsilat'!$U$2:$U$3001,0)))</f>
        <v/>
      </c>
      <c r="C192" s="13" t="str">
        <f aca="false">IF(A192="","",SUMIFS('Girdi — Faturalar ve tahsilat'!$F$2:$F$3001,'Girdi — Faturalar ve tahsilat'!$C$2:$C$3001,$A192,'Girdi — Faturalar ve tahsilat'!$T$2:$T$3001,$Z$5))</f>
        <v/>
      </c>
      <c r="D192" s="15" t="str">
        <f aca="false">IF(OR(A192="",N(C192)=0),"",SUMIFS('Girdi — Faturalar ve tahsilat'!$P$2:$P$3001,'Girdi — Faturalar ve tahsilat'!$C$2:$C$3001,$A192,'Girdi — Faturalar ve tahsilat'!$T$2:$T$3001,$Z$5)/C192)</f>
        <v/>
      </c>
      <c r="E192" s="15" t="str">
        <f aca="false">IF(OR(A192="",N(C192)=0),"",SUMIFS('Girdi — Faturalar ve tahsilat'!$Q$2:$Q$3001,'Girdi — Faturalar ve tahsilat'!$C$2:$C$3001,$A192,'Girdi — Faturalar ve tahsilat'!$T$2:$T$3001,$Z$5)/C192)</f>
        <v/>
      </c>
      <c r="F192" s="20" t="str">
        <f aca="false">IF(D192="","",E192-D192)</f>
        <v/>
      </c>
      <c r="G192" s="13" t="str">
        <f aca="false">IF(F192="","",C192*$D$4*F192/365)</f>
        <v/>
      </c>
      <c r="H192" s="13" t="str">
        <f aca="false">IF(A192="","",SUMIFS('Girdi — Faturalar ve tahsilat'!$R$2:$R$3001,'Girdi — Faturalar ve tahsilat'!$C$2:$C$3001,$A192,'Girdi — Faturalar ve tahsilat'!$T$2:$T$3001,$Z$5))</f>
        <v/>
      </c>
      <c r="I192" s="13" t="str">
        <f aca="false">IF(A192="","",SUMIFS('Girdi — Faturalar ve tahsilat'!$R$2:$R$3001,'Girdi — Faturalar ve tahsilat'!$C$2:$C$3001,$A192,'Girdi — Faturalar ve tahsilat'!$T$2:$T$3001,$Z$5,'Girdi — Faturalar ve tahsilat'!$O$2:$O$3001,"&gt;0"))</f>
        <v/>
      </c>
      <c r="J192" s="13" t="str">
        <f aca="false">IF(A192="","",SUMIFS('Girdi — Faturalar ve tahsilat'!$R$2:$R$3001,'Girdi — Faturalar ve tahsilat'!$C$2:$C$3001,$A192,'Girdi — Faturalar ve tahsilat'!$T$2:$T$3001,$Z$5,'Girdi — Faturalar ve tahsilat'!$S$2:$S$3001,"1-30"))</f>
        <v/>
      </c>
      <c r="K192" s="13" t="str">
        <f aca="false">IF(A192="","",SUMIFS('Girdi — Faturalar ve tahsilat'!$R$2:$R$3001,'Girdi — Faturalar ve tahsilat'!$C$2:$C$3001,$A192,'Girdi — Faturalar ve tahsilat'!$T$2:$T$3001,$Z$5,'Girdi — Faturalar ve tahsilat'!$S$2:$S$3001,"31-60"))</f>
        <v/>
      </c>
      <c r="L192" s="13" t="str">
        <f aca="false">IF(A192="","",SUMIFS('Girdi — Faturalar ve tahsilat'!$R$2:$R$3001,'Girdi — Faturalar ve tahsilat'!$C$2:$C$3001,$A192,'Girdi — Faturalar ve tahsilat'!$T$2:$T$3001,$Z$5,'Girdi — Faturalar ve tahsilat'!$S$2:$S$3001,"61-90"))</f>
        <v/>
      </c>
      <c r="M192" s="13" t="str">
        <f aca="false">IF(A192="","",SUMIFS('Girdi — Faturalar ve tahsilat'!$R$2:$R$3001,'Girdi — Faturalar ve tahsilat'!$C$2:$C$3001,$A192,'Girdi — Faturalar ve tahsilat'!$T$2:$T$3001,$Z$5,'Girdi — Faturalar ve tahsilat'!$S$2:$S$3001,"90+"))</f>
        <v/>
      </c>
      <c r="N192" s="21" t="str">
        <f aca="false">IF(F192="","",RANK(F192,$F$17:$F$216,0)+COUNTIF($F$17:F192,F192)-1)</f>
        <v/>
      </c>
    </row>
    <row r="193" customFormat="false" ht="15" hidden="false" customHeight="false" outlineLevel="0" collapsed="false">
      <c r="A193" s="16" t="str">
        <f aca="false">IFERROR(INDEX('Girdi — Faturalar ve tahsilat'!$C$2:$C$3001,MATCH(177,'Girdi — Faturalar ve tahsilat'!$U$2:$U$3001,0)),"")</f>
        <v/>
      </c>
      <c r="B193" s="16" t="str">
        <f aca="false">IF(A193="","",INDEX('Girdi — Faturalar ve tahsilat'!$D$2:$D$3001,MATCH(177,'Girdi — Faturalar ve tahsilat'!$U$2:$U$3001,0)))</f>
        <v/>
      </c>
      <c r="C193" s="13" t="str">
        <f aca="false">IF(A193="","",SUMIFS('Girdi — Faturalar ve tahsilat'!$F$2:$F$3001,'Girdi — Faturalar ve tahsilat'!$C$2:$C$3001,$A193,'Girdi — Faturalar ve tahsilat'!$T$2:$T$3001,$Z$5))</f>
        <v/>
      </c>
      <c r="D193" s="15" t="str">
        <f aca="false">IF(OR(A193="",N(C193)=0),"",SUMIFS('Girdi — Faturalar ve tahsilat'!$P$2:$P$3001,'Girdi — Faturalar ve tahsilat'!$C$2:$C$3001,$A193,'Girdi — Faturalar ve tahsilat'!$T$2:$T$3001,$Z$5)/C193)</f>
        <v/>
      </c>
      <c r="E193" s="15" t="str">
        <f aca="false">IF(OR(A193="",N(C193)=0),"",SUMIFS('Girdi — Faturalar ve tahsilat'!$Q$2:$Q$3001,'Girdi — Faturalar ve tahsilat'!$C$2:$C$3001,$A193,'Girdi — Faturalar ve tahsilat'!$T$2:$T$3001,$Z$5)/C193)</f>
        <v/>
      </c>
      <c r="F193" s="20" t="str">
        <f aca="false">IF(D193="","",E193-D193)</f>
        <v/>
      </c>
      <c r="G193" s="13" t="str">
        <f aca="false">IF(F193="","",C193*$D$4*F193/365)</f>
        <v/>
      </c>
      <c r="H193" s="13" t="str">
        <f aca="false">IF(A193="","",SUMIFS('Girdi — Faturalar ve tahsilat'!$R$2:$R$3001,'Girdi — Faturalar ve tahsilat'!$C$2:$C$3001,$A193,'Girdi — Faturalar ve tahsilat'!$T$2:$T$3001,$Z$5))</f>
        <v/>
      </c>
      <c r="I193" s="13" t="str">
        <f aca="false">IF(A193="","",SUMIFS('Girdi — Faturalar ve tahsilat'!$R$2:$R$3001,'Girdi — Faturalar ve tahsilat'!$C$2:$C$3001,$A193,'Girdi — Faturalar ve tahsilat'!$T$2:$T$3001,$Z$5,'Girdi — Faturalar ve tahsilat'!$O$2:$O$3001,"&gt;0"))</f>
        <v/>
      </c>
      <c r="J193" s="13" t="str">
        <f aca="false">IF(A193="","",SUMIFS('Girdi — Faturalar ve tahsilat'!$R$2:$R$3001,'Girdi — Faturalar ve tahsilat'!$C$2:$C$3001,$A193,'Girdi — Faturalar ve tahsilat'!$T$2:$T$3001,$Z$5,'Girdi — Faturalar ve tahsilat'!$S$2:$S$3001,"1-30"))</f>
        <v/>
      </c>
      <c r="K193" s="13" t="str">
        <f aca="false">IF(A193="","",SUMIFS('Girdi — Faturalar ve tahsilat'!$R$2:$R$3001,'Girdi — Faturalar ve tahsilat'!$C$2:$C$3001,$A193,'Girdi — Faturalar ve tahsilat'!$T$2:$T$3001,$Z$5,'Girdi — Faturalar ve tahsilat'!$S$2:$S$3001,"31-60"))</f>
        <v/>
      </c>
      <c r="L193" s="13" t="str">
        <f aca="false">IF(A193="","",SUMIFS('Girdi — Faturalar ve tahsilat'!$R$2:$R$3001,'Girdi — Faturalar ve tahsilat'!$C$2:$C$3001,$A193,'Girdi — Faturalar ve tahsilat'!$T$2:$T$3001,$Z$5,'Girdi — Faturalar ve tahsilat'!$S$2:$S$3001,"61-90"))</f>
        <v/>
      </c>
      <c r="M193" s="13" t="str">
        <f aca="false">IF(A193="","",SUMIFS('Girdi — Faturalar ve tahsilat'!$R$2:$R$3001,'Girdi — Faturalar ve tahsilat'!$C$2:$C$3001,$A193,'Girdi — Faturalar ve tahsilat'!$T$2:$T$3001,$Z$5,'Girdi — Faturalar ve tahsilat'!$S$2:$S$3001,"90+"))</f>
        <v/>
      </c>
      <c r="N193" s="21" t="str">
        <f aca="false">IF(F193="","",RANK(F193,$F$17:$F$216,0)+COUNTIF($F$17:F193,F193)-1)</f>
        <v/>
      </c>
    </row>
    <row r="194" customFormat="false" ht="15" hidden="false" customHeight="false" outlineLevel="0" collapsed="false">
      <c r="A194" s="16" t="str">
        <f aca="false">IFERROR(INDEX('Girdi — Faturalar ve tahsilat'!$C$2:$C$3001,MATCH(178,'Girdi — Faturalar ve tahsilat'!$U$2:$U$3001,0)),"")</f>
        <v/>
      </c>
      <c r="B194" s="16" t="str">
        <f aca="false">IF(A194="","",INDEX('Girdi — Faturalar ve tahsilat'!$D$2:$D$3001,MATCH(178,'Girdi — Faturalar ve tahsilat'!$U$2:$U$3001,0)))</f>
        <v/>
      </c>
      <c r="C194" s="13" t="str">
        <f aca="false">IF(A194="","",SUMIFS('Girdi — Faturalar ve tahsilat'!$F$2:$F$3001,'Girdi — Faturalar ve tahsilat'!$C$2:$C$3001,$A194,'Girdi — Faturalar ve tahsilat'!$T$2:$T$3001,$Z$5))</f>
        <v/>
      </c>
      <c r="D194" s="15" t="str">
        <f aca="false">IF(OR(A194="",N(C194)=0),"",SUMIFS('Girdi — Faturalar ve tahsilat'!$P$2:$P$3001,'Girdi — Faturalar ve tahsilat'!$C$2:$C$3001,$A194,'Girdi — Faturalar ve tahsilat'!$T$2:$T$3001,$Z$5)/C194)</f>
        <v/>
      </c>
      <c r="E194" s="15" t="str">
        <f aca="false">IF(OR(A194="",N(C194)=0),"",SUMIFS('Girdi — Faturalar ve tahsilat'!$Q$2:$Q$3001,'Girdi — Faturalar ve tahsilat'!$C$2:$C$3001,$A194,'Girdi — Faturalar ve tahsilat'!$T$2:$T$3001,$Z$5)/C194)</f>
        <v/>
      </c>
      <c r="F194" s="20" t="str">
        <f aca="false">IF(D194="","",E194-D194)</f>
        <v/>
      </c>
      <c r="G194" s="13" t="str">
        <f aca="false">IF(F194="","",C194*$D$4*F194/365)</f>
        <v/>
      </c>
      <c r="H194" s="13" t="str">
        <f aca="false">IF(A194="","",SUMIFS('Girdi — Faturalar ve tahsilat'!$R$2:$R$3001,'Girdi — Faturalar ve tahsilat'!$C$2:$C$3001,$A194,'Girdi — Faturalar ve tahsilat'!$T$2:$T$3001,$Z$5))</f>
        <v/>
      </c>
      <c r="I194" s="13" t="str">
        <f aca="false">IF(A194="","",SUMIFS('Girdi — Faturalar ve tahsilat'!$R$2:$R$3001,'Girdi — Faturalar ve tahsilat'!$C$2:$C$3001,$A194,'Girdi — Faturalar ve tahsilat'!$T$2:$T$3001,$Z$5,'Girdi — Faturalar ve tahsilat'!$O$2:$O$3001,"&gt;0"))</f>
        <v/>
      </c>
      <c r="J194" s="13" t="str">
        <f aca="false">IF(A194="","",SUMIFS('Girdi — Faturalar ve tahsilat'!$R$2:$R$3001,'Girdi — Faturalar ve tahsilat'!$C$2:$C$3001,$A194,'Girdi — Faturalar ve tahsilat'!$T$2:$T$3001,$Z$5,'Girdi — Faturalar ve tahsilat'!$S$2:$S$3001,"1-30"))</f>
        <v/>
      </c>
      <c r="K194" s="13" t="str">
        <f aca="false">IF(A194="","",SUMIFS('Girdi — Faturalar ve tahsilat'!$R$2:$R$3001,'Girdi — Faturalar ve tahsilat'!$C$2:$C$3001,$A194,'Girdi — Faturalar ve tahsilat'!$T$2:$T$3001,$Z$5,'Girdi — Faturalar ve tahsilat'!$S$2:$S$3001,"31-60"))</f>
        <v/>
      </c>
      <c r="L194" s="13" t="str">
        <f aca="false">IF(A194="","",SUMIFS('Girdi — Faturalar ve tahsilat'!$R$2:$R$3001,'Girdi — Faturalar ve tahsilat'!$C$2:$C$3001,$A194,'Girdi — Faturalar ve tahsilat'!$T$2:$T$3001,$Z$5,'Girdi — Faturalar ve tahsilat'!$S$2:$S$3001,"61-90"))</f>
        <v/>
      </c>
      <c r="M194" s="13" t="str">
        <f aca="false">IF(A194="","",SUMIFS('Girdi — Faturalar ve tahsilat'!$R$2:$R$3001,'Girdi — Faturalar ve tahsilat'!$C$2:$C$3001,$A194,'Girdi — Faturalar ve tahsilat'!$T$2:$T$3001,$Z$5,'Girdi — Faturalar ve tahsilat'!$S$2:$S$3001,"90+"))</f>
        <v/>
      </c>
      <c r="N194" s="21" t="str">
        <f aca="false">IF(F194="","",RANK(F194,$F$17:$F$216,0)+COUNTIF($F$17:F194,F194)-1)</f>
        <v/>
      </c>
    </row>
    <row r="195" customFormat="false" ht="15" hidden="false" customHeight="false" outlineLevel="0" collapsed="false">
      <c r="A195" s="16" t="str">
        <f aca="false">IFERROR(INDEX('Girdi — Faturalar ve tahsilat'!$C$2:$C$3001,MATCH(179,'Girdi — Faturalar ve tahsilat'!$U$2:$U$3001,0)),"")</f>
        <v/>
      </c>
      <c r="B195" s="16" t="str">
        <f aca="false">IF(A195="","",INDEX('Girdi — Faturalar ve tahsilat'!$D$2:$D$3001,MATCH(179,'Girdi — Faturalar ve tahsilat'!$U$2:$U$3001,0)))</f>
        <v/>
      </c>
      <c r="C195" s="13" t="str">
        <f aca="false">IF(A195="","",SUMIFS('Girdi — Faturalar ve tahsilat'!$F$2:$F$3001,'Girdi — Faturalar ve tahsilat'!$C$2:$C$3001,$A195,'Girdi — Faturalar ve tahsilat'!$T$2:$T$3001,$Z$5))</f>
        <v/>
      </c>
      <c r="D195" s="15" t="str">
        <f aca="false">IF(OR(A195="",N(C195)=0),"",SUMIFS('Girdi — Faturalar ve tahsilat'!$P$2:$P$3001,'Girdi — Faturalar ve tahsilat'!$C$2:$C$3001,$A195,'Girdi — Faturalar ve tahsilat'!$T$2:$T$3001,$Z$5)/C195)</f>
        <v/>
      </c>
      <c r="E195" s="15" t="str">
        <f aca="false">IF(OR(A195="",N(C195)=0),"",SUMIFS('Girdi — Faturalar ve tahsilat'!$Q$2:$Q$3001,'Girdi — Faturalar ve tahsilat'!$C$2:$C$3001,$A195,'Girdi — Faturalar ve tahsilat'!$T$2:$T$3001,$Z$5)/C195)</f>
        <v/>
      </c>
      <c r="F195" s="20" t="str">
        <f aca="false">IF(D195="","",E195-D195)</f>
        <v/>
      </c>
      <c r="G195" s="13" t="str">
        <f aca="false">IF(F195="","",C195*$D$4*F195/365)</f>
        <v/>
      </c>
      <c r="H195" s="13" t="str">
        <f aca="false">IF(A195="","",SUMIFS('Girdi — Faturalar ve tahsilat'!$R$2:$R$3001,'Girdi — Faturalar ve tahsilat'!$C$2:$C$3001,$A195,'Girdi — Faturalar ve tahsilat'!$T$2:$T$3001,$Z$5))</f>
        <v/>
      </c>
      <c r="I195" s="13" t="str">
        <f aca="false">IF(A195="","",SUMIFS('Girdi — Faturalar ve tahsilat'!$R$2:$R$3001,'Girdi — Faturalar ve tahsilat'!$C$2:$C$3001,$A195,'Girdi — Faturalar ve tahsilat'!$T$2:$T$3001,$Z$5,'Girdi — Faturalar ve tahsilat'!$O$2:$O$3001,"&gt;0"))</f>
        <v/>
      </c>
      <c r="J195" s="13" t="str">
        <f aca="false">IF(A195="","",SUMIFS('Girdi — Faturalar ve tahsilat'!$R$2:$R$3001,'Girdi — Faturalar ve tahsilat'!$C$2:$C$3001,$A195,'Girdi — Faturalar ve tahsilat'!$T$2:$T$3001,$Z$5,'Girdi — Faturalar ve tahsilat'!$S$2:$S$3001,"1-30"))</f>
        <v/>
      </c>
      <c r="K195" s="13" t="str">
        <f aca="false">IF(A195="","",SUMIFS('Girdi — Faturalar ve tahsilat'!$R$2:$R$3001,'Girdi — Faturalar ve tahsilat'!$C$2:$C$3001,$A195,'Girdi — Faturalar ve tahsilat'!$T$2:$T$3001,$Z$5,'Girdi — Faturalar ve tahsilat'!$S$2:$S$3001,"31-60"))</f>
        <v/>
      </c>
      <c r="L195" s="13" t="str">
        <f aca="false">IF(A195="","",SUMIFS('Girdi — Faturalar ve tahsilat'!$R$2:$R$3001,'Girdi — Faturalar ve tahsilat'!$C$2:$C$3001,$A195,'Girdi — Faturalar ve tahsilat'!$T$2:$T$3001,$Z$5,'Girdi — Faturalar ve tahsilat'!$S$2:$S$3001,"61-90"))</f>
        <v/>
      </c>
      <c r="M195" s="13" t="str">
        <f aca="false">IF(A195="","",SUMIFS('Girdi — Faturalar ve tahsilat'!$R$2:$R$3001,'Girdi — Faturalar ve tahsilat'!$C$2:$C$3001,$A195,'Girdi — Faturalar ve tahsilat'!$T$2:$T$3001,$Z$5,'Girdi — Faturalar ve tahsilat'!$S$2:$S$3001,"90+"))</f>
        <v/>
      </c>
      <c r="N195" s="21" t="str">
        <f aca="false">IF(F195="","",RANK(F195,$F$17:$F$216,0)+COUNTIF($F$17:F195,F195)-1)</f>
        <v/>
      </c>
    </row>
    <row r="196" customFormat="false" ht="15" hidden="false" customHeight="false" outlineLevel="0" collapsed="false">
      <c r="A196" s="16" t="str">
        <f aca="false">IFERROR(INDEX('Girdi — Faturalar ve tahsilat'!$C$2:$C$3001,MATCH(180,'Girdi — Faturalar ve tahsilat'!$U$2:$U$3001,0)),"")</f>
        <v/>
      </c>
      <c r="B196" s="16" t="str">
        <f aca="false">IF(A196="","",INDEX('Girdi — Faturalar ve tahsilat'!$D$2:$D$3001,MATCH(180,'Girdi — Faturalar ve tahsilat'!$U$2:$U$3001,0)))</f>
        <v/>
      </c>
      <c r="C196" s="13" t="str">
        <f aca="false">IF(A196="","",SUMIFS('Girdi — Faturalar ve tahsilat'!$F$2:$F$3001,'Girdi — Faturalar ve tahsilat'!$C$2:$C$3001,$A196,'Girdi — Faturalar ve tahsilat'!$T$2:$T$3001,$Z$5))</f>
        <v/>
      </c>
      <c r="D196" s="15" t="str">
        <f aca="false">IF(OR(A196="",N(C196)=0),"",SUMIFS('Girdi — Faturalar ve tahsilat'!$P$2:$P$3001,'Girdi — Faturalar ve tahsilat'!$C$2:$C$3001,$A196,'Girdi — Faturalar ve tahsilat'!$T$2:$T$3001,$Z$5)/C196)</f>
        <v/>
      </c>
      <c r="E196" s="15" t="str">
        <f aca="false">IF(OR(A196="",N(C196)=0),"",SUMIFS('Girdi — Faturalar ve tahsilat'!$Q$2:$Q$3001,'Girdi — Faturalar ve tahsilat'!$C$2:$C$3001,$A196,'Girdi — Faturalar ve tahsilat'!$T$2:$T$3001,$Z$5)/C196)</f>
        <v/>
      </c>
      <c r="F196" s="20" t="str">
        <f aca="false">IF(D196="","",E196-D196)</f>
        <v/>
      </c>
      <c r="G196" s="13" t="str">
        <f aca="false">IF(F196="","",C196*$D$4*F196/365)</f>
        <v/>
      </c>
      <c r="H196" s="13" t="str">
        <f aca="false">IF(A196="","",SUMIFS('Girdi — Faturalar ve tahsilat'!$R$2:$R$3001,'Girdi — Faturalar ve tahsilat'!$C$2:$C$3001,$A196,'Girdi — Faturalar ve tahsilat'!$T$2:$T$3001,$Z$5))</f>
        <v/>
      </c>
      <c r="I196" s="13" t="str">
        <f aca="false">IF(A196="","",SUMIFS('Girdi — Faturalar ve tahsilat'!$R$2:$R$3001,'Girdi — Faturalar ve tahsilat'!$C$2:$C$3001,$A196,'Girdi — Faturalar ve tahsilat'!$T$2:$T$3001,$Z$5,'Girdi — Faturalar ve tahsilat'!$O$2:$O$3001,"&gt;0"))</f>
        <v/>
      </c>
      <c r="J196" s="13" t="str">
        <f aca="false">IF(A196="","",SUMIFS('Girdi — Faturalar ve tahsilat'!$R$2:$R$3001,'Girdi — Faturalar ve tahsilat'!$C$2:$C$3001,$A196,'Girdi — Faturalar ve tahsilat'!$T$2:$T$3001,$Z$5,'Girdi — Faturalar ve tahsilat'!$S$2:$S$3001,"1-30"))</f>
        <v/>
      </c>
      <c r="K196" s="13" t="str">
        <f aca="false">IF(A196="","",SUMIFS('Girdi — Faturalar ve tahsilat'!$R$2:$R$3001,'Girdi — Faturalar ve tahsilat'!$C$2:$C$3001,$A196,'Girdi — Faturalar ve tahsilat'!$T$2:$T$3001,$Z$5,'Girdi — Faturalar ve tahsilat'!$S$2:$S$3001,"31-60"))</f>
        <v/>
      </c>
      <c r="L196" s="13" t="str">
        <f aca="false">IF(A196="","",SUMIFS('Girdi — Faturalar ve tahsilat'!$R$2:$R$3001,'Girdi — Faturalar ve tahsilat'!$C$2:$C$3001,$A196,'Girdi — Faturalar ve tahsilat'!$T$2:$T$3001,$Z$5,'Girdi — Faturalar ve tahsilat'!$S$2:$S$3001,"61-90"))</f>
        <v/>
      </c>
      <c r="M196" s="13" t="str">
        <f aca="false">IF(A196="","",SUMIFS('Girdi — Faturalar ve tahsilat'!$R$2:$R$3001,'Girdi — Faturalar ve tahsilat'!$C$2:$C$3001,$A196,'Girdi — Faturalar ve tahsilat'!$T$2:$T$3001,$Z$5,'Girdi — Faturalar ve tahsilat'!$S$2:$S$3001,"90+"))</f>
        <v/>
      </c>
      <c r="N196" s="21" t="str">
        <f aca="false">IF(F196="","",RANK(F196,$F$17:$F$216,0)+COUNTIF($F$17:F196,F196)-1)</f>
        <v/>
      </c>
    </row>
    <row r="197" customFormat="false" ht="15" hidden="false" customHeight="false" outlineLevel="0" collapsed="false">
      <c r="A197" s="16" t="str">
        <f aca="false">IFERROR(INDEX('Girdi — Faturalar ve tahsilat'!$C$2:$C$3001,MATCH(181,'Girdi — Faturalar ve tahsilat'!$U$2:$U$3001,0)),"")</f>
        <v/>
      </c>
      <c r="B197" s="16" t="str">
        <f aca="false">IF(A197="","",INDEX('Girdi — Faturalar ve tahsilat'!$D$2:$D$3001,MATCH(181,'Girdi — Faturalar ve tahsilat'!$U$2:$U$3001,0)))</f>
        <v/>
      </c>
      <c r="C197" s="13" t="str">
        <f aca="false">IF(A197="","",SUMIFS('Girdi — Faturalar ve tahsilat'!$F$2:$F$3001,'Girdi — Faturalar ve tahsilat'!$C$2:$C$3001,$A197,'Girdi — Faturalar ve tahsilat'!$T$2:$T$3001,$Z$5))</f>
        <v/>
      </c>
      <c r="D197" s="15" t="str">
        <f aca="false">IF(OR(A197="",N(C197)=0),"",SUMIFS('Girdi — Faturalar ve tahsilat'!$P$2:$P$3001,'Girdi — Faturalar ve tahsilat'!$C$2:$C$3001,$A197,'Girdi — Faturalar ve tahsilat'!$T$2:$T$3001,$Z$5)/C197)</f>
        <v/>
      </c>
      <c r="E197" s="15" t="str">
        <f aca="false">IF(OR(A197="",N(C197)=0),"",SUMIFS('Girdi — Faturalar ve tahsilat'!$Q$2:$Q$3001,'Girdi — Faturalar ve tahsilat'!$C$2:$C$3001,$A197,'Girdi — Faturalar ve tahsilat'!$T$2:$T$3001,$Z$5)/C197)</f>
        <v/>
      </c>
      <c r="F197" s="20" t="str">
        <f aca="false">IF(D197="","",E197-D197)</f>
        <v/>
      </c>
      <c r="G197" s="13" t="str">
        <f aca="false">IF(F197="","",C197*$D$4*F197/365)</f>
        <v/>
      </c>
      <c r="H197" s="13" t="str">
        <f aca="false">IF(A197="","",SUMIFS('Girdi — Faturalar ve tahsilat'!$R$2:$R$3001,'Girdi — Faturalar ve tahsilat'!$C$2:$C$3001,$A197,'Girdi — Faturalar ve tahsilat'!$T$2:$T$3001,$Z$5))</f>
        <v/>
      </c>
      <c r="I197" s="13" t="str">
        <f aca="false">IF(A197="","",SUMIFS('Girdi — Faturalar ve tahsilat'!$R$2:$R$3001,'Girdi — Faturalar ve tahsilat'!$C$2:$C$3001,$A197,'Girdi — Faturalar ve tahsilat'!$T$2:$T$3001,$Z$5,'Girdi — Faturalar ve tahsilat'!$O$2:$O$3001,"&gt;0"))</f>
        <v/>
      </c>
      <c r="J197" s="13" t="str">
        <f aca="false">IF(A197="","",SUMIFS('Girdi — Faturalar ve tahsilat'!$R$2:$R$3001,'Girdi — Faturalar ve tahsilat'!$C$2:$C$3001,$A197,'Girdi — Faturalar ve tahsilat'!$T$2:$T$3001,$Z$5,'Girdi — Faturalar ve tahsilat'!$S$2:$S$3001,"1-30"))</f>
        <v/>
      </c>
      <c r="K197" s="13" t="str">
        <f aca="false">IF(A197="","",SUMIFS('Girdi — Faturalar ve tahsilat'!$R$2:$R$3001,'Girdi — Faturalar ve tahsilat'!$C$2:$C$3001,$A197,'Girdi — Faturalar ve tahsilat'!$T$2:$T$3001,$Z$5,'Girdi — Faturalar ve tahsilat'!$S$2:$S$3001,"31-60"))</f>
        <v/>
      </c>
      <c r="L197" s="13" t="str">
        <f aca="false">IF(A197="","",SUMIFS('Girdi — Faturalar ve tahsilat'!$R$2:$R$3001,'Girdi — Faturalar ve tahsilat'!$C$2:$C$3001,$A197,'Girdi — Faturalar ve tahsilat'!$T$2:$T$3001,$Z$5,'Girdi — Faturalar ve tahsilat'!$S$2:$S$3001,"61-90"))</f>
        <v/>
      </c>
      <c r="M197" s="13" t="str">
        <f aca="false">IF(A197="","",SUMIFS('Girdi — Faturalar ve tahsilat'!$R$2:$R$3001,'Girdi — Faturalar ve tahsilat'!$C$2:$C$3001,$A197,'Girdi — Faturalar ve tahsilat'!$T$2:$T$3001,$Z$5,'Girdi — Faturalar ve tahsilat'!$S$2:$S$3001,"90+"))</f>
        <v/>
      </c>
      <c r="N197" s="21" t="str">
        <f aca="false">IF(F197="","",RANK(F197,$F$17:$F$216,0)+COUNTIF($F$17:F197,F197)-1)</f>
        <v/>
      </c>
    </row>
    <row r="198" customFormat="false" ht="15" hidden="false" customHeight="false" outlineLevel="0" collapsed="false">
      <c r="A198" s="16" t="str">
        <f aca="false">IFERROR(INDEX('Girdi — Faturalar ve tahsilat'!$C$2:$C$3001,MATCH(182,'Girdi — Faturalar ve tahsilat'!$U$2:$U$3001,0)),"")</f>
        <v/>
      </c>
      <c r="B198" s="16" t="str">
        <f aca="false">IF(A198="","",INDEX('Girdi — Faturalar ve tahsilat'!$D$2:$D$3001,MATCH(182,'Girdi — Faturalar ve tahsilat'!$U$2:$U$3001,0)))</f>
        <v/>
      </c>
      <c r="C198" s="13" t="str">
        <f aca="false">IF(A198="","",SUMIFS('Girdi — Faturalar ve tahsilat'!$F$2:$F$3001,'Girdi — Faturalar ve tahsilat'!$C$2:$C$3001,$A198,'Girdi — Faturalar ve tahsilat'!$T$2:$T$3001,$Z$5))</f>
        <v/>
      </c>
      <c r="D198" s="15" t="str">
        <f aca="false">IF(OR(A198="",N(C198)=0),"",SUMIFS('Girdi — Faturalar ve tahsilat'!$P$2:$P$3001,'Girdi — Faturalar ve tahsilat'!$C$2:$C$3001,$A198,'Girdi — Faturalar ve tahsilat'!$T$2:$T$3001,$Z$5)/C198)</f>
        <v/>
      </c>
      <c r="E198" s="15" t="str">
        <f aca="false">IF(OR(A198="",N(C198)=0),"",SUMIFS('Girdi — Faturalar ve tahsilat'!$Q$2:$Q$3001,'Girdi — Faturalar ve tahsilat'!$C$2:$C$3001,$A198,'Girdi — Faturalar ve tahsilat'!$T$2:$T$3001,$Z$5)/C198)</f>
        <v/>
      </c>
      <c r="F198" s="20" t="str">
        <f aca="false">IF(D198="","",E198-D198)</f>
        <v/>
      </c>
      <c r="G198" s="13" t="str">
        <f aca="false">IF(F198="","",C198*$D$4*F198/365)</f>
        <v/>
      </c>
      <c r="H198" s="13" t="str">
        <f aca="false">IF(A198="","",SUMIFS('Girdi — Faturalar ve tahsilat'!$R$2:$R$3001,'Girdi — Faturalar ve tahsilat'!$C$2:$C$3001,$A198,'Girdi — Faturalar ve tahsilat'!$T$2:$T$3001,$Z$5))</f>
        <v/>
      </c>
      <c r="I198" s="13" t="str">
        <f aca="false">IF(A198="","",SUMIFS('Girdi — Faturalar ve tahsilat'!$R$2:$R$3001,'Girdi — Faturalar ve tahsilat'!$C$2:$C$3001,$A198,'Girdi — Faturalar ve tahsilat'!$T$2:$T$3001,$Z$5,'Girdi — Faturalar ve tahsilat'!$O$2:$O$3001,"&gt;0"))</f>
        <v/>
      </c>
      <c r="J198" s="13" t="str">
        <f aca="false">IF(A198="","",SUMIFS('Girdi — Faturalar ve tahsilat'!$R$2:$R$3001,'Girdi — Faturalar ve tahsilat'!$C$2:$C$3001,$A198,'Girdi — Faturalar ve tahsilat'!$T$2:$T$3001,$Z$5,'Girdi — Faturalar ve tahsilat'!$S$2:$S$3001,"1-30"))</f>
        <v/>
      </c>
      <c r="K198" s="13" t="str">
        <f aca="false">IF(A198="","",SUMIFS('Girdi — Faturalar ve tahsilat'!$R$2:$R$3001,'Girdi — Faturalar ve tahsilat'!$C$2:$C$3001,$A198,'Girdi — Faturalar ve tahsilat'!$T$2:$T$3001,$Z$5,'Girdi — Faturalar ve tahsilat'!$S$2:$S$3001,"31-60"))</f>
        <v/>
      </c>
      <c r="L198" s="13" t="str">
        <f aca="false">IF(A198="","",SUMIFS('Girdi — Faturalar ve tahsilat'!$R$2:$R$3001,'Girdi — Faturalar ve tahsilat'!$C$2:$C$3001,$A198,'Girdi — Faturalar ve tahsilat'!$T$2:$T$3001,$Z$5,'Girdi — Faturalar ve tahsilat'!$S$2:$S$3001,"61-90"))</f>
        <v/>
      </c>
      <c r="M198" s="13" t="str">
        <f aca="false">IF(A198="","",SUMIFS('Girdi — Faturalar ve tahsilat'!$R$2:$R$3001,'Girdi — Faturalar ve tahsilat'!$C$2:$C$3001,$A198,'Girdi — Faturalar ve tahsilat'!$T$2:$T$3001,$Z$5,'Girdi — Faturalar ve tahsilat'!$S$2:$S$3001,"90+"))</f>
        <v/>
      </c>
      <c r="N198" s="21" t="str">
        <f aca="false">IF(F198="","",RANK(F198,$F$17:$F$216,0)+COUNTIF($F$17:F198,F198)-1)</f>
        <v/>
      </c>
    </row>
    <row r="199" customFormat="false" ht="15" hidden="false" customHeight="false" outlineLevel="0" collapsed="false">
      <c r="A199" s="16" t="str">
        <f aca="false">IFERROR(INDEX('Girdi — Faturalar ve tahsilat'!$C$2:$C$3001,MATCH(183,'Girdi — Faturalar ve tahsilat'!$U$2:$U$3001,0)),"")</f>
        <v/>
      </c>
      <c r="B199" s="16" t="str">
        <f aca="false">IF(A199="","",INDEX('Girdi — Faturalar ve tahsilat'!$D$2:$D$3001,MATCH(183,'Girdi — Faturalar ve tahsilat'!$U$2:$U$3001,0)))</f>
        <v/>
      </c>
      <c r="C199" s="13" t="str">
        <f aca="false">IF(A199="","",SUMIFS('Girdi — Faturalar ve tahsilat'!$F$2:$F$3001,'Girdi — Faturalar ve tahsilat'!$C$2:$C$3001,$A199,'Girdi — Faturalar ve tahsilat'!$T$2:$T$3001,$Z$5))</f>
        <v/>
      </c>
      <c r="D199" s="15" t="str">
        <f aca="false">IF(OR(A199="",N(C199)=0),"",SUMIFS('Girdi — Faturalar ve tahsilat'!$P$2:$P$3001,'Girdi — Faturalar ve tahsilat'!$C$2:$C$3001,$A199,'Girdi — Faturalar ve tahsilat'!$T$2:$T$3001,$Z$5)/C199)</f>
        <v/>
      </c>
      <c r="E199" s="15" t="str">
        <f aca="false">IF(OR(A199="",N(C199)=0),"",SUMIFS('Girdi — Faturalar ve tahsilat'!$Q$2:$Q$3001,'Girdi — Faturalar ve tahsilat'!$C$2:$C$3001,$A199,'Girdi — Faturalar ve tahsilat'!$T$2:$T$3001,$Z$5)/C199)</f>
        <v/>
      </c>
      <c r="F199" s="20" t="str">
        <f aca="false">IF(D199="","",E199-D199)</f>
        <v/>
      </c>
      <c r="G199" s="13" t="str">
        <f aca="false">IF(F199="","",C199*$D$4*F199/365)</f>
        <v/>
      </c>
      <c r="H199" s="13" t="str">
        <f aca="false">IF(A199="","",SUMIFS('Girdi — Faturalar ve tahsilat'!$R$2:$R$3001,'Girdi — Faturalar ve tahsilat'!$C$2:$C$3001,$A199,'Girdi — Faturalar ve tahsilat'!$T$2:$T$3001,$Z$5))</f>
        <v/>
      </c>
      <c r="I199" s="13" t="str">
        <f aca="false">IF(A199="","",SUMIFS('Girdi — Faturalar ve tahsilat'!$R$2:$R$3001,'Girdi — Faturalar ve tahsilat'!$C$2:$C$3001,$A199,'Girdi — Faturalar ve tahsilat'!$T$2:$T$3001,$Z$5,'Girdi — Faturalar ve tahsilat'!$O$2:$O$3001,"&gt;0"))</f>
        <v/>
      </c>
      <c r="J199" s="13" t="str">
        <f aca="false">IF(A199="","",SUMIFS('Girdi — Faturalar ve tahsilat'!$R$2:$R$3001,'Girdi — Faturalar ve tahsilat'!$C$2:$C$3001,$A199,'Girdi — Faturalar ve tahsilat'!$T$2:$T$3001,$Z$5,'Girdi — Faturalar ve tahsilat'!$S$2:$S$3001,"1-30"))</f>
        <v/>
      </c>
      <c r="K199" s="13" t="str">
        <f aca="false">IF(A199="","",SUMIFS('Girdi — Faturalar ve tahsilat'!$R$2:$R$3001,'Girdi — Faturalar ve tahsilat'!$C$2:$C$3001,$A199,'Girdi — Faturalar ve tahsilat'!$T$2:$T$3001,$Z$5,'Girdi — Faturalar ve tahsilat'!$S$2:$S$3001,"31-60"))</f>
        <v/>
      </c>
      <c r="L199" s="13" t="str">
        <f aca="false">IF(A199="","",SUMIFS('Girdi — Faturalar ve tahsilat'!$R$2:$R$3001,'Girdi — Faturalar ve tahsilat'!$C$2:$C$3001,$A199,'Girdi — Faturalar ve tahsilat'!$T$2:$T$3001,$Z$5,'Girdi — Faturalar ve tahsilat'!$S$2:$S$3001,"61-90"))</f>
        <v/>
      </c>
      <c r="M199" s="13" t="str">
        <f aca="false">IF(A199="","",SUMIFS('Girdi — Faturalar ve tahsilat'!$R$2:$R$3001,'Girdi — Faturalar ve tahsilat'!$C$2:$C$3001,$A199,'Girdi — Faturalar ve tahsilat'!$T$2:$T$3001,$Z$5,'Girdi — Faturalar ve tahsilat'!$S$2:$S$3001,"90+"))</f>
        <v/>
      </c>
      <c r="N199" s="21" t="str">
        <f aca="false">IF(F199="","",RANK(F199,$F$17:$F$216,0)+COUNTIF($F$17:F199,F199)-1)</f>
        <v/>
      </c>
    </row>
    <row r="200" customFormat="false" ht="15" hidden="false" customHeight="false" outlineLevel="0" collapsed="false">
      <c r="A200" s="16" t="str">
        <f aca="false">IFERROR(INDEX('Girdi — Faturalar ve tahsilat'!$C$2:$C$3001,MATCH(184,'Girdi — Faturalar ve tahsilat'!$U$2:$U$3001,0)),"")</f>
        <v/>
      </c>
      <c r="B200" s="16" t="str">
        <f aca="false">IF(A200="","",INDEX('Girdi — Faturalar ve tahsilat'!$D$2:$D$3001,MATCH(184,'Girdi — Faturalar ve tahsilat'!$U$2:$U$3001,0)))</f>
        <v/>
      </c>
      <c r="C200" s="13" t="str">
        <f aca="false">IF(A200="","",SUMIFS('Girdi — Faturalar ve tahsilat'!$F$2:$F$3001,'Girdi — Faturalar ve tahsilat'!$C$2:$C$3001,$A200,'Girdi — Faturalar ve tahsilat'!$T$2:$T$3001,$Z$5))</f>
        <v/>
      </c>
      <c r="D200" s="15" t="str">
        <f aca="false">IF(OR(A200="",N(C200)=0),"",SUMIFS('Girdi — Faturalar ve tahsilat'!$P$2:$P$3001,'Girdi — Faturalar ve tahsilat'!$C$2:$C$3001,$A200,'Girdi — Faturalar ve tahsilat'!$T$2:$T$3001,$Z$5)/C200)</f>
        <v/>
      </c>
      <c r="E200" s="15" t="str">
        <f aca="false">IF(OR(A200="",N(C200)=0),"",SUMIFS('Girdi — Faturalar ve tahsilat'!$Q$2:$Q$3001,'Girdi — Faturalar ve tahsilat'!$C$2:$C$3001,$A200,'Girdi — Faturalar ve tahsilat'!$T$2:$T$3001,$Z$5)/C200)</f>
        <v/>
      </c>
      <c r="F200" s="20" t="str">
        <f aca="false">IF(D200="","",E200-D200)</f>
        <v/>
      </c>
      <c r="G200" s="13" t="str">
        <f aca="false">IF(F200="","",C200*$D$4*F200/365)</f>
        <v/>
      </c>
      <c r="H200" s="13" t="str">
        <f aca="false">IF(A200="","",SUMIFS('Girdi — Faturalar ve tahsilat'!$R$2:$R$3001,'Girdi — Faturalar ve tahsilat'!$C$2:$C$3001,$A200,'Girdi — Faturalar ve tahsilat'!$T$2:$T$3001,$Z$5))</f>
        <v/>
      </c>
      <c r="I200" s="13" t="str">
        <f aca="false">IF(A200="","",SUMIFS('Girdi — Faturalar ve tahsilat'!$R$2:$R$3001,'Girdi — Faturalar ve tahsilat'!$C$2:$C$3001,$A200,'Girdi — Faturalar ve tahsilat'!$T$2:$T$3001,$Z$5,'Girdi — Faturalar ve tahsilat'!$O$2:$O$3001,"&gt;0"))</f>
        <v/>
      </c>
      <c r="J200" s="13" t="str">
        <f aca="false">IF(A200="","",SUMIFS('Girdi — Faturalar ve tahsilat'!$R$2:$R$3001,'Girdi — Faturalar ve tahsilat'!$C$2:$C$3001,$A200,'Girdi — Faturalar ve tahsilat'!$T$2:$T$3001,$Z$5,'Girdi — Faturalar ve tahsilat'!$S$2:$S$3001,"1-30"))</f>
        <v/>
      </c>
      <c r="K200" s="13" t="str">
        <f aca="false">IF(A200="","",SUMIFS('Girdi — Faturalar ve tahsilat'!$R$2:$R$3001,'Girdi — Faturalar ve tahsilat'!$C$2:$C$3001,$A200,'Girdi — Faturalar ve tahsilat'!$T$2:$T$3001,$Z$5,'Girdi — Faturalar ve tahsilat'!$S$2:$S$3001,"31-60"))</f>
        <v/>
      </c>
      <c r="L200" s="13" t="str">
        <f aca="false">IF(A200="","",SUMIFS('Girdi — Faturalar ve tahsilat'!$R$2:$R$3001,'Girdi — Faturalar ve tahsilat'!$C$2:$C$3001,$A200,'Girdi — Faturalar ve tahsilat'!$T$2:$T$3001,$Z$5,'Girdi — Faturalar ve tahsilat'!$S$2:$S$3001,"61-90"))</f>
        <v/>
      </c>
      <c r="M200" s="13" t="str">
        <f aca="false">IF(A200="","",SUMIFS('Girdi — Faturalar ve tahsilat'!$R$2:$R$3001,'Girdi — Faturalar ve tahsilat'!$C$2:$C$3001,$A200,'Girdi — Faturalar ve tahsilat'!$T$2:$T$3001,$Z$5,'Girdi — Faturalar ve tahsilat'!$S$2:$S$3001,"90+"))</f>
        <v/>
      </c>
      <c r="N200" s="21" t="str">
        <f aca="false">IF(F200="","",RANK(F200,$F$17:$F$216,0)+COUNTIF($F$17:F200,F200)-1)</f>
        <v/>
      </c>
    </row>
    <row r="201" customFormat="false" ht="15" hidden="false" customHeight="false" outlineLevel="0" collapsed="false">
      <c r="A201" s="16" t="str">
        <f aca="false">IFERROR(INDEX('Girdi — Faturalar ve tahsilat'!$C$2:$C$3001,MATCH(185,'Girdi — Faturalar ve tahsilat'!$U$2:$U$3001,0)),"")</f>
        <v/>
      </c>
      <c r="B201" s="16" t="str">
        <f aca="false">IF(A201="","",INDEX('Girdi — Faturalar ve tahsilat'!$D$2:$D$3001,MATCH(185,'Girdi — Faturalar ve tahsilat'!$U$2:$U$3001,0)))</f>
        <v/>
      </c>
      <c r="C201" s="13" t="str">
        <f aca="false">IF(A201="","",SUMIFS('Girdi — Faturalar ve tahsilat'!$F$2:$F$3001,'Girdi — Faturalar ve tahsilat'!$C$2:$C$3001,$A201,'Girdi — Faturalar ve tahsilat'!$T$2:$T$3001,$Z$5))</f>
        <v/>
      </c>
      <c r="D201" s="15" t="str">
        <f aca="false">IF(OR(A201="",N(C201)=0),"",SUMIFS('Girdi — Faturalar ve tahsilat'!$P$2:$P$3001,'Girdi — Faturalar ve tahsilat'!$C$2:$C$3001,$A201,'Girdi — Faturalar ve tahsilat'!$T$2:$T$3001,$Z$5)/C201)</f>
        <v/>
      </c>
      <c r="E201" s="15" t="str">
        <f aca="false">IF(OR(A201="",N(C201)=0),"",SUMIFS('Girdi — Faturalar ve tahsilat'!$Q$2:$Q$3001,'Girdi — Faturalar ve tahsilat'!$C$2:$C$3001,$A201,'Girdi — Faturalar ve tahsilat'!$T$2:$T$3001,$Z$5)/C201)</f>
        <v/>
      </c>
      <c r="F201" s="20" t="str">
        <f aca="false">IF(D201="","",E201-D201)</f>
        <v/>
      </c>
      <c r="G201" s="13" t="str">
        <f aca="false">IF(F201="","",C201*$D$4*F201/365)</f>
        <v/>
      </c>
      <c r="H201" s="13" t="str">
        <f aca="false">IF(A201="","",SUMIFS('Girdi — Faturalar ve tahsilat'!$R$2:$R$3001,'Girdi — Faturalar ve tahsilat'!$C$2:$C$3001,$A201,'Girdi — Faturalar ve tahsilat'!$T$2:$T$3001,$Z$5))</f>
        <v/>
      </c>
      <c r="I201" s="13" t="str">
        <f aca="false">IF(A201="","",SUMIFS('Girdi — Faturalar ve tahsilat'!$R$2:$R$3001,'Girdi — Faturalar ve tahsilat'!$C$2:$C$3001,$A201,'Girdi — Faturalar ve tahsilat'!$T$2:$T$3001,$Z$5,'Girdi — Faturalar ve tahsilat'!$O$2:$O$3001,"&gt;0"))</f>
        <v/>
      </c>
      <c r="J201" s="13" t="str">
        <f aca="false">IF(A201="","",SUMIFS('Girdi — Faturalar ve tahsilat'!$R$2:$R$3001,'Girdi — Faturalar ve tahsilat'!$C$2:$C$3001,$A201,'Girdi — Faturalar ve tahsilat'!$T$2:$T$3001,$Z$5,'Girdi — Faturalar ve tahsilat'!$S$2:$S$3001,"1-30"))</f>
        <v/>
      </c>
      <c r="K201" s="13" t="str">
        <f aca="false">IF(A201="","",SUMIFS('Girdi — Faturalar ve tahsilat'!$R$2:$R$3001,'Girdi — Faturalar ve tahsilat'!$C$2:$C$3001,$A201,'Girdi — Faturalar ve tahsilat'!$T$2:$T$3001,$Z$5,'Girdi — Faturalar ve tahsilat'!$S$2:$S$3001,"31-60"))</f>
        <v/>
      </c>
      <c r="L201" s="13" t="str">
        <f aca="false">IF(A201="","",SUMIFS('Girdi — Faturalar ve tahsilat'!$R$2:$R$3001,'Girdi — Faturalar ve tahsilat'!$C$2:$C$3001,$A201,'Girdi — Faturalar ve tahsilat'!$T$2:$T$3001,$Z$5,'Girdi — Faturalar ve tahsilat'!$S$2:$S$3001,"61-90"))</f>
        <v/>
      </c>
      <c r="M201" s="13" t="str">
        <f aca="false">IF(A201="","",SUMIFS('Girdi — Faturalar ve tahsilat'!$R$2:$R$3001,'Girdi — Faturalar ve tahsilat'!$C$2:$C$3001,$A201,'Girdi — Faturalar ve tahsilat'!$T$2:$T$3001,$Z$5,'Girdi — Faturalar ve tahsilat'!$S$2:$S$3001,"90+"))</f>
        <v/>
      </c>
      <c r="N201" s="21" t="str">
        <f aca="false">IF(F201="","",RANK(F201,$F$17:$F$216,0)+COUNTIF($F$17:F201,F201)-1)</f>
        <v/>
      </c>
    </row>
    <row r="202" customFormat="false" ht="15" hidden="false" customHeight="false" outlineLevel="0" collapsed="false">
      <c r="A202" s="16" t="str">
        <f aca="false">IFERROR(INDEX('Girdi — Faturalar ve tahsilat'!$C$2:$C$3001,MATCH(186,'Girdi — Faturalar ve tahsilat'!$U$2:$U$3001,0)),"")</f>
        <v/>
      </c>
      <c r="B202" s="16" t="str">
        <f aca="false">IF(A202="","",INDEX('Girdi — Faturalar ve tahsilat'!$D$2:$D$3001,MATCH(186,'Girdi — Faturalar ve tahsilat'!$U$2:$U$3001,0)))</f>
        <v/>
      </c>
      <c r="C202" s="13" t="str">
        <f aca="false">IF(A202="","",SUMIFS('Girdi — Faturalar ve tahsilat'!$F$2:$F$3001,'Girdi — Faturalar ve tahsilat'!$C$2:$C$3001,$A202,'Girdi — Faturalar ve tahsilat'!$T$2:$T$3001,$Z$5))</f>
        <v/>
      </c>
      <c r="D202" s="15" t="str">
        <f aca="false">IF(OR(A202="",N(C202)=0),"",SUMIFS('Girdi — Faturalar ve tahsilat'!$P$2:$P$3001,'Girdi — Faturalar ve tahsilat'!$C$2:$C$3001,$A202,'Girdi — Faturalar ve tahsilat'!$T$2:$T$3001,$Z$5)/C202)</f>
        <v/>
      </c>
      <c r="E202" s="15" t="str">
        <f aca="false">IF(OR(A202="",N(C202)=0),"",SUMIFS('Girdi — Faturalar ve tahsilat'!$Q$2:$Q$3001,'Girdi — Faturalar ve tahsilat'!$C$2:$C$3001,$A202,'Girdi — Faturalar ve tahsilat'!$T$2:$T$3001,$Z$5)/C202)</f>
        <v/>
      </c>
      <c r="F202" s="20" t="str">
        <f aca="false">IF(D202="","",E202-D202)</f>
        <v/>
      </c>
      <c r="G202" s="13" t="str">
        <f aca="false">IF(F202="","",C202*$D$4*F202/365)</f>
        <v/>
      </c>
      <c r="H202" s="13" t="str">
        <f aca="false">IF(A202="","",SUMIFS('Girdi — Faturalar ve tahsilat'!$R$2:$R$3001,'Girdi — Faturalar ve tahsilat'!$C$2:$C$3001,$A202,'Girdi — Faturalar ve tahsilat'!$T$2:$T$3001,$Z$5))</f>
        <v/>
      </c>
      <c r="I202" s="13" t="str">
        <f aca="false">IF(A202="","",SUMIFS('Girdi — Faturalar ve tahsilat'!$R$2:$R$3001,'Girdi — Faturalar ve tahsilat'!$C$2:$C$3001,$A202,'Girdi — Faturalar ve tahsilat'!$T$2:$T$3001,$Z$5,'Girdi — Faturalar ve tahsilat'!$O$2:$O$3001,"&gt;0"))</f>
        <v/>
      </c>
      <c r="J202" s="13" t="str">
        <f aca="false">IF(A202="","",SUMIFS('Girdi — Faturalar ve tahsilat'!$R$2:$R$3001,'Girdi — Faturalar ve tahsilat'!$C$2:$C$3001,$A202,'Girdi — Faturalar ve tahsilat'!$T$2:$T$3001,$Z$5,'Girdi — Faturalar ve tahsilat'!$S$2:$S$3001,"1-30"))</f>
        <v/>
      </c>
      <c r="K202" s="13" t="str">
        <f aca="false">IF(A202="","",SUMIFS('Girdi — Faturalar ve tahsilat'!$R$2:$R$3001,'Girdi — Faturalar ve tahsilat'!$C$2:$C$3001,$A202,'Girdi — Faturalar ve tahsilat'!$T$2:$T$3001,$Z$5,'Girdi — Faturalar ve tahsilat'!$S$2:$S$3001,"31-60"))</f>
        <v/>
      </c>
      <c r="L202" s="13" t="str">
        <f aca="false">IF(A202="","",SUMIFS('Girdi — Faturalar ve tahsilat'!$R$2:$R$3001,'Girdi — Faturalar ve tahsilat'!$C$2:$C$3001,$A202,'Girdi — Faturalar ve tahsilat'!$T$2:$T$3001,$Z$5,'Girdi — Faturalar ve tahsilat'!$S$2:$S$3001,"61-90"))</f>
        <v/>
      </c>
      <c r="M202" s="13" t="str">
        <f aca="false">IF(A202="","",SUMIFS('Girdi — Faturalar ve tahsilat'!$R$2:$R$3001,'Girdi — Faturalar ve tahsilat'!$C$2:$C$3001,$A202,'Girdi — Faturalar ve tahsilat'!$T$2:$T$3001,$Z$5,'Girdi — Faturalar ve tahsilat'!$S$2:$S$3001,"90+"))</f>
        <v/>
      </c>
      <c r="N202" s="21" t="str">
        <f aca="false">IF(F202="","",RANK(F202,$F$17:$F$216,0)+COUNTIF($F$17:F202,F202)-1)</f>
        <v/>
      </c>
    </row>
    <row r="203" customFormat="false" ht="15" hidden="false" customHeight="false" outlineLevel="0" collapsed="false">
      <c r="A203" s="16" t="str">
        <f aca="false">IFERROR(INDEX('Girdi — Faturalar ve tahsilat'!$C$2:$C$3001,MATCH(187,'Girdi — Faturalar ve tahsilat'!$U$2:$U$3001,0)),"")</f>
        <v/>
      </c>
      <c r="B203" s="16" t="str">
        <f aca="false">IF(A203="","",INDEX('Girdi — Faturalar ve tahsilat'!$D$2:$D$3001,MATCH(187,'Girdi — Faturalar ve tahsilat'!$U$2:$U$3001,0)))</f>
        <v/>
      </c>
      <c r="C203" s="13" t="str">
        <f aca="false">IF(A203="","",SUMIFS('Girdi — Faturalar ve tahsilat'!$F$2:$F$3001,'Girdi — Faturalar ve tahsilat'!$C$2:$C$3001,$A203,'Girdi — Faturalar ve tahsilat'!$T$2:$T$3001,$Z$5))</f>
        <v/>
      </c>
      <c r="D203" s="15" t="str">
        <f aca="false">IF(OR(A203="",N(C203)=0),"",SUMIFS('Girdi — Faturalar ve tahsilat'!$P$2:$P$3001,'Girdi — Faturalar ve tahsilat'!$C$2:$C$3001,$A203,'Girdi — Faturalar ve tahsilat'!$T$2:$T$3001,$Z$5)/C203)</f>
        <v/>
      </c>
      <c r="E203" s="15" t="str">
        <f aca="false">IF(OR(A203="",N(C203)=0),"",SUMIFS('Girdi — Faturalar ve tahsilat'!$Q$2:$Q$3001,'Girdi — Faturalar ve tahsilat'!$C$2:$C$3001,$A203,'Girdi — Faturalar ve tahsilat'!$T$2:$T$3001,$Z$5)/C203)</f>
        <v/>
      </c>
      <c r="F203" s="20" t="str">
        <f aca="false">IF(D203="","",E203-D203)</f>
        <v/>
      </c>
      <c r="G203" s="13" t="str">
        <f aca="false">IF(F203="","",C203*$D$4*F203/365)</f>
        <v/>
      </c>
      <c r="H203" s="13" t="str">
        <f aca="false">IF(A203="","",SUMIFS('Girdi — Faturalar ve tahsilat'!$R$2:$R$3001,'Girdi — Faturalar ve tahsilat'!$C$2:$C$3001,$A203,'Girdi — Faturalar ve tahsilat'!$T$2:$T$3001,$Z$5))</f>
        <v/>
      </c>
      <c r="I203" s="13" t="str">
        <f aca="false">IF(A203="","",SUMIFS('Girdi — Faturalar ve tahsilat'!$R$2:$R$3001,'Girdi — Faturalar ve tahsilat'!$C$2:$C$3001,$A203,'Girdi — Faturalar ve tahsilat'!$T$2:$T$3001,$Z$5,'Girdi — Faturalar ve tahsilat'!$O$2:$O$3001,"&gt;0"))</f>
        <v/>
      </c>
      <c r="J203" s="13" t="str">
        <f aca="false">IF(A203="","",SUMIFS('Girdi — Faturalar ve tahsilat'!$R$2:$R$3001,'Girdi — Faturalar ve tahsilat'!$C$2:$C$3001,$A203,'Girdi — Faturalar ve tahsilat'!$T$2:$T$3001,$Z$5,'Girdi — Faturalar ve tahsilat'!$S$2:$S$3001,"1-30"))</f>
        <v/>
      </c>
      <c r="K203" s="13" t="str">
        <f aca="false">IF(A203="","",SUMIFS('Girdi — Faturalar ve tahsilat'!$R$2:$R$3001,'Girdi — Faturalar ve tahsilat'!$C$2:$C$3001,$A203,'Girdi — Faturalar ve tahsilat'!$T$2:$T$3001,$Z$5,'Girdi — Faturalar ve tahsilat'!$S$2:$S$3001,"31-60"))</f>
        <v/>
      </c>
      <c r="L203" s="13" t="str">
        <f aca="false">IF(A203="","",SUMIFS('Girdi — Faturalar ve tahsilat'!$R$2:$R$3001,'Girdi — Faturalar ve tahsilat'!$C$2:$C$3001,$A203,'Girdi — Faturalar ve tahsilat'!$T$2:$T$3001,$Z$5,'Girdi — Faturalar ve tahsilat'!$S$2:$S$3001,"61-90"))</f>
        <v/>
      </c>
      <c r="M203" s="13" t="str">
        <f aca="false">IF(A203="","",SUMIFS('Girdi — Faturalar ve tahsilat'!$R$2:$R$3001,'Girdi — Faturalar ve tahsilat'!$C$2:$C$3001,$A203,'Girdi — Faturalar ve tahsilat'!$T$2:$T$3001,$Z$5,'Girdi — Faturalar ve tahsilat'!$S$2:$S$3001,"90+"))</f>
        <v/>
      </c>
      <c r="N203" s="21" t="str">
        <f aca="false">IF(F203="","",RANK(F203,$F$17:$F$216,0)+COUNTIF($F$17:F203,F203)-1)</f>
        <v/>
      </c>
    </row>
    <row r="204" customFormat="false" ht="15" hidden="false" customHeight="false" outlineLevel="0" collapsed="false">
      <c r="A204" s="16" t="str">
        <f aca="false">IFERROR(INDEX('Girdi — Faturalar ve tahsilat'!$C$2:$C$3001,MATCH(188,'Girdi — Faturalar ve tahsilat'!$U$2:$U$3001,0)),"")</f>
        <v/>
      </c>
      <c r="B204" s="16" t="str">
        <f aca="false">IF(A204="","",INDEX('Girdi — Faturalar ve tahsilat'!$D$2:$D$3001,MATCH(188,'Girdi — Faturalar ve tahsilat'!$U$2:$U$3001,0)))</f>
        <v/>
      </c>
      <c r="C204" s="13" t="str">
        <f aca="false">IF(A204="","",SUMIFS('Girdi — Faturalar ve tahsilat'!$F$2:$F$3001,'Girdi — Faturalar ve tahsilat'!$C$2:$C$3001,$A204,'Girdi — Faturalar ve tahsilat'!$T$2:$T$3001,$Z$5))</f>
        <v/>
      </c>
      <c r="D204" s="15" t="str">
        <f aca="false">IF(OR(A204="",N(C204)=0),"",SUMIFS('Girdi — Faturalar ve tahsilat'!$P$2:$P$3001,'Girdi — Faturalar ve tahsilat'!$C$2:$C$3001,$A204,'Girdi — Faturalar ve tahsilat'!$T$2:$T$3001,$Z$5)/C204)</f>
        <v/>
      </c>
      <c r="E204" s="15" t="str">
        <f aca="false">IF(OR(A204="",N(C204)=0),"",SUMIFS('Girdi — Faturalar ve tahsilat'!$Q$2:$Q$3001,'Girdi — Faturalar ve tahsilat'!$C$2:$C$3001,$A204,'Girdi — Faturalar ve tahsilat'!$T$2:$T$3001,$Z$5)/C204)</f>
        <v/>
      </c>
      <c r="F204" s="20" t="str">
        <f aca="false">IF(D204="","",E204-D204)</f>
        <v/>
      </c>
      <c r="G204" s="13" t="str">
        <f aca="false">IF(F204="","",C204*$D$4*F204/365)</f>
        <v/>
      </c>
      <c r="H204" s="13" t="str">
        <f aca="false">IF(A204="","",SUMIFS('Girdi — Faturalar ve tahsilat'!$R$2:$R$3001,'Girdi — Faturalar ve tahsilat'!$C$2:$C$3001,$A204,'Girdi — Faturalar ve tahsilat'!$T$2:$T$3001,$Z$5))</f>
        <v/>
      </c>
      <c r="I204" s="13" t="str">
        <f aca="false">IF(A204="","",SUMIFS('Girdi — Faturalar ve tahsilat'!$R$2:$R$3001,'Girdi — Faturalar ve tahsilat'!$C$2:$C$3001,$A204,'Girdi — Faturalar ve tahsilat'!$T$2:$T$3001,$Z$5,'Girdi — Faturalar ve tahsilat'!$O$2:$O$3001,"&gt;0"))</f>
        <v/>
      </c>
      <c r="J204" s="13" t="str">
        <f aca="false">IF(A204="","",SUMIFS('Girdi — Faturalar ve tahsilat'!$R$2:$R$3001,'Girdi — Faturalar ve tahsilat'!$C$2:$C$3001,$A204,'Girdi — Faturalar ve tahsilat'!$T$2:$T$3001,$Z$5,'Girdi — Faturalar ve tahsilat'!$S$2:$S$3001,"1-30"))</f>
        <v/>
      </c>
      <c r="K204" s="13" t="str">
        <f aca="false">IF(A204="","",SUMIFS('Girdi — Faturalar ve tahsilat'!$R$2:$R$3001,'Girdi — Faturalar ve tahsilat'!$C$2:$C$3001,$A204,'Girdi — Faturalar ve tahsilat'!$T$2:$T$3001,$Z$5,'Girdi — Faturalar ve tahsilat'!$S$2:$S$3001,"31-60"))</f>
        <v/>
      </c>
      <c r="L204" s="13" t="str">
        <f aca="false">IF(A204="","",SUMIFS('Girdi — Faturalar ve tahsilat'!$R$2:$R$3001,'Girdi — Faturalar ve tahsilat'!$C$2:$C$3001,$A204,'Girdi — Faturalar ve tahsilat'!$T$2:$T$3001,$Z$5,'Girdi — Faturalar ve tahsilat'!$S$2:$S$3001,"61-90"))</f>
        <v/>
      </c>
      <c r="M204" s="13" t="str">
        <f aca="false">IF(A204="","",SUMIFS('Girdi — Faturalar ve tahsilat'!$R$2:$R$3001,'Girdi — Faturalar ve tahsilat'!$C$2:$C$3001,$A204,'Girdi — Faturalar ve tahsilat'!$T$2:$T$3001,$Z$5,'Girdi — Faturalar ve tahsilat'!$S$2:$S$3001,"90+"))</f>
        <v/>
      </c>
      <c r="N204" s="21" t="str">
        <f aca="false">IF(F204="","",RANK(F204,$F$17:$F$216,0)+COUNTIF($F$17:F204,F204)-1)</f>
        <v/>
      </c>
    </row>
    <row r="205" customFormat="false" ht="15" hidden="false" customHeight="false" outlineLevel="0" collapsed="false">
      <c r="A205" s="16" t="str">
        <f aca="false">IFERROR(INDEX('Girdi — Faturalar ve tahsilat'!$C$2:$C$3001,MATCH(189,'Girdi — Faturalar ve tahsilat'!$U$2:$U$3001,0)),"")</f>
        <v/>
      </c>
      <c r="B205" s="16" t="str">
        <f aca="false">IF(A205="","",INDEX('Girdi — Faturalar ve tahsilat'!$D$2:$D$3001,MATCH(189,'Girdi — Faturalar ve tahsilat'!$U$2:$U$3001,0)))</f>
        <v/>
      </c>
      <c r="C205" s="13" t="str">
        <f aca="false">IF(A205="","",SUMIFS('Girdi — Faturalar ve tahsilat'!$F$2:$F$3001,'Girdi — Faturalar ve tahsilat'!$C$2:$C$3001,$A205,'Girdi — Faturalar ve tahsilat'!$T$2:$T$3001,$Z$5))</f>
        <v/>
      </c>
      <c r="D205" s="15" t="str">
        <f aca="false">IF(OR(A205="",N(C205)=0),"",SUMIFS('Girdi — Faturalar ve tahsilat'!$P$2:$P$3001,'Girdi — Faturalar ve tahsilat'!$C$2:$C$3001,$A205,'Girdi — Faturalar ve tahsilat'!$T$2:$T$3001,$Z$5)/C205)</f>
        <v/>
      </c>
      <c r="E205" s="15" t="str">
        <f aca="false">IF(OR(A205="",N(C205)=0),"",SUMIFS('Girdi — Faturalar ve tahsilat'!$Q$2:$Q$3001,'Girdi — Faturalar ve tahsilat'!$C$2:$C$3001,$A205,'Girdi — Faturalar ve tahsilat'!$T$2:$T$3001,$Z$5)/C205)</f>
        <v/>
      </c>
      <c r="F205" s="20" t="str">
        <f aca="false">IF(D205="","",E205-D205)</f>
        <v/>
      </c>
      <c r="G205" s="13" t="str">
        <f aca="false">IF(F205="","",C205*$D$4*F205/365)</f>
        <v/>
      </c>
      <c r="H205" s="13" t="str">
        <f aca="false">IF(A205="","",SUMIFS('Girdi — Faturalar ve tahsilat'!$R$2:$R$3001,'Girdi — Faturalar ve tahsilat'!$C$2:$C$3001,$A205,'Girdi — Faturalar ve tahsilat'!$T$2:$T$3001,$Z$5))</f>
        <v/>
      </c>
      <c r="I205" s="13" t="str">
        <f aca="false">IF(A205="","",SUMIFS('Girdi — Faturalar ve tahsilat'!$R$2:$R$3001,'Girdi — Faturalar ve tahsilat'!$C$2:$C$3001,$A205,'Girdi — Faturalar ve tahsilat'!$T$2:$T$3001,$Z$5,'Girdi — Faturalar ve tahsilat'!$O$2:$O$3001,"&gt;0"))</f>
        <v/>
      </c>
      <c r="J205" s="13" t="str">
        <f aca="false">IF(A205="","",SUMIFS('Girdi — Faturalar ve tahsilat'!$R$2:$R$3001,'Girdi — Faturalar ve tahsilat'!$C$2:$C$3001,$A205,'Girdi — Faturalar ve tahsilat'!$T$2:$T$3001,$Z$5,'Girdi — Faturalar ve tahsilat'!$S$2:$S$3001,"1-30"))</f>
        <v/>
      </c>
      <c r="K205" s="13" t="str">
        <f aca="false">IF(A205="","",SUMIFS('Girdi — Faturalar ve tahsilat'!$R$2:$R$3001,'Girdi — Faturalar ve tahsilat'!$C$2:$C$3001,$A205,'Girdi — Faturalar ve tahsilat'!$T$2:$T$3001,$Z$5,'Girdi — Faturalar ve tahsilat'!$S$2:$S$3001,"31-60"))</f>
        <v/>
      </c>
      <c r="L205" s="13" t="str">
        <f aca="false">IF(A205="","",SUMIFS('Girdi — Faturalar ve tahsilat'!$R$2:$R$3001,'Girdi — Faturalar ve tahsilat'!$C$2:$C$3001,$A205,'Girdi — Faturalar ve tahsilat'!$T$2:$T$3001,$Z$5,'Girdi — Faturalar ve tahsilat'!$S$2:$S$3001,"61-90"))</f>
        <v/>
      </c>
      <c r="M205" s="13" t="str">
        <f aca="false">IF(A205="","",SUMIFS('Girdi — Faturalar ve tahsilat'!$R$2:$R$3001,'Girdi — Faturalar ve tahsilat'!$C$2:$C$3001,$A205,'Girdi — Faturalar ve tahsilat'!$T$2:$T$3001,$Z$5,'Girdi — Faturalar ve tahsilat'!$S$2:$S$3001,"90+"))</f>
        <v/>
      </c>
      <c r="N205" s="21" t="str">
        <f aca="false">IF(F205="","",RANK(F205,$F$17:$F$216,0)+COUNTIF($F$17:F205,F205)-1)</f>
        <v/>
      </c>
    </row>
    <row r="206" customFormat="false" ht="15" hidden="false" customHeight="false" outlineLevel="0" collapsed="false">
      <c r="A206" s="16" t="str">
        <f aca="false">IFERROR(INDEX('Girdi — Faturalar ve tahsilat'!$C$2:$C$3001,MATCH(190,'Girdi — Faturalar ve tahsilat'!$U$2:$U$3001,0)),"")</f>
        <v/>
      </c>
      <c r="B206" s="16" t="str">
        <f aca="false">IF(A206="","",INDEX('Girdi — Faturalar ve tahsilat'!$D$2:$D$3001,MATCH(190,'Girdi — Faturalar ve tahsilat'!$U$2:$U$3001,0)))</f>
        <v/>
      </c>
      <c r="C206" s="13" t="str">
        <f aca="false">IF(A206="","",SUMIFS('Girdi — Faturalar ve tahsilat'!$F$2:$F$3001,'Girdi — Faturalar ve tahsilat'!$C$2:$C$3001,$A206,'Girdi — Faturalar ve tahsilat'!$T$2:$T$3001,$Z$5))</f>
        <v/>
      </c>
      <c r="D206" s="15" t="str">
        <f aca="false">IF(OR(A206="",N(C206)=0),"",SUMIFS('Girdi — Faturalar ve tahsilat'!$P$2:$P$3001,'Girdi — Faturalar ve tahsilat'!$C$2:$C$3001,$A206,'Girdi — Faturalar ve tahsilat'!$T$2:$T$3001,$Z$5)/C206)</f>
        <v/>
      </c>
      <c r="E206" s="15" t="str">
        <f aca="false">IF(OR(A206="",N(C206)=0),"",SUMIFS('Girdi — Faturalar ve tahsilat'!$Q$2:$Q$3001,'Girdi — Faturalar ve tahsilat'!$C$2:$C$3001,$A206,'Girdi — Faturalar ve tahsilat'!$T$2:$T$3001,$Z$5)/C206)</f>
        <v/>
      </c>
      <c r="F206" s="20" t="str">
        <f aca="false">IF(D206="","",E206-D206)</f>
        <v/>
      </c>
      <c r="G206" s="13" t="str">
        <f aca="false">IF(F206="","",C206*$D$4*F206/365)</f>
        <v/>
      </c>
      <c r="H206" s="13" t="str">
        <f aca="false">IF(A206="","",SUMIFS('Girdi — Faturalar ve tahsilat'!$R$2:$R$3001,'Girdi — Faturalar ve tahsilat'!$C$2:$C$3001,$A206,'Girdi — Faturalar ve tahsilat'!$T$2:$T$3001,$Z$5))</f>
        <v/>
      </c>
      <c r="I206" s="13" t="str">
        <f aca="false">IF(A206="","",SUMIFS('Girdi — Faturalar ve tahsilat'!$R$2:$R$3001,'Girdi — Faturalar ve tahsilat'!$C$2:$C$3001,$A206,'Girdi — Faturalar ve tahsilat'!$T$2:$T$3001,$Z$5,'Girdi — Faturalar ve tahsilat'!$O$2:$O$3001,"&gt;0"))</f>
        <v/>
      </c>
      <c r="J206" s="13" t="str">
        <f aca="false">IF(A206="","",SUMIFS('Girdi — Faturalar ve tahsilat'!$R$2:$R$3001,'Girdi — Faturalar ve tahsilat'!$C$2:$C$3001,$A206,'Girdi — Faturalar ve tahsilat'!$T$2:$T$3001,$Z$5,'Girdi — Faturalar ve tahsilat'!$S$2:$S$3001,"1-30"))</f>
        <v/>
      </c>
      <c r="K206" s="13" t="str">
        <f aca="false">IF(A206="","",SUMIFS('Girdi — Faturalar ve tahsilat'!$R$2:$R$3001,'Girdi — Faturalar ve tahsilat'!$C$2:$C$3001,$A206,'Girdi — Faturalar ve tahsilat'!$T$2:$T$3001,$Z$5,'Girdi — Faturalar ve tahsilat'!$S$2:$S$3001,"31-60"))</f>
        <v/>
      </c>
      <c r="L206" s="13" t="str">
        <f aca="false">IF(A206="","",SUMIFS('Girdi — Faturalar ve tahsilat'!$R$2:$R$3001,'Girdi — Faturalar ve tahsilat'!$C$2:$C$3001,$A206,'Girdi — Faturalar ve tahsilat'!$T$2:$T$3001,$Z$5,'Girdi — Faturalar ve tahsilat'!$S$2:$S$3001,"61-90"))</f>
        <v/>
      </c>
      <c r="M206" s="13" t="str">
        <f aca="false">IF(A206="","",SUMIFS('Girdi — Faturalar ve tahsilat'!$R$2:$R$3001,'Girdi — Faturalar ve tahsilat'!$C$2:$C$3001,$A206,'Girdi — Faturalar ve tahsilat'!$T$2:$T$3001,$Z$5,'Girdi — Faturalar ve tahsilat'!$S$2:$S$3001,"90+"))</f>
        <v/>
      </c>
      <c r="N206" s="21" t="str">
        <f aca="false">IF(F206="","",RANK(F206,$F$17:$F$216,0)+COUNTIF($F$17:F206,F206)-1)</f>
        <v/>
      </c>
    </row>
    <row r="207" customFormat="false" ht="15" hidden="false" customHeight="false" outlineLevel="0" collapsed="false">
      <c r="A207" s="16" t="str">
        <f aca="false">IFERROR(INDEX('Girdi — Faturalar ve tahsilat'!$C$2:$C$3001,MATCH(191,'Girdi — Faturalar ve tahsilat'!$U$2:$U$3001,0)),"")</f>
        <v/>
      </c>
      <c r="B207" s="16" t="str">
        <f aca="false">IF(A207="","",INDEX('Girdi — Faturalar ve tahsilat'!$D$2:$D$3001,MATCH(191,'Girdi — Faturalar ve tahsilat'!$U$2:$U$3001,0)))</f>
        <v/>
      </c>
      <c r="C207" s="13" t="str">
        <f aca="false">IF(A207="","",SUMIFS('Girdi — Faturalar ve tahsilat'!$F$2:$F$3001,'Girdi — Faturalar ve tahsilat'!$C$2:$C$3001,$A207,'Girdi — Faturalar ve tahsilat'!$T$2:$T$3001,$Z$5))</f>
        <v/>
      </c>
      <c r="D207" s="15" t="str">
        <f aca="false">IF(OR(A207="",N(C207)=0),"",SUMIFS('Girdi — Faturalar ve tahsilat'!$P$2:$P$3001,'Girdi — Faturalar ve tahsilat'!$C$2:$C$3001,$A207,'Girdi — Faturalar ve tahsilat'!$T$2:$T$3001,$Z$5)/C207)</f>
        <v/>
      </c>
      <c r="E207" s="15" t="str">
        <f aca="false">IF(OR(A207="",N(C207)=0),"",SUMIFS('Girdi — Faturalar ve tahsilat'!$Q$2:$Q$3001,'Girdi — Faturalar ve tahsilat'!$C$2:$C$3001,$A207,'Girdi — Faturalar ve tahsilat'!$T$2:$T$3001,$Z$5)/C207)</f>
        <v/>
      </c>
      <c r="F207" s="20" t="str">
        <f aca="false">IF(D207="","",E207-D207)</f>
        <v/>
      </c>
      <c r="G207" s="13" t="str">
        <f aca="false">IF(F207="","",C207*$D$4*F207/365)</f>
        <v/>
      </c>
      <c r="H207" s="13" t="str">
        <f aca="false">IF(A207="","",SUMIFS('Girdi — Faturalar ve tahsilat'!$R$2:$R$3001,'Girdi — Faturalar ve tahsilat'!$C$2:$C$3001,$A207,'Girdi — Faturalar ve tahsilat'!$T$2:$T$3001,$Z$5))</f>
        <v/>
      </c>
      <c r="I207" s="13" t="str">
        <f aca="false">IF(A207="","",SUMIFS('Girdi — Faturalar ve tahsilat'!$R$2:$R$3001,'Girdi — Faturalar ve tahsilat'!$C$2:$C$3001,$A207,'Girdi — Faturalar ve tahsilat'!$T$2:$T$3001,$Z$5,'Girdi — Faturalar ve tahsilat'!$O$2:$O$3001,"&gt;0"))</f>
        <v/>
      </c>
      <c r="J207" s="13" t="str">
        <f aca="false">IF(A207="","",SUMIFS('Girdi — Faturalar ve tahsilat'!$R$2:$R$3001,'Girdi — Faturalar ve tahsilat'!$C$2:$C$3001,$A207,'Girdi — Faturalar ve tahsilat'!$T$2:$T$3001,$Z$5,'Girdi — Faturalar ve tahsilat'!$S$2:$S$3001,"1-30"))</f>
        <v/>
      </c>
      <c r="K207" s="13" t="str">
        <f aca="false">IF(A207="","",SUMIFS('Girdi — Faturalar ve tahsilat'!$R$2:$R$3001,'Girdi — Faturalar ve tahsilat'!$C$2:$C$3001,$A207,'Girdi — Faturalar ve tahsilat'!$T$2:$T$3001,$Z$5,'Girdi — Faturalar ve tahsilat'!$S$2:$S$3001,"31-60"))</f>
        <v/>
      </c>
      <c r="L207" s="13" t="str">
        <f aca="false">IF(A207="","",SUMIFS('Girdi — Faturalar ve tahsilat'!$R$2:$R$3001,'Girdi — Faturalar ve tahsilat'!$C$2:$C$3001,$A207,'Girdi — Faturalar ve tahsilat'!$T$2:$T$3001,$Z$5,'Girdi — Faturalar ve tahsilat'!$S$2:$S$3001,"61-90"))</f>
        <v/>
      </c>
      <c r="M207" s="13" t="str">
        <f aca="false">IF(A207="","",SUMIFS('Girdi — Faturalar ve tahsilat'!$R$2:$R$3001,'Girdi — Faturalar ve tahsilat'!$C$2:$C$3001,$A207,'Girdi — Faturalar ve tahsilat'!$T$2:$T$3001,$Z$5,'Girdi — Faturalar ve tahsilat'!$S$2:$S$3001,"90+"))</f>
        <v/>
      </c>
      <c r="N207" s="21" t="str">
        <f aca="false">IF(F207="","",RANK(F207,$F$17:$F$216,0)+COUNTIF($F$17:F207,F207)-1)</f>
        <v/>
      </c>
    </row>
    <row r="208" customFormat="false" ht="15" hidden="false" customHeight="false" outlineLevel="0" collapsed="false">
      <c r="A208" s="16" t="str">
        <f aca="false">IFERROR(INDEX('Girdi — Faturalar ve tahsilat'!$C$2:$C$3001,MATCH(192,'Girdi — Faturalar ve tahsilat'!$U$2:$U$3001,0)),"")</f>
        <v/>
      </c>
      <c r="B208" s="16" t="str">
        <f aca="false">IF(A208="","",INDEX('Girdi — Faturalar ve tahsilat'!$D$2:$D$3001,MATCH(192,'Girdi — Faturalar ve tahsilat'!$U$2:$U$3001,0)))</f>
        <v/>
      </c>
      <c r="C208" s="13" t="str">
        <f aca="false">IF(A208="","",SUMIFS('Girdi — Faturalar ve tahsilat'!$F$2:$F$3001,'Girdi — Faturalar ve tahsilat'!$C$2:$C$3001,$A208,'Girdi — Faturalar ve tahsilat'!$T$2:$T$3001,$Z$5))</f>
        <v/>
      </c>
      <c r="D208" s="15" t="str">
        <f aca="false">IF(OR(A208="",N(C208)=0),"",SUMIFS('Girdi — Faturalar ve tahsilat'!$P$2:$P$3001,'Girdi — Faturalar ve tahsilat'!$C$2:$C$3001,$A208,'Girdi — Faturalar ve tahsilat'!$T$2:$T$3001,$Z$5)/C208)</f>
        <v/>
      </c>
      <c r="E208" s="15" t="str">
        <f aca="false">IF(OR(A208="",N(C208)=0),"",SUMIFS('Girdi — Faturalar ve tahsilat'!$Q$2:$Q$3001,'Girdi — Faturalar ve tahsilat'!$C$2:$C$3001,$A208,'Girdi — Faturalar ve tahsilat'!$T$2:$T$3001,$Z$5)/C208)</f>
        <v/>
      </c>
      <c r="F208" s="20" t="str">
        <f aca="false">IF(D208="","",E208-D208)</f>
        <v/>
      </c>
      <c r="G208" s="13" t="str">
        <f aca="false">IF(F208="","",C208*$D$4*F208/365)</f>
        <v/>
      </c>
      <c r="H208" s="13" t="str">
        <f aca="false">IF(A208="","",SUMIFS('Girdi — Faturalar ve tahsilat'!$R$2:$R$3001,'Girdi — Faturalar ve tahsilat'!$C$2:$C$3001,$A208,'Girdi — Faturalar ve tahsilat'!$T$2:$T$3001,$Z$5))</f>
        <v/>
      </c>
      <c r="I208" s="13" t="str">
        <f aca="false">IF(A208="","",SUMIFS('Girdi — Faturalar ve tahsilat'!$R$2:$R$3001,'Girdi — Faturalar ve tahsilat'!$C$2:$C$3001,$A208,'Girdi — Faturalar ve tahsilat'!$T$2:$T$3001,$Z$5,'Girdi — Faturalar ve tahsilat'!$O$2:$O$3001,"&gt;0"))</f>
        <v/>
      </c>
      <c r="J208" s="13" t="str">
        <f aca="false">IF(A208="","",SUMIFS('Girdi — Faturalar ve tahsilat'!$R$2:$R$3001,'Girdi — Faturalar ve tahsilat'!$C$2:$C$3001,$A208,'Girdi — Faturalar ve tahsilat'!$T$2:$T$3001,$Z$5,'Girdi — Faturalar ve tahsilat'!$S$2:$S$3001,"1-30"))</f>
        <v/>
      </c>
      <c r="K208" s="13" t="str">
        <f aca="false">IF(A208="","",SUMIFS('Girdi — Faturalar ve tahsilat'!$R$2:$R$3001,'Girdi — Faturalar ve tahsilat'!$C$2:$C$3001,$A208,'Girdi — Faturalar ve tahsilat'!$T$2:$T$3001,$Z$5,'Girdi — Faturalar ve tahsilat'!$S$2:$S$3001,"31-60"))</f>
        <v/>
      </c>
      <c r="L208" s="13" t="str">
        <f aca="false">IF(A208="","",SUMIFS('Girdi — Faturalar ve tahsilat'!$R$2:$R$3001,'Girdi — Faturalar ve tahsilat'!$C$2:$C$3001,$A208,'Girdi — Faturalar ve tahsilat'!$T$2:$T$3001,$Z$5,'Girdi — Faturalar ve tahsilat'!$S$2:$S$3001,"61-90"))</f>
        <v/>
      </c>
      <c r="M208" s="13" t="str">
        <f aca="false">IF(A208="","",SUMIFS('Girdi — Faturalar ve tahsilat'!$R$2:$R$3001,'Girdi — Faturalar ve tahsilat'!$C$2:$C$3001,$A208,'Girdi — Faturalar ve tahsilat'!$T$2:$T$3001,$Z$5,'Girdi — Faturalar ve tahsilat'!$S$2:$S$3001,"90+"))</f>
        <v/>
      </c>
      <c r="N208" s="21" t="str">
        <f aca="false">IF(F208="","",RANK(F208,$F$17:$F$216,0)+COUNTIF($F$17:F208,F208)-1)</f>
        <v/>
      </c>
    </row>
    <row r="209" customFormat="false" ht="15" hidden="false" customHeight="false" outlineLevel="0" collapsed="false">
      <c r="A209" s="16" t="str">
        <f aca="false">IFERROR(INDEX('Girdi — Faturalar ve tahsilat'!$C$2:$C$3001,MATCH(193,'Girdi — Faturalar ve tahsilat'!$U$2:$U$3001,0)),"")</f>
        <v/>
      </c>
      <c r="B209" s="16" t="str">
        <f aca="false">IF(A209="","",INDEX('Girdi — Faturalar ve tahsilat'!$D$2:$D$3001,MATCH(193,'Girdi — Faturalar ve tahsilat'!$U$2:$U$3001,0)))</f>
        <v/>
      </c>
      <c r="C209" s="13" t="str">
        <f aca="false">IF(A209="","",SUMIFS('Girdi — Faturalar ve tahsilat'!$F$2:$F$3001,'Girdi — Faturalar ve tahsilat'!$C$2:$C$3001,$A209,'Girdi — Faturalar ve tahsilat'!$T$2:$T$3001,$Z$5))</f>
        <v/>
      </c>
      <c r="D209" s="15" t="str">
        <f aca="false">IF(OR(A209="",N(C209)=0),"",SUMIFS('Girdi — Faturalar ve tahsilat'!$P$2:$P$3001,'Girdi — Faturalar ve tahsilat'!$C$2:$C$3001,$A209,'Girdi — Faturalar ve tahsilat'!$T$2:$T$3001,$Z$5)/C209)</f>
        <v/>
      </c>
      <c r="E209" s="15" t="str">
        <f aca="false">IF(OR(A209="",N(C209)=0),"",SUMIFS('Girdi — Faturalar ve tahsilat'!$Q$2:$Q$3001,'Girdi — Faturalar ve tahsilat'!$C$2:$C$3001,$A209,'Girdi — Faturalar ve tahsilat'!$T$2:$T$3001,$Z$5)/C209)</f>
        <v/>
      </c>
      <c r="F209" s="20" t="str">
        <f aca="false">IF(D209="","",E209-D209)</f>
        <v/>
      </c>
      <c r="G209" s="13" t="str">
        <f aca="false">IF(F209="","",C209*$D$4*F209/365)</f>
        <v/>
      </c>
      <c r="H209" s="13" t="str">
        <f aca="false">IF(A209="","",SUMIFS('Girdi — Faturalar ve tahsilat'!$R$2:$R$3001,'Girdi — Faturalar ve tahsilat'!$C$2:$C$3001,$A209,'Girdi — Faturalar ve tahsilat'!$T$2:$T$3001,$Z$5))</f>
        <v/>
      </c>
      <c r="I209" s="13" t="str">
        <f aca="false">IF(A209="","",SUMIFS('Girdi — Faturalar ve tahsilat'!$R$2:$R$3001,'Girdi — Faturalar ve tahsilat'!$C$2:$C$3001,$A209,'Girdi — Faturalar ve tahsilat'!$T$2:$T$3001,$Z$5,'Girdi — Faturalar ve tahsilat'!$O$2:$O$3001,"&gt;0"))</f>
        <v/>
      </c>
      <c r="J209" s="13" t="str">
        <f aca="false">IF(A209="","",SUMIFS('Girdi — Faturalar ve tahsilat'!$R$2:$R$3001,'Girdi — Faturalar ve tahsilat'!$C$2:$C$3001,$A209,'Girdi — Faturalar ve tahsilat'!$T$2:$T$3001,$Z$5,'Girdi — Faturalar ve tahsilat'!$S$2:$S$3001,"1-30"))</f>
        <v/>
      </c>
      <c r="K209" s="13" t="str">
        <f aca="false">IF(A209="","",SUMIFS('Girdi — Faturalar ve tahsilat'!$R$2:$R$3001,'Girdi — Faturalar ve tahsilat'!$C$2:$C$3001,$A209,'Girdi — Faturalar ve tahsilat'!$T$2:$T$3001,$Z$5,'Girdi — Faturalar ve tahsilat'!$S$2:$S$3001,"31-60"))</f>
        <v/>
      </c>
      <c r="L209" s="13" t="str">
        <f aca="false">IF(A209="","",SUMIFS('Girdi — Faturalar ve tahsilat'!$R$2:$R$3001,'Girdi — Faturalar ve tahsilat'!$C$2:$C$3001,$A209,'Girdi — Faturalar ve tahsilat'!$T$2:$T$3001,$Z$5,'Girdi — Faturalar ve tahsilat'!$S$2:$S$3001,"61-90"))</f>
        <v/>
      </c>
      <c r="M209" s="13" t="str">
        <f aca="false">IF(A209="","",SUMIFS('Girdi — Faturalar ve tahsilat'!$R$2:$R$3001,'Girdi — Faturalar ve tahsilat'!$C$2:$C$3001,$A209,'Girdi — Faturalar ve tahsilat'!$T$2:$T$3001,$Z$5,'Girdi — Faturalar ve tahsilat'!$S$2:$S$3001,"90+"))</f>
        <v/>
      </c>
      <c r="N209" s="21" t="str">
        <f aca="false">IF(F209="","",RANK(F209,$F$17:$F$216,0)+COUNTIF($F$17:F209,F209)-1)</f>
        <v/>
      </c>
    </row>
    <row r="210" customFormat="false" ht="15" hidden="false" customHeight="false" outlineLevel="0" collapsed="false">
      <c r="A210" s="16" t="str">
        <f aca="false">IFERROR(INDEX('Girdi — Faturalar ve tahsilat'!$C$2:$C$3001,MATCH(194,'Girdi — Faturalar ve tahsilat'!$U$2:$U$3001,0)),"")</f>
        <v/>
      </c>
      <c r="B210" s="16" t="str">
        <f aca="false">IF(A210="","",INDEX('Girdi — Faturalar ve tahsilat'!$D$2:$D$3001,MATCH(194,'Girdi — Faturalar ve tahsilat'!$U$2:$U$3001,0)))</f>
        <v/>
      </c>
      <c r="C210" s="13" t="str">
        <f aca="false">IF(A210="","",SUMIFS('Girdi — Faturalar ve tahsilat'!$F$2:$F$3001,'Girdi — Faturalar ve tahsilat'!$C$2:$C$3001,$A210,'Girdi — Faturalar ve tahsilat'!$T$2:$T$3001,$Z$5))</f>
        <v/>
      </c>
      <c r="D210" s="15" t="str">
        <f aca="false">IF(OR(A210="",N(C210)=0),"",SUMIFS('Girdi — Faturalar ve tahsilat'!$P$2:$P$3001,'Girdi — Faturalar ve tahsilat'!$C$2:$C$3001,$A210,'Girdi — Faturalar ve tahsilat'!$T$2:$T$3001,$Z$5)/C210)</f>
        <v/>
      </c>
      <c r="E210" s="15" t="str">
        <f aca="false">IF(OR(A210="",N(C210)=0),"",SUMIFS('Girdi — Faturalar ve tahsilat'!$Q$2:$Q$3001,'Girdi — Faturalar ve tahsilat'!$C$2:$C$3001,$A210,'Girdi — Faturalar ve tahsilat'!$T$2:$T$3001,$Z$5)/C210)</f>
        <v/>
      </c>
      <c r="F210" s="20" t="str">
        <f aca="false">IF(D210="","",E210-D210)</f>
        <v/>
      </c>
      <c r="G210" s="13" t="str">
        <f aca="false">IF(F210="","",C210*$D$4*F210/365)</f>
        <v/>
      </c>
      <c r="H210" s="13" t="str">
        <f aca="false">IF(A210="","",SUMIFS('Girdi — Faturalar ve tahsilat'!$R$2:$R$3001,'Girdi — Faturalar ve tahsilat'!$C$2:$C$3001,$A210,'Girdi — Faturalar ve tahsilat'!$T$2:$T$3001,$Z$5))</f>
        <v/>
      </c>
      <c r="I210" s="13" t="str">
        <f aca="false">IF(A210="","",SUMIFS('Girdi — Faturalar ve tahsilat'!$R$2:$R$3001,'Girdi — Faturalar ve tahsilat'!$C$2:$C$3001,$A210,'Girdi — Faturalar ve tahsilat'!$T$2:$T$3001,$Z$5,'Girdi — Faturalar ve tahsilat'!$O$2:$O$3001,"&gt;0"))</f>
        <v/>
      </c>
      <c r="J210" s="13" t="str">
        <f aca="false">IF(A210="","",SUMIFS('Girdi — Faturalar ve tahsilat'!$R$2:$R$3001,'Girdi — Faturalar ve tahsilat'!$C$2:$C$3001,$A210,'Girdi — Faturalar ve tahsilat'!$T$2:$T$3001,$Z$5,'Girdi — Faturalar ve tahsilat'!$S$2:$S$3001,"1-30"))</f>
        <v/>
      </c>
      <c r="K210" s="13" t="str">
        <f aca="false">IF(A210="","",SUMIFS('Girdi — Faturalar ve tahsilat'!$R$2:$R$3001,'Girdi — Faturalar ve tahsilat'!$C$2:$C$3001,$A210,'Girdi — Faturalar ve tahsilat'!$T$2:$T$3001,$Z$5,'Girdi — Faturalar ve tahsilat'!$S$2:$S$3001,"31-60"))</f>
        <v/>
      </c>
      <c r="L210" s="13" t="str">
        <f aca="false">IF(A210="","",SUMIFS('Girdi — Faturalar ve tahsilat'!$R$2:$R$3001,'Girdi — Faturalar ve tahsilat'!$C$2:$C$3001,$A210,'Girdi — Faturalar ve tahsilat'!$T$2:$T$3001,$Z$5,'Girdi — Faturalar ve tahsilat'!$S$2:$S$3001,"61-90"))</f>
        <v/>
      </c>
      <c r="M210" s="13" t="str">
        <f aca="false">IF(A210="","",SUMIFS('Girdi — Faturalar ve tahsilat'!$R$2:$R$3001,'Girdi — Faturalar ve tahsilat'!$C$2:$C$3001,$A210,'Girdi — Faturalar ve tahsilat'!$T$2:$T$3001,$Z$5,'Girdi — Faturalar ve tahsilat'!$S$2:$S$3001,"90+"))</f>
        <v/>
      </c>
      <c r="N210" s="21" t="str">
        <f aca="false">IF(F210="","",RANK(F210,$F$17:$F$216,0)+COUNTIF($F$17:F210,F210)-1)</f>
        <v/>
      </c>
    </row>
    <row r="211" customFormat="false" ht="15" hidden="false" customHeight="false" outlineLevel="0" collapsed="false">
      <c r="A211" s="16" t="str">
        <f aca="false">IFERROR(INDEX('Girdi — Faturalar ve tahsilat'!$C$2:$C$3001,MATCH(195,'Girdi — Faturalar ve tahsilat'!$U$2:$U$3001,0)),"")</f>
        <v/>
      </c>
      <c r="B211" s="16" t="str">
        <f aca="false">IF(A211="","",INDEX('Girdi — Faturalar ve tahsilat'!$D$2:$D$3001,MATCH(195,'Girdi — Faturalar ve tahsilat'!$U$2:$U$3001,0)))</f>
        <v/>
      </c>
      <c r="C211" s="13" t="str">
        <f aca="false">IF(A211="","",SUMIFS('Girdi — Faturalar ve tahsilat'!$F$2:$F$3001,'Girdi — Faturalar ve tahsilat'!$C$2:$C$3001,$A211,'Girdi — Faturalar ve tahsilat'!$T$2:$T$3001,$Z$5))</f>
        <v/>
      </c>
      <c r="D211" s="15" t="str">
        <f aca="false">IF(OR(A211="",N(C211)=0),"",SUMIFS('Girdi — Faturalar ve tahsilat'!$P$2:$P$3001,'Girdi — Faturalar ve tahsilat'!$C$2:$C$3001,$A211,'Girdi — Faturalar ve tahsilat'!$T$2:$T$3001,$Z$5)/C211)</f>
        <v/>
      </c>
      <c r="E211" s="15" t="str">
        <f aca="false">IF(OR(A211="",N(C211)=0),"",SUMIFS('Girdi — Faturalar ve tahsilat'!$Q$2:$Q$3001,'Girdi — Faturalar ve tahsilat'!$C$2:$C$3001,$A211,'Girdi — Faturalar ve tahsilat'!$T$2:$T$3001,$Z$5)/C211)</f>
        <v/>
      </c>
      <c r="F211" s="20" t="str">
        <f aca="false">IF(D211="","",E211-D211)</f>
        <v/>
      </c>
      <c r="G211" s="13" t="str">
        <f aca="false">IF(F211="","",C211*$D$4*F211/365)</f>
        <v/>
      </c>
      <c r="H211" s="13" t="str">
        <f aca="false">IF(A211="","",SUMIFS('Girdi — Faturalar ve tahsilat'!$R$2:$R$3001,'Girdi — Faturalar ve tahsilat'!$C$2:$C$3001,$A211,'Girdi — Faturalar ve tahsilat'!$T$2:$T$3001,$Z$5))</f>
        <v/>
      </c>
      <c r="I211" s="13" t="str">
        <f aca="false">IF(A211="","",SUMIFS('Girdi — Faturalar ve tahsilat'!$R$2:$R$3001,'Girdi — Faturalar ve tahsilat'!$C$2:$C$3001,$A211,'Girdi — Faturalar ve tahsilat'!$T$2:$T$3001,$Z$5,'Girdi — Faturalar ve tahsilat'!$O$2:$O$3001,"&gt;0"))</f>
        <v/>
      </c>
      <c r="J211" s="13" t="str">
        <f aca="false">IF(A211="","",SUMIFS('Girdi — Faturalar ve tahsilat'!$R$2:$R$3001,'Girdi — Faturalar ve tahsilat'!$C$2:$C$3001,$A211,'Girdi — Faturalar ve tahsilat'!$T$2:$T$3001,$Z$5,'Girdi — Faturalar ve tahsilat'!$S$2:$S$3001,"1-30"))</f>
        <v/>
      </c>
      <c r="K211" s="13" t="str">
        <f aca="false">IF(A211="","",SUMIFS('Girdi — Faturalar ve tahsilat'!$R$2:$R$3001,'Girdi — Faturalar ve tahsilat'!$C$2:$C$3001,$A211,'Girdi — Faturalar ve tahsilat'!$T$2:$T$3001,$Z$5,'Girdi — Faturalar ve tahsilat'!$S$2:$S$3001,"31-60"))</f>
        <v/>
      </c>
      <c r="L211" s="13" t="str">
        <f aca="false">IF(A211="","",SUMIFS('Girdi — Faturalar ve tahsilat'!$R$2:$R$3001,'Girdi — Faturalar ve tahsilat'!$C$2:$C$3001,$A211,'Girdi — Faturalar ve tahsilat'!$T$2:$T$3001,$Z$5,'Girdi — Faturalar ve tahsilat'!$S$2:$S$3001,"61-90"))</f>
        <v/>
      </c>
      <c r="M211" s="13" t="str">
        <f aca="false">IF(A211="","",SUMIFS('Girdi — Faturalar ve tahsilat'!$R$2:$R$3001,'Girdi — Faturalar ve tahsilat'!$C$2:$C$3001,$A211,'Girdi — Faturalar ve tahsilat'!$T$2:$T$3001,$Z$5,'Girdi — Faturalar ve tahsilat'!$S$2:$S$3001,"90+"))</f>
        <v/>
      </c>
      <c r="N211" s="21" t="str">
        <f aca="false">IF(F211="","",RANK(F211,$F$17:$F$216,0)+COUNTIF($F$17:F211,F211)-1)</f>
        <v/>
      </c>
    </row>
    <row r="212" customFormat="false" ht="15" hidden="false" customHeight="false" outlineLevel="0" collapsed="false">
      <c r="A212" s="16" t="str">
        <f aca="false">IFERROR(INDEX('Girdi — Faturalar ve tahsilat'!$C$2:$C$3001,MATCH(196,'Girdi — Faturalar ve tahsilat'!$U$2:$U$3001,0)),"")</f>
        <v/>
      </c>
      <c r="B212" s="16" t="str">
        <f aca="false">IF(A212="","",INDEX('Girdi — Faturalar ve tahsilat'!$D$2:$D$3001,MATCH(196,'Girdi — Faturalar ve tahsilat'!$U$2:$U$3001,0)))</f>
        <v/>
      </c>
      <c r="C212" s="13" t="str">
        <f aca="false">IF(A212="","",SUMIFS('Girdi — Faturalar ve tahsilat'!$F$2:$F$3001,'Girdi — Faturalar ve tahsilat'!$C$2:$C$3001,$A212,'Girdi — Faturalar ve tahsilat'!$T$2:$T$3001,$Z$5))</f>
        <v/>
      </c>
      <c r="D212" s="15" t="str">
        <f aca="false">IF(OR(A212="",N(C212)=0),"",SUMIFS('Girdi — Faturalar ve tahsilat'!$P$2:$P$3001,'Girdi — Faturalar ve tahsilat'!$C$2:$C$3001,$A212,'Girdi — Faturalar ve tahsilat'!$T$2:$T$3001,$Z$5)/C212)</f>
        <v/>
      </c>
      <c r="E212" s="15" t="str">
        <f aca="false">IF(OR(A212="",N(C212)=0),"",SUMIFS('Girdi — Faturalar ve tahsilat'!$Q$2:$Q$3001,'Girdi — Faturalar ve tahsilat'!$C$2:$C$3001,$A212,'Girdi — Faturalar ve tahsilat'!$T$2:$T$3001,$Z$5)/C212)</f>
        <v/>
      </c>
      <c r="F212" s="20" t="str">
        <f aca="false">IF(D212="","",E212-D212)</f>
        <v/>
      </c>
      <c r="G212" s="13" t="str">
        <f aca="false">IF(F212="","",C212*$D$4*F212/365)</f>
        <v/>
      </c>
      <c r="H212" s="13" t="str">
        <f aca="false">IF(A212="","",SUMIFS('Girdi — Faturalar ve tahsilat'!$R$2:$R$3001,'Girdi — Faturalar ve tahsilat'!$C$2:$C$3001,$A212,'Girdi — Faturalar ve tahsilat'!$T$2:$T$3001,$Z$5))</f>
        <v/>
      </c>
      <c r="I212" s="13" t="str">
        <f aca="false">IF(A212="","",SUMIFS('Girdi — Faturalar ve tahsilat'!$R$2:$R$3001,'Girdi — Faturalar ve tahsilat'!$C$2:$C$3001,$A212,'Girdi — Faturalar ve tahsilat'!$T$2:$T$3001,$Z$5,'Girdi — Faturalar ve tahsilat'!$O$2:$O$3001,"&gt;0"))</f>
        <v/>
      </c>
      <c r="J212" s="13" t="str">
        <f aca="false">IF(A212="","",SUMIFS('Girdi — Faturalar ve tahsilat'!$R$2:$R$3001,'Girdi — Faturalar ve tahsilat'!$C$2:$C$3001,$A212,'Girdi — Faturalar ve tahsilat'!$T$2:$T$3001,$Z$5,'Girdi — Faturalar ve tahsilat'!$S$2:$S$3001,"1-30"))</f>
        <v/>
      </c>
      <c r="K212" s="13" t="str">
        <f aca="false">IF(A212="","",SUMIFS('Girdi — Faturalar ve tahsilat'!$R$2:$R$3001,'Girdi — Faturalar ve tahsilat'!$C$2:$C$3001,$A212,'Girdi — Faturalar ve tahsilat'!$T$2:$T$3001,$Z$5,'Girdi — Faturalar ve tahsilat'!$S$2:$S$3001,"31-60"))</f>
        <v/>
      </c>
      <c r="L212" s="13" t="str">
        <f aca="false">IF(A212="","",SUMIFS('Girdi — Faturalar ve tahsilat'!$R$2:$R$3001,'Girdi — Faturalar ve tahsilat'!$C$2:$C$3001,$A212,'Girdi — Faturalar ve tahsilat'!$T$2:$T$3001,$Z$5,'Girdi — Faturalar ve tahsilat'!$S$2:$S$3001,"61-90"))</f>
        <v/>
      </c>
      <c r="M212" s="13" t="str">
        <f aca="false">IF(A212="","",SUMIFS('Girdi — Faturalar ve tahsilat'!$R$2:$R$3001,'Girdi — Faturalar ve tahsilat'!$C$2:$C$3001,$A212,'Girdi — Faturalar ve tahsilat'!$T$2:$T$3001,$Z$5,'Girdi — Faturalar ve tahsilat'!$S$2:$S$3001,"90+"))</f>
        <v/>
      </c>
      <c r="N212" s="21" t="str">
        <f aca="false">IF(F212="","",RANK(F212,$F$17:$F$216,0)+COUNTIF($F$17:F212,F212)-1)</f>
        <v/>
      </c>
    </row>
    <row r="213" customFormat="false" ht="15" hidden="false" customHeight="false" outlineLevel="0" collapsed="false">
      <c r="A213" s="16" t="str">
        <f aca="false">IFERROR(INDEX('Girdi — Faturalar ve tahsilat'!$C$2:$C$3001,MATCH(197,'Girdi — Faturalar ve tahsilat'!$U$2:$U$3001,0)),"")</f>
        <v/>
      </c>
      <c r="B213" s="16" t="str">
        <f aca="false">IF(A213="","",INDEX('Girdi — Faturalar ve tahsilat'!$D$2:$D$3001,MATCH(197,'Girdi — Faturalar ve tahsilat'!$U$2:$U$3001,0)))</f>
        <v/>
      </c>
      <c r="C213" s="13" t="str">
        <f aca="false">IF(A213="","",SUMIFS('Girdi — Faturalar ve tahsilat'!$F$2:$F$3001,'Girdi — Faturalar ve tahsilat'!$C$2:$C$3001,$A213,'Girdi — Faturalar ve tahsilat'!$T$2:$T$3001,$Z$5))</f>
        <v/>
      </c>
      <c r="D213" s="15" t="str">
        <f aca="false">IF(OR(A213="",N(C213)=0),"",SUMIFS('Girdi — Faturalar ve tahsilat'!$P$2:$P$3001,'Girdi — Faturalar ve tahsilat'!$C$2:$C$3001,$A213,'Girdi — Faturalar ve tahsilat'!$T$2:$T$3001,$Z$5)/C213)</f>
        <v/>
      </c>
      <c r="E213" s="15" t="str">
        <f aca="false">IF(OR(A213="",N(C213)=0),"",SUMIFS('Girdi — Faturalar ve tahsilat'!$Q$2:$Q$3001,'Girdi — Faturalar ve tahsilat'!$C$2:$C$3001,$A213,'Girdi — Faturalar ve tahsilat'!$T$2:$T$3001,$Z$5)/C213)</f>
        <v/>
      </c>
      <c r="F213" s="20" t="str">
        <f aca="false">IF(D213="","",E213-D213)</f>
        <v/>
      </c>
      <c r="G213" s="13" t="str">
        <f aca="false">IF(F213="","",C213*$D$4*F213/365)</f>
        <v/>
      </c>
      <c r="H213" s="13" t="str">
        <f aca="false">IF(A213="","",SUMIFS('Girdi — Faturalar ve tahsilat'!$R$2:$R$3001,'Girdi — Faturalar ve tahsilat'!$C$2:$C$3001,$A213,'Girdi — Faturalar ve tahsilat'!$T$2:$T$3001,$Z$5))</f>
        <v/>
      </c>
      <c r="I213" s="13" t="str">
        <f aca="false">IF(A213="","",SUMIFS('Girdi — Faturalar ve tahsilat'!$R$2:$R$3001,'Girdi — Faturalar ve tahsilat'!$C$2:$C$3001,$A213,'Girdi — Faturalar ve tahsilat'!$T$2:$T$3001,$Z$5,'Girdi — Faturalar ve tahsilat'!$O$2:$O$3001,"&gt;0"))</f>
        <v/>
      </c>
      <c r="J213" s="13" t="str">
        <f aca="false">IF(A213="","",SUMIFS('Girdi — Faturalar ve tahsilat'!$R$2:$R$3001,'Girdi — Faturalar ve tahsilat'!$C$2:$C$3001,$A213,'Girdi — Faturalar ve tahsilat'!$T$2:$T$3001,$Z$5,'Girdi — Faturalar ve tahsilat'!$S$2:$S$3001,"1-30"))</f>
        <v/>
      </c>
      <c r="K213" s="13" t="str">
        <f aca="false">IF(A213="","",SUMIFS('Girdi — Faturalar ve tahsilat'!$R$2:$R$3001,'Girdi — Faturalar ve tahsilat'!$C$2:$C$3001,$A213,'Girdi — Faturalar ve tahsilat'!$T$2:$T$3001,$Z$5,'Girdi — Faturalar ve tahsilat'!$S$2:$S$3001,"31-60"))</f>
        <v/>
      </c>
      <c r="L213" s="13" t="str">
        <f aca="false">IF(A213="","",SUMIFS('Girdi — Faturalar ve tahsilat'!$R$2:$R$3001,'Girdi — Faturalar ve tahsilat'!$C$2:$C$3001,$A213,'Girdi — Faturalar ve tahsilat'!$T$2:$T$3001,$Z$5,'Girdi — Faturalar ve tahsilat'!$S$2:$S$3001,"61-90"))</f>
        <v/>
      </c>
      <c r="M213" s="13" t="str">
        <f aca="false">IF(A213="","",SUMIFS('Girdi — Faturalar ve tahsilat'!$R$2:$R$3001,'Girdi — Faturalar ve tahsilat'!$C$2:$C$3001,$A213,'Girdi — Faturalar ve tahsilat'!$T$2:$T$3001,$Z$5,'Girdi — Faturalar ve tahsilat'!$S$2:$S$3001,"90+"))</f>
        <v/>
      </c>
      <c r="N213" s="21" t="str">
        <f aca="false">IF(F213="","",RANK(F213,$F$17:$F$216,0)+COUNTIF($F$17:F213,F213)-1)</f>
        <v/>
      </c>
    </row>
    <row r="214" customFormat="false" ht="15" hidden="false" customHeight="false" outlineLevel="0" collapsed="false">
      <c r="A214" s="16" t="str">
        <f aca="false">IFERROR(INDEX('Girdi — Faturalar ve tahsilat'!$C$2:$C$3001,MATCH(198,'Girdi — Faturalar ve tahsilat'!$U$2:$U$3001,0)),"")</f>
        <v/>
      </c>
      <c r="B214" s="16" t="str">
        <f aca="false">IF(A214="","",INDEX('Girdi — Faturalar ve tahsilat'!$D$2:$D$3001,MATCH(198,'Girdi — Faturalar ve tahsilat'!$U$2:$U$3001,0)))</f>
        <v/>
      </c>
      <c r="C214" s="13" t="str">
        <f aca="false">IF(A214="","",SUMIFS('Girdi — Faturalar ve tahsilat'!$F$2:$F$3001,'Girdi — Faturalar ve tahsilat'!$C$2:$C$3001,$A214,'Girdi — Faturalar ve tahsilat'!$T$2:$T$3001,$Z$5))</f>
        <v/>
      </c>
      <c r="D214" s="15" t="str">
        <f aca="false">IF(OR(A214="",N(C214)=0),"",SUMIFS('Girdi — Faturalar ve tahsilat'!$P$2:$P$3001,'Girdi — Faturalar ve tahsilat'!$C$2:$C$3001,$A214,'Girdi — Faturalar ve tahsilat'!$T$2:$T$3001,$Z$5)/C214)</f>
        <v/>
      </c>
      <c r="E214" s="15" t="str">
        <f aca="false">IF(OR(A214="",N(C214)=0),"",SUMIFS('Girdi — Faturalar ve tahsilat'!$Q$2:$Q$3001,'Girdi — Faturalar ve tahsilat'!$C$2:$C$3001,$A214,'Girdi — Faturalar ve tahsilat'!$T$2:$T$3001,$Z$5)/C214)</f>
        <v/>
      </c>
      <c r="F214" s="20" t="str">
        <f aca="false">IF(D214="","",E214-D214)</f>
        <v/>
      </c>
      <c r="G214" s="13" t="str">
        <f aca="false">IF(F214="","",C214*$D$4*F214/365)</f>
        <v/>
      </c>
      <c r="H214" s="13" t="str">
        <f aca="false">IF(A214="","",SUMIFS('Girdi — Faturalar ve tahsilat'!$R$2:$R$3001,'Girdi — Faturalar ve tahsilat'!$C$2:$C$3001,$A214,'Girdi — Faturalar ve tahsilat'!$T$2:$T$3001,$Z$5))</f>
        <v/>
      </c>
      <c r="I214" s="13" t="str">
        <f aca="false">IF(A214="","",SUMIFS('Girdi — Faturalar ve tahsilat'!$R$2:$R$3001,'Girdi — Faturalar ve tahsilat'!$C$2:$C$3001,$A214,'Girdi — Faturalar ve tahsilat'!$T$2:$T$3001,$Z$5,'Girdi — Faturalar ve tahsilat'!$O$2:$O$3001,"&gt;0"))</f>
        <v/>
      </c>
      <c r="J214" s="13" t="str">
        <f aca="false">IF(A214="","",SUMIFS('Girdi — Faturalar ve tahsilat'!$R$2:$R$3001,'Girdi — Faturalar ve tahsilat'!$C$2:$C$3001,$A214,'Girdi — Faturalar ve tahsilat'!$T$2:$T$3001,$Z$5,'Girdi — Faturalar ve tahsilat'!$S$2:$S$3001,"1-30"))</f>
        <v/>
      </c>
      <c r="K214" s="13" t="str">
        <f aca="false">IF(A214="","",SUMIFS('Girdi — Faturalar ve tahsilat'!$R$2:$R$3001,'Girdi — Faturalar ve tahsilat'!$C$2:$C$3001,$A214,'Girdi — Faturalar ve tahsilat'!$T$2:$T$3001,$Z$5,'Girdi — Faturalar ve tahsilat'!$S$2:$S$3001,"31-60"))</f>
        <v/>
      </c>
      <c r="L214" s="13" t="str">
        <f aca="false">IF(A214="","",SUMIFS('Girdi — Faturalar ve tahsilat'!$R$2:$R$3001,'Girdi — Faturalar ve tahsilat'!$C$2:$C$3001,$A214,'Girdi — Faturalar ve tahsilat'!$T$2:$T$3001,$Z$5,'Girdi — Faturalar ve tahsilat'!$S$2:$S$3001,"61-90"))</f>
        <v/>
      </c>
      <c r="M214" s="13" t="str">
        <f aca="false">IF(A214="","",SUMIFS('Girdi — Faturalar ve tahsilat'!$R$2:$R$3001,'Girdi — Faturalar ve tahsilat'!$C$2:$C$3001,$A214,'Girdi — Faturalar ve tahsilat'!$T$2:$T$3001,$Z$5,'Girdi — Faturalar ve tahsilat'!$S$2:$S$3001,"90+"))</f>
        <v/>
      </c>
      <c r="N214" s="21" t="str">
        <f aca="false">IF(F214="","",RANK(F214,$F$17:$F$216,0)+COUNTIF($F$17:F214,F214)-1)</f>
        <v/>
      </c>
    </row>
    <row r="215" customFormat="false" ht="15" hidden="false" customHeight="false" outlineLevel="0" collapsed="false">
      <c r="A215" s="16" t="str">
        <f aca="false">IFERROR(INDEX('Girdi — Faturalar ve tahsilat'!$C$2:$C$3001,MATCH(199,'Girdi — Faturalar ve tahsilat'!$U$2:$U$3001,0)),"")</f>
        <v/>
      </c>
      <c r="B215" s="16" t="str">
        <f aca="false">IF(A215="","",INDEX('Girdi — Faturalar ve tahsilat'!$D$2:$D$3001,MATCH(199,'Girdi — Faturalar ve tahsilat'!$U$2:$U$3001,0)))</f>
        <v/>
      </c>
      <c r="C215" s="13" t="str">
        <f aca="false">IF(A215="","",SUMIFS('Girdi — Faturalar ve tahsilat'!$F$2:$F$3001,'Girdi — Faturalar ve tahsilat'!$C$2:$C$3001,$A215,'Girdi — Faturalar ve tahsilat'!$T$2:$T$3001,$Z$5))</f>
        <v/>
      </c>
      <c r="D215" s="15" t="str">
        <f aca="false">IF(OR(A215="",N(C215)=0),"",SUMIFS('Girdi — Faturalar ve tahsilat'!$P$2:$P$3001,'Girdi — Faturalar ve tahsilat'!$C$2:$C$3001,$A215,'Girdi — Faturalar ve tahsilat'!$T$2:$T$3001,$Z$5)/C215)</f>
        <v/>
      </c>
      <c r="E215" s="15" t="str">
        <f aca="false">IF(OR(A215="",N(C215)=0),"",SUMIFS('Girdi — Faturalar ve tahsilat'!$Q$2:$Q$3001,'Girdi — Faturalar ve tahsilat'!$C$2:$C$3001,$A215,'Girdi — Faturalar ve tahsilat'!$T$2:$T$3001,$Z$5)/C215)</f>
        <v/>
      </c>
      <c r="F215" s="20" t="str">
        <f aca="false">IF(D215="","",E215-D215)</f>
        <v/>
      </c>
      <c r="G215" s="13" t="str">
        <f aca="false">IF(F215="","",C215*$D$4*F215/365)</f>
        <v/>
      </c>
      <c r="H215" s="13" t="str">
        <f aca="false">IF(A215="","",SUMIFS('Girdi — Faturalar ve tahsilat'!$R$2:$R$3001,'Girdi — Faturalar ve tahsilat'!$C$2:$C$3001,$A215,'Girdi — Faturalar ve tahsilat'!$T$2:$T$3001,$Z$5))</f>
        <v/>
      </c>
      <c r="I215" s="13" t="str">
        <f aca="false">IF(A215="","",SUMIFS('Girdi — Faturalar ve tahsilat'!$R$2:$R$3001,'Girdi — Faturalar ve tahsilat'!$C$2:$C$3001,$A215,'Girdi — Faturalar ve tahsilat'!$T$2:$T$3001,$Z$5,'Girdi — Faturalar ve tahsilat'!$O$2:$O$3001,"&gt;0"))</f>
        <v/>
      </c>
      <c r="J215" s="13" t="str">
        <f aca="false">IF(A215="","",SUMIFS('Girdi — Faturalar ve tahsilat'!$R$2:$R$3001,'Girdi — Faturalar ve tahsilat'!$C$2:$C$3001,$A215,'Girdi — Faturalar ve tahsilat'!$T$2:$T$3001,$Z$5,'Girdi — Faturalar ve tahsilat'!$S$2:$S$3001,"1-30"))</f>
        <v/>
      </c>
      <c r="K215" s="13" t="str">
        <f aca="false">IF(A215="","",SUMIFS('Girdi — Faturalar ve tahsilat'!$R$2:$R$3001,'Girdi — Faturalar ve tahsilat'!$C$2:$C$3001,$A215,'Girdi — Faturalar ve tahsilat'!$T$2:$T$3001,$Z$5,'Girdi — Faturalar ve tahsilat'!$S$2:$S$3001,"31-60"))</f>
        <v/>
      </c>
      <c r="L215" s="13" t="str">
        <f aca="false">IF(A215="","",SUMIFS('Girdi — Faturalar ve tahsilat'!$R$2:$R$3001,'Girdi — Faturalar ve tahsilat'!$C$2:$C$3001,$A215,'Girdi — Faturalar ve tahsilat'!$T$2:$T$3001,$Z$5,'Girdi — Faturalar ve tahsilat'!$S$2:$S$3001,"61-90"))</f>
        <v/>
      </c>
      <c r="M215" s="13" t="str">
        <f aca="false">IF(A215="","",SUMIFS('Girdi — Faturalar ve tahsilat'!$R$2:$R$3001,'Girdi — Faturalar ve tahsilat'!$C$2:$C$3001,$A215,'Girdi — Faturalar ve tahsilat'!$T$2:$T$3001,$Z$5,'Girdi — Faturalar ve tahsilat'!$S$2:$S$3001,"90+"))</f>
        <v/>
      </c>
      <c r="N215" s="21" t="str">
        <f aca="false">IF(F215="","",RANK(F215,$F$17:$F$216,0)+COUNTIF($F$17:F215,F215)-1)</f>
        <v/>
      </c>
    </row>
    <row r="216" customFormat="false" ht="15" hidden="false" customHeight="false" outlineLevel="0" collapsed="false">
      <c r="A216" s="16" t="str">
        <f aca="false">IFERROR(INDEX('Girdi — Faturalar ve tahsilat'!$C$2:$C$3001,MATCH(200,'Girdi — Faturalar ve tahsilat'!$U$2:$U$3001,0)),"")</f>
        <v/>
      </c>
      <c r="B216" s="16" t="str">
        <f aca="false">IF(A216="","",INDEX('Girdi — Faturalar ve tahsilat'!$D$2:$D$3001,MATCH(200,'Girdi — Faturalar ve tahsilat'!$U$2:$U$3001,0)))</f>
        <v/>
      </c>
      <c r="C216" s="13" t="str">
        <f aca="false">IF(A216="","",SUMIFS('Girdi — Faturalar ve tahsilat'!$F$2:$F$3001,'Girdi — Faturalar ve tahsilat'!$C$2:$C$3001,$A216,'Girdi — Faturalar ve tahsilat'!$T$2:$T$3001,$Z$5))</f>
        <v/>
      </c>
      <c r="D216" s="15" t="str">
        <f aca="false">IF(OR(A216="",N(C216)=0),"",SUMIFS('Girdi — Faturalar ve tahsilat'!$P$2:$P$3001,'Girdi — Faturalar ve tahsilat'!$C$2:$C$3001,$A216,'Girdi — Faturalar ve tahsilat'!$T$2:$T$3001,$Z$5)/C216)</f>
        <v/>
      </c>
      <c r="E216" s="15" t="str">
        <f aca="false">IF(OR(A216="",N(C216)=0),"",SUMIFS('Girdi — Faturalar ve tahsilat'!$Q$2:$Q$3001,'Girdi — Faturalar ve tahsilat'!$C$2:$C$3001,$A216,'Girdi — Faturalar ve tahsilat'!$T$2:$T$3001,$Z$5)/C216)</f>
        <v/>
      </c>
      <c r="F216" s="20" t="str">
        <f aca="false">IF(D216="","",E216-D216)</f>
        <v/>
      </c>
      <c r="G216" s="13" t="str">
        <f aca="false">IF(F216="","",C216*$D$4*F216/365)</f>
        <v/>
      </c>
      <c r="H216" s="13" t="str">
        <f aca="false">IF(A216="","",SUMIFS('Girdi — Faturalar ve tahsilat'!$R$2:$R$3001,'Girdi — Faturalar ve tahsilat'!$C$2:$C$3001,$A216,'Girdi — Faturalar ve tahsilat'!$T$2:$T$3001,$Z$5))</f>
        <v/>
      </c>
      <c r="I216" s="13" t="str">
        <f aca="false">IF(A216="","",SUMIFS('Girdi — Faturalar ve tahsilat'!$R$2:$R$3001,'Girdi — Faturalar ve tahsilat'!$C$2:$C$3001,$A216,'Girdi — Faturalar ve tahsilat'!$T$2:$T$3001,$Z$5,'Girdi — Faturalar ve tahsilat'!$O$2:$O$3001,"&gt;0"))</f>
        <v/>
      </c>
      <c r="J216" s="13" t="str">
        <f aca="false">IF(A216="","",SUMIFS('Girdi — Faturalar ve tahsilat'!$R$2:$R$3001,'Girdi — Faturalar ve tahsilat'!$C$2:$C$3001,$A216,'Girdi — Faturalar ve tahsilat'!$T$2:$T$3001,$Z$5,'Girdi — Faturalar ve tahsilat'!$S$2:$S$3001,"1-30"))</f>
        <v/>
      </c>
      <c r="K216" s="13" t="str">
        <f aca="false">IF(A216="","",SUMIFS('Girdi — Faturalar ve tahsilat'!$R$2:$R$3001,'Girdi — Faturalar ve tahsilat'!$C$2:$C$3001,$A216,'Girdi — Faturalar ve tahsilat'!$T$2:$T$3001,$Z$5,'Girdi — Faturalar ve tahsilat'!$S$2:$S$3001,"31-60"))</f>
        <v/>
      </c>
      <c r="L216" s="13" t="str">
        <f aca="false">IF(A216="","",SUMIFS('Girdi — Faturalar ve tahsilat'!$R$2:$R$3001,'Girdi — Faturalar ve tahsilat'!$C$2:$C$3001,$A216,'Girdi — Faturalar ve tahsilat'!$T$2:$T$3001,$Z$5,'Girdi — Faturalar ve tahsilat'!$S$2:$S$3001,"61-90"))</f>
        <v/>
      </c>
      <c r="M216" s="13" t="str">
        <f aca="false">IF(A216="","",SUMIFS('Girdi — Faturalar ve tahsilat'!$R$2:$R$3001,'Girdi — Faturalar ve tahsilat'!$C$2:$C$3001,$A216,'Girdi — Faturalar ve tahsilat'!$T$2:$T$3001,$Z$5,'Girdi — Faturalar ve tahsilat'!$S$2:$S$3001,"90+"))</f>
        <v/>
      </c>
      <c r="N216" s="21" t="str">
        <f aca="false">IF(F216="","",RANK(F216,$F$17:$F$216,0)+COUNTIF($F$17:F216,F216)-1)</f>
        <v/>
      </c>
    </row>
    <row r="217" customFormat="false" ht="15" hidden="false" customHeight="false" outlineLevel="0" collapsed="false">
      <c r="A217" s="12" t="s">
        <v>58</v>
      </c>
      <c r="C217" s="22" t="n">
        <f aca="false">SUM(C17:C216)</f>
        <v>22300000</v>
      </c>
      <c r="D217" s="20" t="n">
        <f aca="false">IF(C217=0,0,SUMIFS('Girdi — Faturalar ve tahsilat'!$P$2:$P$3001,'Girdi — Faturalar ve tahsilat'!$T$2:$T$3001,$Z$5)/C217)</f>
        <v>49.7757847533632</v>
      </c>
      <c r="E217" s="20" t="n">
        <f aca="false">IF(C217=0,0,SUMIFS('Girdi — Faturalar ve tahsilat'!$Q$2:$Q$3001,'Girdi — Faturalar ve tahsilat'!$T$2:$T$3001,$Z$5)/C217)</f>
        <v>76.3721973094171</v>
      </c>
      <c r="F217" s="20" t="n">
        <f aca="false">E217-D217</f>
        <v>26.5964125560538</v>
      </c>
      <c r="G217" s="22" t="n">
        <f aca="false">SUM(G17:G216)</f>
        <v>593100</v>
      </c>
      <c r="H217" s="22" t="n">
        <f aca="false">SUM(H17:H216)</f>
        <v>5200000</v>
      </c>
      <c r="I217" s="22" t="n">
        <f aca="false">SUM(I17:I216)</f>
        <v>4200000</v>
      </c>
      <c r="J217" s="22" t="n">
        <f aca="false">SUM(J17:J216)</f>
        <v>1500000</v>
      </c>
      <c r="K217" s="22" t="n">
        <f aca="false">SUM(K17:K216)</f>
        <v>2700000</v>
      </c>
      <c r="L217" s="22" t="n">
        <f aca="false">SUM(L17:L216)</f>
        <v>0</v>
      </c>
      <c r="M217" s="22" t="n">
        <f aca="false">SUM(M17:M216)</f>
        <v>0</v>
      </c>
    </row>
    <row r="219" customFormat="false" ht="36" hidden="false" customHeight="true" outlineLevel="0" collapsed="false">
      <c r="A219" s="23" t="s">
        <v>59</v>
      </c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</row>
  </sheetData>
  <mergeCells count="11">
    <mergeCell ref="A3:C3"/>
    <mergeCell ref="A4:C4"/>
    <mergeCell ref="A5:C5"/>
    <mergeCell ref="A7:C7"/>
    <mergeCell ref="A8:C8"/>
    <mergeCell ref="A9:C9"/>
    <mergeCell ref="A10:C10"/>
    <mergeCell ref="A11:C11"/>
    <mergeCell ref="A12:C12"/>
    <mergeCell ref="A13:C13"/>
    <mergeCell ref="A219:M219"/>
  </mergeCells>
  <conditionalFormatting sqref="F17:G216">
    <cfRule type="expression" priority="2" aboveAverage="0" equalAverage="0" bottom="0" percent="0" rank="0" text="" dxfId="0">
      <formula>AND(ISNUMBER($F17),$F17&gt;0)</formula>
    </cfRule>
  </conditionalFormatting>
  <conditionalFormatting sqref="A17:N216">
    <cfRule type="expression" priority="3" aboveAverage="0" equalAverage="0" bottom="0" percent="0" rank="0" text="" dxfId="1">
      <formula>$N17=1</formula>
    </cfRule>
  </conditionalFormatting>
  <dataValidations count="1">
    <dataValidation allowBlank="false" errorStyle="stop" operator="between" showDropDown="false" showErrorMessage="false" showInputMessage="false" sqref="D5" type="list">
      <formula1>"Tümü,Yem,Un,Diğer"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4" min="3" style="0" width="16"/>
  </cols>
  <sheetData>
    <row r="1" customFormat="false" ht="17.35" hidden="false" customHeight="false" outlineLevel="0" collapsed="false">
      <c r="A1" s="24" t="s">
        <v>60</v>
      </c>
    </row>
    <row r="2" customFormat="false" ht="15" hidden="false" customHeight="false" outlineLevel="0" collapsed="false">
      <c r="A2" s="7" t="s">
        <v>61</v>
      </c>
    </row>
    <row r="4" customFormat="false" ht="33.75" hidden="false" customHeight="true" outlineLevel="0" collapsed="false">
      <c r="A4" s="19" t="s">
        <v>62</v>
      </c>
      <c r="B4" s="19" t="s">
        <v>34</v>
      </c>
      <c r="C4" s="19" t="s">
        <v>48</v>
      </c>
      <c r="D4" s="19" t="s">
        <v>49</v>
      </c>
    </row>
    <row r="5" customFormat="false" ht="15" hidden="false" customHeight="false" outlineLevel="0" collapsed="false">
      <c r="A5" s="16" t="n">
        <v>1</v>
      </c>
      <c r="B5" s="16" t="str">
        <f aca="false">IFERROR(INDEX('Vade Sapması'!$B$17:$B$216,MATCH(1,'Vade Sapması'!$N$17:$N$216,0)),"")</f>
        <v>Örnek Bayi A</v>
      </c>
      <c r="C5" s="25" t="n">
        <f aca="false">IFERROR(INDEX('Vade Sapması'!$D$17:$D$216,MATCH(1,'Vade Sapması'!$N$17:$N$216,0)),0)</f>
        <v>60</v>
      </c>
      <c r="D5" s="25" t="n">
        <f aca="false">IFERROR(INDEX('Vade Sapması'!$E$17:$E$216,MATCH(1,'Vade Sapması'!$N$17:$N$216,0)),0)</f>
        <v>115.588235294118</v>
      </c>
    </row>
    <row r="6" customFormat="false" ht="15" hidden="false" customHeight="false" outlineLevel="0" collapsed="false">
      <c r="A6" s="16" t="n">
        <v>2</v>
      </c>
      <c r="B6" s="16" t="str">
        <f aca="false">IFERROR(INDEX('Vade Sapması'!$B$17:$B$216,MATCH(2,'Vade Sapması'!$N$17:$N$216,0)),"")</f>
        <v>Örnek Bayi C</v>
      </c>
      <c r="C6" s="25" t="n">
        <f aca="false">IFERROR(INDEX('Vade Sapması'!$D$17:$D$216,MATCH(2,'Vade Sapması'!$N$17:$N$216,0)),0)</f>
        <v>60</v>
      </c>
      <c r="D6" s="25" t="n">
        <f aca="false">IFERROR(INDEX('Vade Sapması'!$E$17:$E$216,MATCH(2,'Vade Sapması'!$N$17:$N$216,0)),0)</f>
        <v>65.6222222222222</v>
      </c>
    </row>
    <row r="7" customFormat="false" ht="15" hidden="false" customHeight="false" outlineLevel="0" collapsed="false">
      <c r="A7" s="16" t="n">
        <v>3</v>
      </c>
      <c r="B7" s="16" t="str">
        <f aca="false">IFERROR(INDEX('Vade Sapması'!$B$17:$B$216,MATCH(3,'Vade Sapması'!$N$17:$N$216,0)),"")</f>
        <v>Örnek Bayi B</v>
      </c>
      <c r="C7" s="25" t="n">
        <f aca="false">IFERROR(INDEX('Vade Sapması'!$D$17:$D$216,MATCH(3,'Vade Sapması'!$N$17:$N$216,0)),0)</f>
        <v>30</v>
      </c>
      <c r="D7" s="25" t="n">
        <f aca="false">IFERROR(INDEX('Vade Sapması'!$E$17:$E$216,MATCH(3,'Vade Sapması'!$N$17:$N$216,0)),0)</f>
        <v>30.1052631578947</v>
      </c>
    </row>
    <row r="8" customFormat="false" ht="15" hidden="false" customHeight="false" outlineLevel="0" collapsed="false">
      <c r="A8" s="16" t="n">
        <v>4</v>
      </c>
      <c r="B8" s="16" t="str">
        <f aca="false">IFERROR(INDEX('Vade Sapması'!$B$17:$B$216,MATCH(4,'Vade Sapması'!$N$17:$N$216,0)),"")</f>
        <v/>
      </c>
      <c r="C8" s="25" t="n">
        <f aca="false">IFERROR(INDEX('Vade Sapması'!$D$17:$D$216,MATCH(4,'Vade Sapması'!$N$17:$N$216,0)),0)</f>
        <v>0</v>
      </c>
      <c r="D8" s="25" t="n">
        <f aca="false">IFERROR(INDEX('Vade Sapması'!$E$17:$E$216,MATCH(4,'Vade Sapması'!$N$17:$N$216,0)),0)</f>
        <v>0</v>
      </c>
    </row>
    <row r="9" customFormat="false" ht="15" hidden="false" customHeight="false" outlineLevel="0" collapsed="false">
      <c r="A9" s="16" t="n">
        <v>5</v>
      </c>
      <c r="B9" s="16" t="str">
        <f aca="false">IFERROR(INDEX('Vade Sapması'!$B$17:$B$216,MATCH(5,'Vade Sapması'!$N$17:$N$216,0)),"")</f>
        <v/>
      </c>
      <c r="C9" s="25" t="n">
        <f aca="false">IFERROR(INDEX('Vade Sapması'!$D$17:$D$216,MATCH(5,'Vade Sapması'!$N$17:$N$216,0)),0)</f>
        <v>0</v>
      </c>
      <c r="D9" s="25" t="n">
        <f aca="false">IFERROR(INDEX('Vade Sapması'!$E$17:$E$216,MATCH(5,'Vade Sapması'!$N$17:$N$216,0)),0)</f>
        <v>0</v>
      </c>
    </row>
    <row r="10" customFormat="false" ht="15" hidden="false" customHeight="false" outlineLevel="0" collapsed="false">
      <c r="A10" s="16" t="n">
        <v>6</v>
      </c>
      <c r="B10" s="16" t="str">
        <f aca="false">IFERROR(INDEX('Vade Sapması'!$B$17:$B$216,MATCH(6,'Vade Sapması'!$N$17:$N$216,0)),"")</f>
        <v/>
      </c>
      <c r="C10" s="25" t="n">
        <f aca="false">IFERROR(INDEX('Vade Sapması'!$D$17:$D$216,MATCH(6,'Vade Sapması'!$N$17:$N$216,0)),0)</f>
        <v>0</v>
      </c>
      <c r="D10" s="25" t="n">
        <f aca="false">IFERROR(INDEX('Vade Sapması'!$E$17:$E$216,MATCH(6,'Vade Sapması'!$N$17:$N$216,0)),0)</f>
        <v>0</v>
      </c>
    </row>
    <row r="11" customFormat="false" ht="15" hidden="false" customHeight="false" outlineLevel="0" collapsed="false">
      <c r="A11" s="16" t="n">
        <v>7</v>
      </c>
      <c r="B11" s="16" t="str">
        <f aca="false">IFERROR(INDEX('Vade Sapması'!$B$17:$B$216,MATCH(7,'Vade Sapması'!$N$17:$N$216,0)),"")</f>
        <v/>
      </c>
      <c r="C11" s="25" t="n">
        <f aca="false">IFERROR(INDEX('Vade Sapması'!$D$17:$D$216,MATCH(7,'Vade Sapması'!$N$17:$N$216,0)),0)</f>
        <v>0</v>
      </c>
      <c r="D11" s="25" t="n">
        <f aca="false">IFERROR(INDEX('Vade Sapması'!$E$17:$E$216,MATCH(7,'Vade Sapması'!$N$17:$N$216,0)),0)</f>
        <v>0</v>
      </c>
    </row>
    <row r="12" customFormat="false" ht="15" hidden="false" customHeight="false" outlineLevel="0" collapsed="false">
      <c r="A12" s="16" t="n">
        <v>8</v>
      </c>
      <c r="B12" s="16" t="str">
        <f aca="false">IFERROR(INDEX('Vade Sapması'!$B$17:$B$216,MATCH(8,'Vade Sapması'!$N$17:$N$216,0)),"")</f>
        <v/>
      </c>
      <c r="C12" s="25" t="n">
        <f aca="false">IFERROR(INDEX('Vade Sapması'!$D$17:$D$216,MATCH(8,'Vade Sapması'!$N$17:$N$216,0)),0)</f>
        <v>0</v>
      </c>
      <c r="D12" s="25" t="n">
        <f aca="false">IFERROR(INDEX('Vade Sapması'!$E$17:$E$216,MATCH(8,'Vade Sapması'!$N$17:$N$216,0)),0)</f>
        <v>0</v>
      </c>
    </row>
    <row r="13" customFormat="false" ht="15" hidden="false" customHeight="false" outlineLevel="0" collapsed="false">
      <c r="A13" s="16" t="n">
        <v>9</v>
      </c>
      <c r="B13" s="16" t="str">
        <f aca="false">IFERROR(INDEX('Vade Sapması'!$B$17:$B$216,MATCH(9,'Vade Sapması'!$N$17:$N$216,0)),"")</f>
        <v/>
      </c>
      <c r="C13" s="25" t="n">
        <f aca="false">IFERROR(INDEX('Vade Sapması'!$D$17:$D$216,MATCH(9,'Vade Sapması'!$N$17:$N$216,0)),0)</f>
        <v>0</v>
      </c>
      <c r="D13" s="25" t="n">
        <f aca="false">IFERROR(INDEX('Vade Sapması'!$E$17:$E$216,MATCH(9,'Vade Sapması'!$N$17:$N$216,0)),0)</f>
        <v>0</v>
      </c>
    </row>
    <row r="14" customFormat="false" ht="15" hidden="false" customHeight="false" outlineLevel="0" collapsed="false">
      <c r="A14" s="16" t="n">
        <v>10</v>
      </c>
      <c r="B14" s="16" t="str">
        <f aca="false">IFERROR(INDEX('Vade Sapması'!$B$17:$B$216,MATCH(10,'Vade Sapması'!$N$17:$N$216,0)),"")</f>
        <v/>
      </c>
      <c r="C14" s="25" t="n">
        <f aca="false">IFERROR(INDEX('Vade Sapması'!$D$17:$D$216,MATCH(10,'Vade Sapması'!$N$17:$N$216,0)),0)</f>
        <v>0</v>
      </c>
      <c r="D14" s="25" t="n">
        <f aca="false">IFERROR(INDEX('Vade Sapması'!$E$17:$E$216,MATCH(10,'Vade Sapması'!$N$17:$N$216,0)),0)</f>
        <v>0</v>
      </c>
    </row>
    <row r="18" customFormat="false" ht="15" hidden="false" customHeight="false" outlineLevel="0" collapsed="false">
      <c r="A18" s="26" t="s">
        <v>63</v>
      </c>
    </row>
    <row r="19" customFormat="false" ht="33.75" hidden="false" customHeight="true" outlineLevel="0" collapsed="false">
      <c r="A19" s="19"/>
      <c r="B19" s="19" t="s">
        <v>64</v>
      </c>
      <c r="C19" s="19" t="s">
        <v>65</v>
      </c>
    </row>
    <row r="20" customFormat="false" ht="15" hidden="false" customHeight="false" outlineLevel="0" collapsed="false">
      <c r="B20" s="16" t="s">
        <v>53</v>
      </c>
      <c r="C20" s="13" t="n">
        <f aca="false">'Vade Sapması'!J217</f>
        <v>1500000</v>
      </c>
    </row>
    <row r="21" customFormat="false" ht="15" hidden="false" customHeight="false" outlineLevel="0" collapsed="false">
      <c r="B21" s="16" t="s">
        <v>54</v>
      </c>
      <c r="C21" s="13" t="n">
        <f aca="false">'Vade Sapması'!K217</f>
        <v>2700000</v>
      </c>
    </row>
    <row r="22" customFormat="false" ht="15" hidden="false" customHeight="false" outlineLevel="0" collapsed="false">
      <c r="B22" s="16" t="s">
        <v>55</v>
      </c>
      <c r="C22" s="13" t="n">
        <f aca="false">'Vade Sapması'!L217</f>
        <v>0</v>
      </c>
    </row>
    <row r="23" customFormat="false" ht="15" hidden="false" customHeight="false" outlineLevel="0" collapsed="false">
      <c r="B23" s="16" t="s">
        <v>56</v>
      </c>
      <c r="C23" s="13" t="n">
        <f aca="false">'Vade Sapması'!M217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3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3" min="2" style="0" width="12"/>
    <col collapsed="false" customWidth="true" hidden="false" outlineLevel="0" max="4" min="4" style="0" width="24"/>
    <col collapsed="false" customWidth="true" hidden="false" outlineLevel="0" max="5" min="5" style="0" width="14"/>
    <col collapsed="false" customWidth="true" hidden="false" outlineLevel="0" max="6" min="6" style="0" width="15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26"/>
    <col collapsed="false" customWidth="true" hidden="false" outlineLevel="0" max="10" min="10" style="0" width="11"/>
    <col collapsed="false" customWidth="true" hidden="false" outlineLevel="0" max="11" min="11" style="0" width="12"/>
    <col collapsed="false" customWidth="true" hidden="false" outlineLevel="0" max="12" min="12" style="0" width="11"/>
    <col collapsed="false" customWidth="true" hidden="false" outlineLevel="0" max="13" min="13" style="0" width="10"/>
    <col collapsed="false" customWidth="true" hidden="false" outlineLevel="0" max="14" min="14" style="0" width="20"/>
    <col collapsed="false" customWidth="true" hidden="false" outlineLevel="0" max="15" min="15" style="0" width="11"/>
    <col collapsed="false" customWidth="true" hidden="false" outlineLevel="0" max="17" min="16" style="0" width="16"/>
    <col collapsed="false" customWidth="true" hidden="false" outlineLevel="0" max="18" min="18" style="0" width="14"/>
    <col collapsed="false" customWidth="true" hidden="false" outlineLevel="0" max="19" min="19" style="0" width="11"/>
    <col collapsed="false" customWidth="true" hidden="false" outlineLevel="0" max="21" min="20" style="0" width="9"/>
  </cols>
  <sheetData>
    <row r="1" customFormat="false" ht="45.75" hidden="false" customHeight="true" outlineLevel="0" collapsed="false">
      <c r="A1" s="19" t="s">
        <v>66</v>
      </c>
      <c r="B1" s="19" t="s">
        <v>67</v>
      </c>
      <c r="C1" s="19" t="s">
        <v>45</v>
      </c>
      <c r="D1" s="19" t="s">
        <v>46</v>
      </c>
      <c r="E1" s="19" t="s">
        <v>68</v>
      </c>
      <c r="F1" s="19" t="s">
        <v>65</v>
      </c>
      <c r="G1" s="19" t="s">
        <v>69</v>
      </c>
      <c r="H1" s="19" t="s">
        <v>70</v>
      </c>
      <c r="I1" s="19" t="s">
        <v>71</v>
      </c>
      <c r="J1" s="19" t="s">
        <v>48</v>
      </c>
      <c r="K1" s="19" t="s">
        <v>72</v>
      </c>
      <c r="L1" s="19" t="s">
        <v>49</v>
      </c>
      <c r="M1" s="19" t="s">
        <v>73</v>
      </c>
      <c r="N1" s="19" t="s">
        <v>74</v>
      </c>
      <c r="O1" s="19" t="s">
        <v>75</v>
      </c>
      <c r="P1" s="19" t="s">
        <v>76</v>
      </c>
      <c r="Q1" s="19" t="s">
        <v>77</v>
      </c>
      <c r="R1" s="19" t="s">
        <v>78</v>
      </c>
      <c r="S1" s="19" t="s">
        <v>79</v>
      </c>
      <c r="T1" s="19" t="s">
        <v>80</v>
      </c>
      <c r="U1" s="19" t="s">
        <v>81</v>
      </c>
    </row>
    <row r="2" customFormat="false" ht="15" hidden="false" customHeight="false" outlineLevel="0" collapsed="false">
      <c r="A2" s="27" t="s">
        <v>82</v>
      </c>
      <c r="B2" s="28" t="n">
        <v>46092</v>
      </c>
      <c r="C2" s="27" t="s">
        <v>83</v>
      </c>
      <c r="D2" s="27" t="s">
        <v>84</v>
      </c>
      <c r="E2" s="27" t="s">
        <v>85</v>
      </c>
      <c r="F2" s="29" t="n">
        <v>3000000</v>
      </c>
      <c r="G2" s="28" t="n">
        <v>46152</v>
      </c>
      <c r="H2" s="28" t="n">
        <v>46212</v>
      </c>
      <c r="I2" s="27" t="s">
        <v>86</v>
      </c>
      <c r="J2" s="30" t="n">
        <f aca="false">IF(F2="","",G2-B2)</f>
        <v>60</v>
      </c>
      <c r="K2" s="31" t="n">
        <f aca="false">IF(F2="","",IF(H2&lt;&gt;"",H2,MAX('Vade Sapması'!$D$3,G2)))</f>
        <v>46212</v>
      </c>
      <c r="L2" s="30" t="n">
        <f aca="false">IF(F2="","",K2-B2)</f>
        <v>120</v>
      </c>
      <c r="M2" s="30" t="n">
        <f aca="false">IF(F2="","",L2-J2)</f>
        <v>60</v>
      </c>
      <c r="N2" s="32" t="str">
        <f aca="false">IF(F2="","",IF(H2&lt;&gt;"","Kapandı",IF('Vade Sapması'!$D$3&gt;G2,"Açık · vadesi geçti","Açık · vadesi gelmedi")))</f>
        <v>Kapandı</v>
      </c>
      <c r="O2" s="30" t="n">
        <f aca="false">IF(F2="","",IF(AND(H2="",'Vade Sapması'!$D$3&gt;G2),'Vade Sapması'!$D$3-G2,0))</f>
        <v>0</v>
      </c>
      <c r="P2" s="33" t="n">
        <f aca="false">IF(F2="","",F2*J2)</f>
        <v>180000000</v>
      </c>
      <c r="Q2" s="33" t="n">
        <f aca="false">IF(F2="","",F2*L2)</f>
        <v>360000000</v>
      </c>
      <c r="R2" s="33" t="n">
        <f aca="false">IF(F2="","",IF(H2="",F2,0))</f>
        <v>0</v>
      </c>
      <c r="S2" s="32" t="str">
        <f aca="false">IF(F2="","",IF(N(O2)=0,"",IF(O2&lt;=30,"1-30",IF(O2&lt;=60,"31-60",IF(O2&lt;=90,"61-90","90+")))))</f>
        <v/>
      </c>
      <c r="T2" s="32" t="str">
        <f aca="false">IF(F2="","",IF(E2="","Diğer",E2))</f>
        <v>Yem</v>
      </c>
      <c r="U2" s="32" t="n">
        <f aca="false">IF(OR(F2="",C2=""),"",IF(COUNTIF($C$2:C2,C2)=1,MAX($U$1:U1)+1,""))</f>
        <v>1</v>
      </c>
    </row>
    <row r="3" customFormat="false" ht="15" hidden="false" customHeight="false" outlineLevel="0" collapsed="false">
      <c r="A3" s="27" t="s">
        <v>87</v>
      </c>
      <c r="B3" s="28" t="n">
        <v>46122</v>
      </c>
      <c r="C3" s="27" t="s">
        <v>83</v>
      </c>
      <c r="D3" s="27" t="s">
        <v>84</v>
      </c>
      <c r="E3" s="27" t="s">
        <v>88</v>
      </c>
      <c r="F3" s="29" t="n">
        <v>2000000</v>
      </c>
      <c r="G3" s="28" t="n">
        <v>46182</v>
      </c>
      <c r="H3" s="28" t="n">
        <v>46242</v>
      </c>
      <c r="I3" s="27" t="s">
        <v>86</v>
      </c>
      <c r="J3" s="30" t="n">
        <f aca="false">IF(F3="","",G3-B3)</f>
        <v>60</v>
      </c>
      <c r="K3" s="31" t="n">
        <f aca="false">IF(F3="","",IF(H3&lt;&gt;"",H3,MAX('Vade Sapması'!$D$3,G3)))</f>
        <v>46242</v>
      </c>
      <c r="L3" s="30" t="n">
        <f aca="false">IF(F3="","",K3-B3)</f>
        <v>120</v>
      </c>
      <c r="M3" s="30" t="n">
        <f aca="false">IF(F3="","",L3-J3)</f>
        <v>60</v>
      </c>
      <c r="N3" s="32" t="str">
        <f aca="false">IF(F3="","",IF(H3&lt;&gt;"","Kapandı",IF('Vade Sapması'!$D$3&gt;G3,"Açık · vadesi geçti","Açık · vadesi gelmedi")))</f>
        <v>Kapandı</v>
      </c>
      <c r="O3" s="30" t="n">
        <f aca="false">IF(F3="","",IF(AND(H3="",'Vade Sapması'!$D$3&gt;G3),'Vade Sapması'!$D$3-G3,0))</f>
        <v>0</v>
      </c>
      <c r="P3" s="33" t="n">
        <f aca="false">IF(F3="","",F3*J3)</f>
        <v>120000000</v>
      </c>
      <c r="Q3" s="33" t="n">
        <f aca="false">IF(F3="","",F3*L3)</f>
        <v>240000000</v>
      </c>
      <c r="R3" s="33" t="n">
        <f aca="false">IF(F3="","",IF(H3="",F3,0))</f>
        <v>0</v>
      </c>
      <c r="S3" s="32" t="str">
        <f aca="false">IF(F3="","",IF(N(O3)=0,"",IF(O3&lt;=30,"1-30",IF(O3&lt;=60,"31-60",IF(O3&lt;=90,"61-90","90+")))))</f>
        <v/>
      </c>
      <c r="T3" s="32" t="str">
        <f aca="false">IF(F3="","",IF(E3="","Diğer",E3))</f>
        <v>Un</v>
      </c>
      <c r="U3" s="32" t="str">
        <f aca="false">IF(OR(F3="",C3=""),"",IF(COUNTIF($C$2:C3,C3)=1,MAX($U$1:U2)+1,""))</f>
        <v/>
      </c>
    </row>
    <row r="4" customFormat="false" ht="15" hidden="false" customHeight="false" outlineLevel="0" collapsed="false">
      <c r="A4" s="27" t="s">
        <v>89</v>
      </c>
      <c r="B4" s="28" t="n">
        <v>46142</v>
      </c>
      <c r="C4" s="27" t="s">
        <v>83</v>
      </c>
      <c r="D4" s="27" t="s">
        <v>84</v>
      </c>
      <c r="E4" s="27" t="s">
        <v>85</v>
      </c>
      <c r="F4" s="29" t="n">
        <v>2500000</v>
      </c>
      <c r="G4" s="28" t="n">
        <v>46202</v>
      </c>
      <c r="H4" s="28" t="n">
        <v>46262</v>
      </c>
      <c r="I4" s="27" t="s">
        <v>86</v>
      </c>
      <c r="J4" s="30" t="n">
        <f aca="false">IF(F4="","",G4-B4)</f>
        <v>60</v>
      </c>
      <c r="K4" s="31" t="n">
        <f aca="false">IF(F4="","",IF(H4&lt;&gt;"",H4,MAX('Vade Sapması'!$D$3,G4)))</f>
        <v>46262</v>
      </c>
      <c r="L4" s="30" t="n">
        <f aca="false">IF(F4="","",K4-B4)</f>
        <v>120</v>
      </c>
      <c r="M4" s="30" t="n">
        <f aca="false">IF(F4="","",L4-J4)</f>
        <v>60</v>
      </c>
      <c r="N4" s="32" t="str">
        <f aca="false">IF(F4="","",IF(H4&lt;&gt;"","Kapandı",IF('Vade Sapması'!$D$3&gt;G4,"Açık · vadesi geçti","Açık · vadesi gelmedi")))</f>
        <v>Kapandı</v>
      </c>
      <c r="O4" s="30" t="n">
        <f aca="false">IF(F4="","",IF(AND(H4="",'Vade Sapması'!$D$3&gt;G4),'Vade Sapması'!$D$3-G4,0))</f>
        <v>0</v>
      </c>
      <c r="P4" s="33" t="n">
        <f aca="false">IF(F4="","",F4*J4)</f>
        <v>150000000</v>
      </c>
      <c r="Q4" s="33" t="n">
        <f aca="false">IF(F4="","",F4*L4)</f>
        <v>300000000</v>
      </c>
      <c r="R4" s="33" t="n">
        <f aca="false">IF(F4="","",IF(H4="",F4,0))</f>
        <v>0</v>
      </c>
      <c r="S4" s="32" t="str">
        <f aca="false">IF(F4="","",IF(N(O4)=0,"",IF(O4&lt;=30,"1-30",IF(O4&lt;=60,"31-60",IF(O4&lt;=90,"61-90","90+")))))</f>
        <v/>
      </c>
      <c r="T4" s="32" t="str">
        <f aca="false">IF(F4="","",IF(E4="","Diğer",E4))</f>
        <v>Yem</v>
      </c>
      <c r="U4" s="32" t="str">
        <f aca="false">IF(OR(F4="",C4=""),"",IF(COUNTIF($C$2:C4,C4)=1,MAX($U$1:U3)+1,""))</f>
        <v/>
      </c>
    </row>
    <row r="5" customFormat="false" ht="15" hidden="false" customHeight="false" outlineLevel="0" collapsed="false">
      <c r="A5" s="27" t="s">
        <v>90</v>
      </c>
      <c r="B5" s="28" t="n">
        <v>46182</v>
      </c>
      <c r="C5" s="27" t="s">
        <v>83</v>
      </c>
      <c r="D5" s="27" t="s">
        <v>84</v>
      </c>
      <c r="E5" s="27" t="s">
        <v>88</v>
      </c>
      <c r="F5" s="29" t="n">
        <v>1500000</v>
      </c>
      <c r="G5" s="28" t="n">
        <v>46242</v>
      </c>
      <c r="H5" s="28"/>
      <c r="I5" s="27" t="s">
        <v>86</v>
      </c>
      <c r="J5" s="30" t="n">
        <f aca="false">IF(F5="","",G5-B5)</f>
        <v>60</v>
      </c>
      <c r="K5" s="31" t="n">
        <f aca="false">IF(F5="","",IF(H5&lt;&gt;"",H5,MAX('Vade Sapması'!$D$3,G5)))</f>
        <v>46292</v>
      </c>
      <c r="L5" s="30" t="n">
        <f aca="false">IF(F5="","",K5-B5)</f>
        <v>110</v>
      </c>
      <c r="M5" s="30" t="n">
        <f aca="false">IF(F5="","",L5-J5)</f>
        <v>50</v>
      </c>
      <c r="N5" s="32" t="str">
        <f aca="false">IF(F5="","",IF(H5&lt;&gt;"","Kapandı",IF('Vade Sapması'!$D$3&gt;G5,"Açık · vadesi geçti","Açık · vadesi gelmedi")))</f>
        <v>Açık · vadesi geçti</v>
      </c>
      <c r="O5" s="30" t="n">
        <f aca="false">IF(F5="","",IF(AND(H5="",'Vade Sapması'!$D$3&gt;G5),'Vade Sapması'!$D$3-G5,0))</f>
        <v>50</v>
      </c>
      <c r="P5" s="33" t="n">
        <f aca="false">IF(F5="","",F5*J5)</f>
        <v>90000000</v>
      </c>
      <c r="Q5" s="33" t="n">
        <f aca="false">IF(F5="","",F5*L5)</f>
        <v>165000000</v>
      </c>
      <c r="R5" s="33" t="n">
        <f aca="false">IF(F5="","",IF(H5="",F5,0))</f>
        <v>1500000</v>
      </c>
      <c r="S5" s="32" t="str">
        <f aca="false">IF(F5="","",IF(N(O5)=0,"",IF(O5&lt;=30,"1-30",IF(O5&lt;=60,"31-60",IF(O5&lt;=90,"61-90","90+")))))</f>
        <v>31-60</v>
      </c>
      <c r="T5" s="32" t="str">
        <f aca="false">IF(F5="","",IF(E5="","Diğer",E5))</f>
        <v>Un</v>
      </c>
      <c r="U5" s="32" t="str">
        <f aca="false">IF(OR(F5="",C5=""),"",IF(COUNTIF($C$2:C5,C5)=1,MAX($U$1:U4)+1,""))</f>
        <v/>
      </c>
    </row>
    <row r="6" customFormat="false" ht="15" hidden="false" customHeight="false" outlineLevel="0" collapsed="false">
      <c r="A6" s="27" t="s">
        <v>91</v>
      </c>
      <c r="B6" s="28" t="n">
        <v>46197</v>
      </c>
      <c r="C6" s="27" t="s">
        <v>83</v>
      </c>
      <c r="D6" s="27" t="s">
        <v>84</v>
      </c>
      <c r="E6" s="27" t="s">
        <v>85</v>
      </c>
      <c r="F6" s="29" t="n">
        <v>1200000</v>
      </c>
      <c r="G6" s="28" t="n">
        <v>46257</v>
      </c>
      <c r="H6" s="28"/>
      <c r="I6" s="27" t="s">
        <v>86</v>
      </c>
      <c r="J6" s="30" t="n">
        <f aca="false">IF(F6="","",G6-B6)</f>
        <v>60</v>
      </c>
      <c r="K6" s="31" t="n">
        <f aca="false">IF(F6="","",IF(H6&lt;&gt;"",H6,MAX('Vade Sapması'!$D$3,G6)))</f>
        <v>46292</v>
      </c>
      <c r="L6" s="30" t="n">
        <f aca="false">IF(F6="","",K6-B6)</f>
        <v>95</v>
      </c>
      <c r="M6" s="30" t="n">
        <f aca="false">IF(F6="","",L6-J6)</f>
        <v>35</v>
      </c>
      <c r="N6" s="32" t="str">
        <f aca="false">IF(F6="","",IF(H6&lt;&gt;"","Kapandı",IF('Vade Sapması'!$D$3&gt;G6,"Açık · vadesi geçti","Açık · vadesi gelmedi")))</f>
        <v>Açık · vadesi geçti</v>
      </c>
      <c r="O6" s="30" t="n">
        <f aca="false">IF(F6="","",IF(AND(H6="",'Vade Sapması'!$D$3&gt;G6),'Vade Sapması'!$D$3-G6,0))</f>
        <v>35</v>
      </c>
      <c r="P6" s="33" t="n">
        <f aca="false">IF(F6="","",F6*J6)</f>
        <v>72000000</v>
      </c>
      <c r="Q6" s="33" t="n">
        <f aca="false">IF(F6="","",F6*L6)</f>
        <v>114000000</v>
      </c>
      <c r="R6" s="33" t="n">
        <f aca="false">IF(F6="","",IF(H6="",F6,0))</f>
        <v>1200000</v>
      </c>
      <c r="S6" s="32" t="str">
        <f aca="false">IF(F6="","",IF(N(O6)=0,"",IF(O6&lt;=30,"1-30",IF(O6&lt;=60,"31-60",IF(O6&lt;=90,"61-90","90+")))))</f>
        <v>31-60</v>
      </c>
      <c r="T6" s="32" t="str">
        <f aca="false">IF(F6="","",IF(E6="","Diğer",E6))</f>
        <v>Yem</v>
      </c>
      <c r="U6" s="32" t="str">
        <f aca="false">IF(OR(F6="",C6=""),"",IF(COUNTIF($C$2:C6,C6)=1,MAX($U$1:U5)+1,""))</f>
        <v/>
      </c>
    </row>
    <row r="7" customFormat="false" ht="15" hidden="false" customHeight="false" outlineLevel="0" collapsed="false">
      <c r="A7" s="27" t="s">
        <v>92</v>
      </c>
      <c r="B7" s="28" t="n">
        <v>46132</v>
      </c>
      <c r="C7" s="27" t="s">
        <v>93</v>
      </c>
      <c r="D7" s="27" t="s">
        <v>94</v>
      </c>
      <c r="E7" s="27" t="s">
        <v>85</v>
      </c>
      <c r="F7" s="29" t="n">
        <v>2600000</v>
      </c>
      <c r="G7" s="28" t="n">
        <v>46162</v>
      </c>
      <c r="H7" s="28" t="n">
        <v>46162</v>
      </c>
      <c r="I7" s="27" t="s">
        <v>86</v>
      </c>
      <c r="J7" s="30" t="n">
        <f aca="false">IF(F7="","",G7-B7)</f>
        <v>30</v>
      </c>
      <c r="K7" s="31" t="n">
        <f aca="false">IF(F7="","",IF(H7&lt;&gt;"",H7,MAX('Vade Sapması'!$D$3,G7)))</f>
        <v>46162</v>
      </c>
      <c r="L7" s="30" t="n">
        <f aca="false">IF(F7="","",K7-B7)</f>
        <v>30</v>
      </c>
      <c r="M7" s="30" t="n">
        <f aca="false">IF(F7="","",L7-J7)</f>
        <v>0</v>
      </c>
      <c r="N7" s="32" t="str">
        <f aca="false">IF(F7="","",IF(H7&lt;&gt;"","Kapandı",IF('Vade Sapması'!$D$3&gt;G7,"Açık · vadesi geçti","Açık · vadesi gelmedi")))</f>
        <v>Kapandı</v>
      </c>
      <c r="O7" s="30" t="n">
        <f aca="false">IF(F7="","",IF(AND(H7="",'Vade Sapması'!$D$3&gt;G7),'Vade Sapması'!$D$3-G7,0))</f>
        <v>0</v>
      </c>
      <c r="P7" s="33" t="n">
        <f aca="false">IF(F7="","",F7*J7)</f>
        <v>78000000</v>
      </c>
      <c r="Q7" s="33" t="n">
        <f aca="false">IF(F7="","",F7*L7)</f>
        <v>78000000</v>
      </c>
      <c r="R7" s="33" t="n">
        <f aca="false">IF(F7="","",IF(H7="",F7,0))</f>
        <v>0</v>
      </c>
      <c r="S7" s="32" t="str">
        <f aca="false">IF(F7="","",IF(N(O7)=0,"",IF(O7&lt;=30,"1-30",IF(O7&lt;=60,"31-60",IF(O7&lt;=90,"61-90","90+")))))</f>
        <v/>
      </c>
      <c r="T7" s="32" t="str">
        <f aca="false">IF(F7="","",IF(E7="","Diğer",E7))</f>
        <v>Yem</v>
      </c>
      <c r="U7" s="32" t="n">
        <f aca="false">IF(OR(F7="",C7=""),"",IF(COUNTIF($C$2:C7,C7)=1,MAX($U$1:U6)+1,""))</f>
        <v>2</v>
      </c>
    </row>
    <row r="8" customFormat="false" ht="15" hidden="false" customHeight="false" outlineLevel="0" collapsed="false">
      <c r="A8" s="27" t="s">
        <v>95</v>
      </c>
      <c r="B8" s="28" t="n">
        <v>46172</v>
      </c>
      <c r="C8" s="27" t="s">
        <v>93</v>
      </c>
      <c r="D8" s="27" t="s">
        <v>94</v>
      </c>
      <c r="E8" s="27" t="s">
        <v>88</v>
      </c>
      <c r="F8" s="29" t="n">
        <v>1800000</v>
      </c>
      <c r="G8" s="28" t="n">
        <v>46202</v>
      </c>
      <c r="H8" s="28" t="n">
        <v>46200</v>
      </c>
      <c r="I8" s="27" t="s">
        <v>86</v>
      </c>
      <c r="J8" s="30" t="n">
        <f aca="false">IF(F8="","",G8-B8)</f>
        <v>30</v>
      </c>
      <c r="K8" s="31" t="n">
        <f aca="false">IF(F8="","",IF(H8&lt;&gt;"",H8,MAX('Vade Sapması'!$D$3,G8)))</f>
        <v>46200</v>
      </c>
      <c r="L8" s="30" t="n">
        <f aca="false">IF(F8="","",K8-B8)</f>
        <v>28</v>
      </c>
      <c r="M8" s="30" t="n">
        <f aca="false">IF(F8="","",L8-J8)</f>
        <v>-2</v>
      </c>
      <c r="N8" s="32" t="str">
        <f aca="false">IF(F8="","",IF(H8&lt;&gt;"","Kapandı",IF('Vade Sapması'!$D$3&gt;G8,"Açık · vadesi geçti","Açık · vadesi gelmedi")))</f>
        <v>Kapandı</v>
      </c>
      <c r="O8" s="30" t="n">
        <f aca="false">IF(F8="","",IF(AND(H8="",'Vade Sapması'!$D$3&gt;G8),'Vade Sapması'!$D$3-G8,0))</f>
        <v>0</v>
      </c>
      <c r="P8" s="33" t="n">
        <f aca="false">IF(F8="","",F8*J8)</f>
        <v>54000000</v>
      </c>
      <c r="Q8" s="33" t="n">
        <f aca="false">IF(F8="","",F8*L8)</f>
        <v>50400000</v>
      </c>
      <c r="R8" s="33" t="n">
        <f aca="false">IF(F8="","",IF(H8="",F8,0))</f>
        <v>0</v>
      </c>
      <c r="S8" s="32" t="str">
        <f aca="false">IF(F8="","",IF(N(O8)=0,"",IF(O8&lt;=30,"1-30",IF(O8&lt;=60,"31-60",IF(O8&lt;=90,"61-90","90+")))))</f>
        <v/>
      </c>
      <c r="T8" s="32" t="str">
        <f aca="false">IF(F8="","",IF(E8="","Diğer",E8))</f>
        <v>Un</v>
      </c>
      <c r="U8" s="32" t="str">
        <f aca="false">IF(OR(F8="",C8=""),"",IF(COUNTIF($C$2:C8,C8)=1,MAX($U$1:U7)+1,""))</f>
        <v/>
      </c>
    </row>
    <row r="9" customFormat="false" ht="15" hidden="false" customHeight="false" outlineLevel="0" collapsed="false">
      <c r="A9" s="27" t="s">
        <v>96</v>
      </c>
      <c r="B9" s="28" t="n">
        <v>46232</v>
      </c>
      <c r="C9" s="27" t="s">
        <v>93</v>
      </c>
      <c r="D9" s="27" t="s">
        <v>94</v>
      </c>
      <c r="E9" s="27" t="s">
        <v>85</v>
      </c>
      <c r="F9" s="29" t="n">
        <v>2200000</v>
      </c>
      <c r="G9" s="28" t="n">
        <v>46262</v>
      </c>
      <c r="H9" s="28" t="n">
        <v>46264</v>
      </c>
      <c r="I9" s="27" t="s">
        <v>86</v>
      </c>
      <c r="J9" s="30" t="n">
        <f aca="false">IF(F9="","",G9-B9)</f>
        <v>30</v>
      </c>
      <c r="K9" s="31" t="n">
        <f aca="false">IF(F9="","",IF(H9&lt;&gt;"",H9,MAX('Vade Sapması'!$D$3,G9)))</f>
        <v>46264</v>
      </c>
      <c r="L9" s="30" t="n">
        <f aca="false">IF(F9="","",K9-B9)</f>
        <v>32</v>
      </c>
      <c r="M9" s="30" t="n">
        <f aca="false">IF(F9="","",L9-J9)</f>
        <v>2</v>
      </c>
      <c r="N9" s="32" t="str">
        <f aca="false">IF(F9="","",IF(H9&lt;&gt;"","Kapandı",IF('Vade Sapması'!$D$3&gt;G9,"Açık · vadesi geçti","Açık · vadesi gelmedi")))</f>
        <v>Kapandı</v>
      </c>
      <c r="O9" s="30" t="n">
        <f aca="false">IF(F9="","",IF(AND(H9="",'Vade Sapması'!$D$3&gt;G9),'Vade Sapması'!$D$3-G9,0))</f>
        <v>0</v>
      </c>
      <c r="P9" s="33" t="n">
        <f aca="false">IF(F9="","",F9*J9)</f>
        <v>66000000</v>
      </c>
      <c r="Q9" s="33" t="n">
        <f aca="false">IF(F9="","",F9*L9)</f>
        <v>70400000</v>
      </c>
      <c r="R9" s="33" t="n">
        <f aca="false">IF(F9="","",IF(H9="",F9,0))</f>
        <v>0</v>
      </c>
      <c r="S9" s="32" t="str">
        <f aca="false">IF(F9="","",IF(N(O9)=0,"",IF(O9&lt;=30,"1-30",IF(O9&lt;=60,"31-60",IF(O9&lt;=90,"61-90","90+")))))</f>
        <v/>
      </c>
      <c r="T9" s="32" t="str">
        <f aca="false">IF(F9="","",IF(E9="","Diğer",E9))</f>
        <v>Yem</v>
      </c>
      <c r="U9" s="32" t="str">
        <f aca="false">IF(OR(F9="",C9=""),"",IF(COUNTIF($C$2:C9,C9)=1,MAX($U$1:U8)+1,""))</f>
        <v/>
      </c>
    </row>
    <row r="10" customFormat="false" ht="15" hidden="false" customHeight="false" outlineLevel="0" collapsed="false">
      <c r="A10" s="27" t="s">
        <v>97</v>
      </c>
      <c r="B10" s="28" t="n">
        <v>46272</v>
      </c>
      <c r="C10" s="27" t="s">
        <v>93</v>
      </c>
      <c r="D10" s="27" t="s">
        <v>94</v>
      </c>
      <c r="E10" s="27" t="s">
        <v>88</v>
      </c>
      <c r="F10" s="29" t="n">
        <v>1000000</v>
      </c>
      <c r="G10" s="28" t="n">
        <v>46302</v>
      </c>
      <c r="H10" s="28"/>
      <c r="I10" s="27" t="s">
        <v>86</v>
      </c>
      <c r="J10" s="30" t="n">
        <f aca="false">IF(F10="","",G10-B10)</f>
        <v>30</v>
      </c>
      <c r="K10" s="31" t="n">
        <f aca="false">IF(F10="","",IF(H10&lt;&gt;"",H10,MAX('Vade Sapması'!$D$3,G10)))</f>
        <v>46302</v>
      </c>
      <c r="L10" s="30" t="n">
        <f aca="false">IF(F10="","",K10-B10)</f>
        <v>30</v>
      </c>
      <c r="M10" s="30" t="n">
        <f aca="false">IF(F10="","",L10-J10)</f>
        <v>0</v>
      </c>
      <c r="N10" s="32" t="str">
        <f aca="false">IF(F10="","",IF(H10&lt;&gt;"","Kapandı",IF('Vade Sapması'!$D$3&gt;G10,"Açık · vadesi geçti","Açık · vadesi gelmedi")))</f>
        <v>Açık · vadesi gelmedi</v>
      </c>
      <c r="O10" s="30" t="n">
        <f aca="false">IF(F10="","",IF(AND(H10="",'Vade Sapması'!$D$3&gt;G10),'Vade Sapması'!$D$3-G10,0))</f>
        <v>0</v>
      </c>
      <c r="P10" s="33" t="n">
        <f aca="false">IF(F10="","",F10*J10)</f>
        <v>30000000</v>
      </c>
      <c r="Q10" s="33" t="n">
        <f aca="false">IF(F10="","",F10*L10)</f>
        <v>30000000</v>
      </c>
      <c r="R10" s="33" t="n">
        <f aca="false">IF(F10="","",IF(H10="",F10,0))</f>
        <v>1000000</v>
      </c>
      <c r="S10" s="32" t="str">
        <f aca="false">IF(F10="","",IF(N(O10)=0,"",IF(O10&lt;=30,"1-30",IF(O10&lt;=60,"31-60",IF(O10&lt;=90,"61-90","90+")))))</f>
        <v/>
      </c>
      <c r="T10" s="32" t="str">
        <f aca="false">IF(F10="","",IF(E10="","Diğer",E10))</f>
        <v>Un</v>
      </c>
      <c r="U10" s="32" t="str">
        <f aca="false">IF(OR(F10="",C10=""),"",IF(COUNTIF($C$2:C10,C10)=1,MAX($U$1:U9)+1,""))</f>
        <v/>
      </c>
    </row>
    <row r="11" customFormat="false" ht="15" hidden="false" customHeight="false" outlineLevel="0" collapsed="false">
      <c r="A11" s="27" t="s">
        <v>98</v>
      </c>
      <c r="B11" s="28" t="n">
        <v>46112</v>
      </c>
      <c r="C11" s="27" t="s">
        <v>99</v>
      </c>
      <c r="D11" s="27" t="s">
        <v>100</v>
      </c>
      <c r="E11" s="27" t="s">
        <v>85</v>
      </c>
      <c r="F11" s="29" t="n">
        <v>1600000</v>
      </c>
      <c r="G11" s="28" t="n">
        <v>46172</v>
      </c>
      <c r="H11" s="28" t="n">
        <v>46172</v>
      </c>
      <c r="I11" s="27" t="s">
        <v>86</v>
      </c>
      <c r="J11" s="30" t="n">
        <f aca="false">IF(F11="","",G11-B11)</f>
        <v>60</v>
      </c>
      <c r="K11" s="31" t="n">
        <f aca="false">IF(F11="","",IF(H11&lt;&gt;"",H11,MAX('Vade Sapması'!$D$3,G11)))</f>
        <v>46172</v>
      </c>
      <c r="L11" s="30" t="n">
        <f aca="false">IF(F11="","",K11-B11)</f>
        <v>60</v>
      </c>
      <c r="M11" s="30" t="n">
        <f aca="false">IF(F11="","",L11-J11)</f>
        <v>0</v>
      </c>
      <c r="N11" s="32" t="str">
        <f aca="false">IF(F11="","",IF(H11&lt;&gt;"","Kapandı",IF('Vade Sapması'!$D$3&gt;G11,"Açık · vadesi geçti","Açık · vadesi gelmedi")))</f>
        <v>Kapandı</v>
      </c>
      <c r="O11" s="30" t="n">
        <f aca="false">IF(F11="","",IF(AND(H11="",'Vade Sapması'!$D$3&gt;G11),'Vade Sapması'!$D$3-G11,0))</f>
        <v>0</v>
      </c>
      <c r="P11" s="33" t="n">
        <f aca="false">IF(F11="","",F11*J11)</f>
        <v>96000000</v>
      </c>
      <c r="Q11" s="33" t="n">
        <f aca="false">IF(F11="","",F11*L11)</f>
        <v>96000000</v>
      </c>
      <c r="R11" s="33" t="n">
        <f aca="false">IF(F11="","",IF(H11="",F11,0))</f>
        <v>0</v>
      </c>
      <c r="S11" s="32" t="str">
        <f aca="false">IF(F11="","",IF(N(O11)=0,"",IF(O11&lt;=30,"1-30",IF(O11&lt;=60,"31-60",IF(O11&lt;=90,"61-90","90+")))))</f>
        <v/>
      </c>
      <c r="T11" s="32" t="str">
        <f aca="false">IF(F11="","",IF(E11="","Diğer",E11))</f>
        <v>Yem</v>
      </c>
      <c r="U11" s="32" t="n">
        <f aca="false">IF(OR(F11="",C11=""),"",IF(COUNTIF($C$2:C11,C11)=1,MAX($U$1:U10)+1,""))</f>
        <v>3</v>
      </c>
    </row>
    <row r="12" customFormat="false" ht="15" hidden="false" customHeight="false" outlineLevel="0" collapsed="false">
      <c r="A12" s="27" t="s">
        <v>101</v>
      </c>
      <c r="B12" s="28" t="n">
        <v>46162</v>
      </c>
      <c r="C12" s="27" t="s">
        <v>99</v>
      </c>
      <c r="D12" s="27" t="s">
        <v>100</v>
      </c>
      <c r="E12" s="27" t="s">
        <v>85</v>
      </c>
      <c r="F12" s="29" t="n">
        <v>1400000</v>
      </c>
      <c r="G12" s="28" t="n">
        <v>46222</v>
      </c>
      <c r="H12" s="28" t="n">
        <v>46224</v>
      </c>
      <c r="I12" s="27" t="s">
        <v>86</v>
      </c>
      <c r="J12" s="30" t="n">
        <f aca="false">IF(F12="","",G12-B12)</f>
        <v>60</v>
      </c>
      <c r="K12" s="31" t="n">
        <f aca="false">IF(F12="","",IF(H12&lt;&gt;"",H12,MAX('Vade Sapması'!$D$3,G12)))</f>
        <v>46224</v>
      </c>
      <c r="L12" s="30" t="n">
        <f aca="false">IF(F12="","",K12-B12)</f>
        <v>62</v>
      </c>
      <c r="M12" s="30" t="n">
        <f aca="false">IF(F12="","",L12-J12)</f>
        <v>2</v>
      </c>
      <c r="N12" s="32" t="str">
        <f aca="false">IF(F12="","",IF(H12&lt;&gt;"","Kapandı",IF('Vade Sapması'!$D$3&gt;G12,"Açık · vadesi geçti","Açık · vadesi gelmedi")))</f>
        <v>Kapandı</v>
      </c>
      <c r="O12" s="30" t="n">
        <f aca="false">IF(F12="","",IF(AND(H12="",'Vade Sapması'!$D$3&gt;G12),'Vade Sapması'!$D$3-G12,0))</f>
        <v>0</v>
      </c>
      <c r="P12" s="33" t="n">
        <f aca="false">IF(F12="","",F12*J12)</f>
        <v>84000000</v>
      </c>
      <c r="Q12" s="33" t="n">
        <f aca="false">IF(F12="","",F12*L12)</f>
        <v>86800000</v>
      </c>
      <c r="R12" s="33" t="n">
        <f aca="false">IF(F12="","",IF(H12="",F12,0))</f>
        <v>0</v>
      </c>
      <c r="S12" s="32" t="str">
        <f aca="false">IF(F12="","",IF(N(O12)=0,"",IF(O12&lt;=30,"1-30",IF(O12&lt;=60,"31-60",IF(O12&lt;=90,"61-90","90+")))))</f>
        <v/>
      </c>
      <c r="T12" s="32" t="str">
        <f aca="false">IF(F12="","",IF(E12="","Diğer",E12))</f>
        <v>Yem</v>
      </c>
      <c r="U12" s="32" t="str">
        <f aca="false">IF(OR(F12="",C12=""),"",IF(COUNTIF($C$2:C12,C12)=1,MAX($U$1:U11)+1,""))</f>
        <v/>
      </c>
    </row>
    <row r="13" customFormat="false" ht="15" hidden="false" customHeight="false" outlineLevel="0" collapsed="false">
      <c r="A13" s="27" t="s">
        <v>102</v>
      </c>
      <c r="B13" s="28" t="n">
        <v>46217</v>
      </c>
      <c r="C13" s="27" t="s">
        <v>99</v>
      </c>
      <c r="D13" s="27" t="s">
        <v>100</v>
      </c>
      <c r="E13" s="27" t="s">
        <v>85</v>
      </c>
      <c r="F13" s="29" t="n">
        <v>1500000</v>
      </c>
      <c r="G13" s="28" t="n">
        <v>46277</v>
      </c>
      <c r="H13" s="28"/>
      <c r="I13" s="27" t="s">
        <v>86</v>
      </c>
      <c r="J13" s="30" t="n">
        <f aca="false">IF(F13="","",G13-B13)</f>
        <v>60</v>
      </c>
      <c r="K13" s="31" t="n">
        <f aca="false">IF(F13="","",IF(H13&lt;&gt;"",H13,MAX('Vade Sapması'!$D$3,G13)))</f>
        <v>46292</v>
      </c>
      <c r="L13" s="30" t="n">
        <f aca="false">IF(F13="","",K13-B13)</f>
        <v>75</v>
      </c>
      <c r="M13" s="30" t="n">
        <f aca="false">IF(F13="","",L13-J13)</f>
        <v>15</v>
      </c>
      <c r="N13" s="32" t="str">
        <f aca="false">IF(F13="","",IF(H13&lt;&gt;"","Kapandı",IF('Vade Sapması'!$D$3&gt;G13,"Açık · vadesi geçti","Açık · vadesi gelmedi")))</f>
        <v>Açık · vadesi geçti</v>
      </c>
      <c r="O13" s="30" t="n">
        <f aca="false">IF(F13="","",IF(AND(H13="",'Vade Sapması'!$D$3&gt;G13),'Vade Sapması'!$D$3-G13,0))</f>
        <v>15</v>
      </c>
      <c r="P13" s="33" t="n">
        <f aca="false">IF(F13="","",F13*J13)</f>
        <v>90000000</v>
      </c>
      <c r="Q13" s="33" t="n">
        <f aca="false">IF(F13="","",F13*L13)</f>
        <v>112500000</v>
      </c>
      <c r="R13" s="33" t="n">
        <f aca="false">IF(F13="","",IF(H13="",F13,0))</f>
        <v>1500000</v>
      </c>
      <c r="S13" s="32" t="str">
        <f aca="false">IF(F13="","",IF(N(O13)=0,"",IF(O13&lt;=30,"1-30",IF(O13&lt;=60,"31-60",IF(O13&lt;=90,"61-90","90+")))))</f>
        <v>1-30</v>
      </c>
      <c r="T13" s="32" t="str">
        <f aca="false">IF(F13="","",IF(E13="","Diğer",E13))</f>
        <v>Yem</v>
      </c>
      <c r="U13" s="32" t="str">
        <f aca="false">IF(OR(F13="",C13=""),"",IF(COUNTIF($C$2:C13,C13)=1,MAX($U$1:U12)+1,""))</f>
        <v/>
      </c>
    </row>
    <row r="14" customFormat="false" ht="15" hidden="false" customHeight="false" outlineLevel="0" collapsed="false">
      <c r="A14" s="34"/>
      <c r="B14" s="9"/>
      <c r="C14" s="34"/>
      <c r="D14" s="34"/>
      <c r="E14" s="34"/>
      <c r="F14" s="35"/>
      <c r="G14" s="9"/>
      <c r="H14" s="9"/>
      <c r="I14" s="34"/>
      <c r="J14" s="30" t="str">
        <f aca="false">IF(F14="","",G14-B14)</f>
        <v/>
      </c>
      <c r="K14" s="31" t="str">
        <f aca="false">IF(F14="","",IF(H14&lt;&gt;"",H14,MAX('Vade Sapması'!$D$3,G14)))</f>
        <v/>
      </c>
      <c r="L14" s="30" t="str">
        <f aca="false">IF(F14="","",K14-B14)</f>
        <v/>
      </c>
      <c r="M14" s="30" t="str">
        <f aca="false">IF(F14="","",L14-J14)</f>
        <v/>
      </c>
      <c r="N14" s="32" t="str">
        <f aca="false">IF(F14="","",IF(H14&lt;&gt;"","Kapandı",IF('Vade Sapması'!$D$3&gt;G14,"Açık · vadesi geçti","Açık · vadesi gelmedi")))</f>
        <v/>
      </c>
      <c r="O14" s="30" t="str">
        <f aca="false">IF(F14="","",IF(AND(H14="",'Vade Sapması'!$D$3&gt;G14),'Vade Sapması'!$D$3-G14,0))</f>
        <v/>
      </c>
      <c r="P14" s="33" t="str">
        <f aca="false">IF(F14="","",F14*J14)</f>
        <v/>
      </c>
      <c r="Q14" s="33" t="str">
        <f aca="false">IF(F14="","",F14*L14)</f>
        <v/>
      </c>
      <c r="R14" s="33" t="str">
        <f aca="false">IF(F14="","",IF(H14="",F14,0))</f>
        <v/>
      </c>
      <c r="S14" s="32" t="str">
        <f aca="false">IF(F14="","",IF(N(O14)=0,"",IF(O14&lt;=30,"1-30",IF(O14&lt;=60,"31-60",IF(O14&lt;=90,"61-90","90+")))))</f>
        <v/>
      </c>
      <c r="T14" s="32" t="str">
        <f aca="false">IF(F14="","",IF(E14="","Diğer",E14))</f>
        <v/>
      </c>
      <c r="U14" s="32" t="str">
        <f aca="false">IF(OR(F14="",C14=""),"",IF(COUNTIF($C$2:C14,C14)=1,MAX($U$1:U13)+1,""))</f>
        <v/>
      </c>
    </row>
    <row r="15" customFormat="false" ht="15" hidden="false" customHeight="false" outlineLevel="0" collapsed="false">
      <c r="A15" s="34"/>
      <c r="B15" s="9"/>
      <c r="C15" s="34"/>
      <c r="D15" s="34"/>
      <c r="E15" s="34"/>
      <c r="F15" s="35"/>
      <c r="G15" s="9"/>
      <c r="H15" s="9"/>
      <c r="I15" s="34"/>
      <c r="J15" s="30" t="str">
        <f aca="false">IF(F15="","",G15-B15)</f>
        <v/>
      </c>
      <c r="K15" s="31" t="str">
        <f aca="false">IF(F15="","",IF(H15&lt;&gt;"",H15,MAX('Vade Sapması'!$D$3,G15)))</f>
        <v/>
      </c>
      <c r="L15" s="30" t="str">
        <f aca="false">IF(F15="","",K15-B15)</f>
        <v/>
      </c>
      <c r="M15" s="30" t="str">
        <f aca="false">IF(F15="","",L15-J15)</f>
        <v/>
      </c>
      <c r="N15" s="32" t="str">
        <f aca="false">IF(F15="","",IF(H15&lt;&gt;"","Kapandı",IF('Vade Sapması'!$D$3&gt;G15,"Açık · vadesi geçti","Açık · vadesi gelmedi")))</f>
        <v/>
      </c>
      <c r="O15" s="30" t="str">
        <f aca="false">IF(F15="","",IF(AND(H15="",'Vade Sapması'!$D$3&gt;G15),'Vade Sapması'!$D$3-G15,0))</f>
        <v/>
      </c>
      <c r="P15" s="33" t="str">
        <f aca="false">IF(F15="","",F15*J15)</f>
        <v/>
      </c>
      <c r="Q15" s="33" t="str">
        <f aca="false">IF(F15="","",F15*L15)</f>
        <v/>
      </c>
      <c r="R15" s="33" t="str">
        <f aca="false">IF(F15="","",IF(H15="",F15,0))</f>
        <v/>
      </c>
      <c r="S15" s="32" t="str">
        <f aca="false">IF(F15="","",IF(N(O15)=0,"",IF(O15&lt;=30,"1-30",IF(O15&lt;=60,"31-60",IF(O15&lt;=90,"61-90","90+")))))</f>
        <v/>
      </c>
      <c r="T15" s="32" t="str">
        <f aca="false">IF(F15="","",IF(E15="","Diğer",E15))</f>
        <v/>
      </c>
      <c r="U15" s="32" t="str">
        <f aca="false">IF(OR(F15="",C15=""),"",IF(COUNTIF($C$2:C15,C15)=1,MAX($U$1:U14)+1,""))</f>
        <v/>
      </c>
    </row>
    <row r="16" customFormat="false" ht="15" hidden="false" customHeight="false" outlineLevel="0" collapsed="false">
      <c r="A16" s="34"/>
      <c r="B16" s="9"/>
      <c r="C16" s="34"/>
      <c r="D16" s="34"/>
      <c r="E16" s="34"/>
      <c r="F16" s="35"/>
      <c r="G16" s="9"/>
      <c r="H16" s="9"/>
      <c r="I16" s="34"/>
      <c r="J16" s="30" t="str">
        <f aca="false">IF(F16="","",G16-B16)</f>
        <v/>
      </c>
      <c r="K16" s="31" t="str">
        <f aca="false">IF(F16="","",IF(H16&lt;&gt;"",H16,MAX('Vade Sapması'!$D$3,G16)))</f>
        <v/>
      </c>
      <c r="L16" s="30" t="str">
        <f aca="false">IF(F16="","",K16-B16)</f>
        <v/>
      </c>
      <c r="M16" s="30" t="str">
        <f aca="false">IF(F16="","",L16-J16)</f>
        <v/>
      </c>
      <c r="N16" s="32" t="str">
        <f aca="false">IF(F16="","",IF(H16&lt;&gt;"","Kapandı",IF('Vade Sapması'!$D$3&gt;G16,"Açık · vadesi geçti","Açık · vadesi gelmedi")))</f>
        <v/>
      </c>
      <c r="O16" s="30" t="str">
        <f aca="false">IF(F16="","",IF(AND(H16="",'Vade Sapması'!$D$3&gt;G16),'Vade Sapması'!$D$3-G16,0))</f>
        <v/>
      </c>
      <c r="P16" s="33" t="str">
        <f aca="false">IF(F16="","",F16*J16)</f>
        <v/>
      </c>
      <c r="Q16" s="33" t="str">
        <f aca="false">IF(F16="","",F16*L16)</f>
        <v/>
      </c>
      <c r="R16" s="33" t="str">
        <f aca="false">IF(F16="","",IF(H16="",F16,0))</f>
        <v/>
      </c>
      <c r="S16" s="32" t="str">
        <f aca="false">IF(F16="","",IF(N(O16)=0,"",IF(O16&lt;=30,"1-30",IF(O16&lt;=60,"31-60",IF(O16&lt;=90,"61-90","90+")))))</f>
        <v/>
      </c>
      <c r="T16" s="32" t="str">
        <f aca="false">IF(F16="","",IF(E16="","Diğer",E16))</f>
        <v/>
      </c>
      <c r="U16" s="32" t="str">
        <f aca="false">IF(OR(F16="",C16=""),"",IF(COUNTIF($C$2:C16,C16)=1,MAX($U$1:U15)+1,""))</f>
        <v/>
      </c>
    </row>
    <row r="17" customFormat="false" ht="15" hidden="false" customHeight="false" outlineLevel="0" collapsed="false">
      <c r="A17" s="34"/>
      <c r="B17" s="9"/>
      <c r="C17" s="34"/>
      <c r="D17" s="34"/>
      <c r="E17" s="34"/>
      <c r="F17" s="35"/>
      <c r="G17" s="9"/>
      <c r="H17" s="9"/>
      <c r="I17" s="34"/>
      <c r="J17" s="30" t="str">
        <f aca="false">IF(F17="","",G17-B17)</f>
        <v/>
      </c>
      <c r="K17" s="31" t="str">
        <f aca="false">IF(F17="","",IF(H17&lt;&gt;"",H17,MAX('Vade Sapması'!$D$3,G17)))</f>
        <v/>
      </c>
      <c r="L17" s="30" t="str">
        <f aca="false">IF(F17="","",K17-B17)</f>
        <v/>
      </c>
      <c r="M17" s="30" t="str">
        <f aca="false">IF(F17="","",L17-J17)</f>
        <v/>
      </c>
      <c r="N17" s="32" t="str">
        <f aca="false">IF(F17="","",IF(H17&lt;&gt;"","Kapandı",IF('Vade Sapması'!$D$3&gt;G17,"Açık · vadesi geçti","Açık · vadesi gelmedi")))</f>
        <v/>
      </c>
      <c r="O17" s="30" t="str">
        <f aca="false">IF(F17="","",IF(AND(H17="",'Vade Sapması'!$D$3&gt;G17),'Vade Sapması'!$D$3-G17,0))</f>
        <v/>
      </c>
      <c r="P17" s="33" t="str">
        <f aca="false">IF(F17="","",F17*J17)</f>
        <v/>
      </c>
      <c r="Q17" s="33" t="str">
        <f aca="false">IF(F17="","",F17*L17)</f>
        <v/>
      </c>
      <c r="R17" s="33" t="str">
        <f aca="false">IF(F17="","",IF(H17="",F17,0))</f>
        <v/>
      </c>
      <c r="S17" s="32" t="str">
        <f aca="false">IF(F17="","",IF(N(O17)=0,"",IF(O17&lt;=30,"1-30",IF(O17&lt;=60,"31-60",IF(O17&lt;=90,"61-90","90+")))))</f>
        <v/>
      </c>
      <c r="T17" s="32" t="str">
        <f aca="false">IF(F17="","",IF(E17="","Diğer",E17))</f>
        <v/>
      </c>
      <c r="U17" s="32" t="str">
        <f aca="false">IF(OR(F17="",C17=""),"",IF(COUNTIF($C$2:C17,C17)=1,MAX($U$1:U16)+1,""))</f>
        <v/>
      </c>
    </row>
    <row r="18" customFormat="false" ht="15" hidden="false" customHeight="false" outlineLevel="0" collapsed="false">
      <c r="A18" s="34"/>
      <c r="B18" s="9"/>
      <c r="C18" s="34"/>
      <c r="D18" s="34"/>
      <c r="E18" s="34"/>
      <c r="F18" s="35"/>
      <c r="G18" s="9"/>
      <c r="H18" s="9"/>
      <c r="I18" s="34"/>
      <c r="J18" s="30" t="str">
        <f aca="false">IF(F18="","",G18-B18)</f>
        <v/>
      </c>
      <c r="K18" s="31" t="str">
        <f aca="false">IF(F18="","",IF(H18&lt;&gt;"",H18,MAX('Vade Sapması'!$D$3,G18)))</f>
        <v/>
      </c>
      <c r="L18" s="30" t="str">
        <f aca="false">IF(F18="","",K18-B18)</f>
        <v/>
      </c>
      <c r="M18" s="30" t="str">
        <f aca="false">IF(F18="","",L18-J18)</f>
        <v/>
      </c>
      <c r="N18" s="32" t="str">
        <f aca="false">IF(F18="","",IF(H18&lt;&gt;"","Kapandı",IF('Vade Sapması'!$D$3&gt;G18,"Açık · vadesi geçti","Açık · vadesi gelmedi")))</f>
        <v/>
      </c>
      <c r="O18" s="30" t="str">
        <f aca="false">IF(F18="","",IF(AND(H18="",'Vade Sapması'!$D$3&gt;G18),'Vade Sapması'!$D$3-G18,0))</f>
        <v/>
      </c>
      <c r="P18" s="33" t="str">
        <f aca="false">IF(F18="","",F18*J18)</f>
        <v/>
      </c>
      <c r="Q18" s="33" t="str">
        <f aca="false">IF(F18="","",F18*L18)</f>
        <v/>
      </c>
      <c r="R18" s="33" t="str">
        <f aca="false">IF(F18="","",IF(H18="",F18,0))</f>
        <v/>
      </c>
      <c r="S18" s="32" t="str">
        <f aca="false">IF(F18="","",IF(N(O18)=0,"",IF(O18&lt;=30,"1-30",IF(O18&lt;=60,"31-60",IF(O18&lt;=90,"61-90","90+")))))</f>
        <v/>
      </c>
      <c r="T18" s="32" t="str">
        <f aca="false">IF(F18="","",IF(E18="","Diğer",E18))</f>
        <v/>
      </c>
      <c r="U18" s="32" t="str">
        <f aca="false">IF(OR(F18="",C18=""),"",IF(COUNTIF($C$2:C18,C18)=1,MAX($U$1:U17)+1,""))</f>
        <v/>
      </c>
    </row>
    <row r="19" customFormat="false" ht="15" hidden="false" customHeight="false" outlineLevel="0" collapsed="false">
      <c r="A19" s="34"/>
      <c r="B19" s="9"/>
      <c r="C19" s="34"/>
      <c r="D19" s="34"/>
      <c r="E19" s="34"/>
      <c r="F19" s="35"/>
      <c r="G19" s="9"/>
      <c r="H19" s="9"/>
      <c r="I19" s="34"/>
      <c r="J19" s="30" t="str">
        <f aca="false">IF(F19="","",G19-B19)</f>
        <v/>
      </c>
      <c r="K19" s="31" t="str">
        <f aca="false">IF(F19="","",IF(H19&lt;&gt;"",H19,MAX('Vade Sapması'!$D$3,G19)))</f>
        <v/>
      </c>
      <c r="L19" s="30" t="str">
        <f aca="false">IF(F19="","",K19-B19)</f>
        <v/>
      </c>
      <c r="M19" s="30" t="str">
        <f aca="false">IF(F19="","",L19-J19)</f>
        <v/>
      </c>
      <c r="N19" s="32" t="str">
        <f aca="false">IF(F19="","",IF(H19&lt;&gt;"","Kapandı",IF('Vade Sapması'!$D$3&gt;G19,"Açık · vadesi geçti","Açık · vadesi gelmedi")))</f>
        <v/>
      </c>
      <c r="O19" s="30" t="str">
        <f aca="false">IF(F19="","",IF(AND(H19="",'Vade Sapması'!$D$3&gt;G19),'Vade Sapması'!$D$3-G19,0))</f>
        <v/>
      </c>
      <c r="P19" s="33" t="str">
        <f aca="false">IF(F19="","",F19*J19)</f>
        <v/>
      </c>
      <c r="Q19" s="33" t="str">
        <f aca="false">IF(F19="","",F19*L19)</f>
        <v/>
      </c>
      <c r="R19" s="33" t="str">
        <f aca="false">IF(F19="","",IF(H19="",F19,0))</f>
        <v/>
      </c>
      <c r="S19" s="32" t="str">
        <f aca="false">IF(F19="","",IF(N(O19)=0,"",IF(O19&lt;=30,"1-30",IF(O19&lt;=60,"31-60",IF(O19&lt;=90,"61-90","90+")))))</f>
        <v/>
      </c>
      <c r="T19" s="32" t="str">
        <f aca="false">IF(F19="","",IF(E19="","Diğer",E19))</f>
        <v/>
      </c>
      <c r="U19" s="32" t="str">
        <f aca="false">IF(OR(F19="",C19=""),"",IF(COUNTIF($C$2:C19,C19)=1,MAX($U$1:U18)+1,""))</f>
        <v/>
      </c>
    </row>
    <row r="20" customFormat="false" ht="15" hidden="false" customHeight="false" outlineLevel="0" collapsed="false">
      <c r="A20" s="34"/>
      <c r="B20" s="9"/>
      <c r="C20" s="34"/>
      <c r="D20" s="34"/>
      <c r="E20" s="34"/>
      <c r="F20" s="35"/>
      <c r="G20" s="9"/>
      <c r="H20" s="9"/>
      <c r="I20" s="34"/>
      <c r="J20" s="30" t="str">
        <f aca="false">IF(F20="","",G20-B20)</f>
        <v/>
      </c>
      <c r="K20" s="31" t="str">
        <f aca="false">IF(F20="","",IF(H20&lt;&gt;"",H20,MAX('Vade Sapması'!$D$3,G20)))</f>
        <v/>
      </c>
      <c r="L20" s="30" t="str">
        <f aca="false">IF(F20="","",K20-B20)</f>
        <v/>
      </c>
      <c r="M20" s="30" t="str">
        <f aca="false">IF(F20="","",L20-J20)</f>
        <v/>
      </c>
      <c r="N20" s="32" t="str">
        <f aca="false">IF(F20="","",IF(H20&lt;&gt;"","Kapandı",IF('Vade Sapması'!$D$3&gt;G20,"Açık · vadesi geçti","Açık · vadesi gelmedi")))</f>
        <v/>
      </c>
      <c r="O20" s="30" t="str">
        <f aca="false">IF(F20="","",IF(AND(H20="",'Vade Sapması'!$D$3&gt;G20),'Vade Sapması'!$D$3-G20,0))</f>
        <v/>
      </c>
      <c r="P20" s="33" t="str">
        <f aca="false">IF(F20="","",F20*J20)</f>
        <v/>
      </c>
      <c r="Q20" s="33" t="str">
        <f aca="false">IF(F20="","",F20*L20)</f>
        <v/>
      </c>
      <c r="R20" s="33" t="str">
        <f aca="false">IF(F20="","",IF(H20="",F20,0))</f>
        <v/>
      </c>
      <c r="S20" s="32" t="str">
        <f aca="false">IF(F20="","",IF(N(O20)=0,"",IF(O20&lt;=30,"1-30",IF(O20&lt;=60,"31-60",IF(O20&lt;=90,"61-90","90+")))))</f>
        <v/>
      </c>
      <c r="T20" s="32" t="str">
        <f aca="false">IF(F20="","",IF(E20="","Diğer",E20))</f>
        <v/>
      </c>
      <c r="U20" s="32" t="str">
        <f aca="false">IF(OR(F20="",C20=""),"",IF(COUNTIF($C$2:C20,C20)=1,MAX($U$1:U19)+1,""))</f>
        <v/>
      </c>
    </row>
    <row r="21" customFormat="false" ht="15" hidden="false" customHeight="false" outlineLevel="0" collapsed="false">
      <c r="A21" s="34"/>
      <c r="B21" s="9"/>
      <c r="C21" s="34"/>
      <c r="D21" s="34"/>
      <c r="E21" s="34"/>
      <c r="F21" s="35"/>
      <c r="G21" s="9"/>
      <c r="H21" s="9"/>
      <c r="I21" s="34"/>
      <c r="J21" s="30" t="str">
        <f aca="false">IF(F21="","",G21-B21)</f>
        <v/>
      </c>
      <c r="K21" s="31" t="str">
        <f aca="false">IF(F21="","",IF(H21&lt;&gt;"",H21,MAX('Vade Sapması'!$D$3,G21)))</f>
        <v/>
      </c>
      <c r="L21" s="30" t="str">
        <f aca="false">IF(F21="","",K21-B21)</f>
        <v/>
      </c>
      <c r="M21" s="30" t="str">
        <f aca="false">IF(F21="","",L21-J21)</f>
        <v/>
      </c>
      <c r="N21" s="32" t="str">
        <f aca="false">IF(F21="","",IF(H21&lt;&gt;"","Kapandı",IF('Vade Sapması'!$D$3&gt;G21,"Açık · vadesi geçti","Açık · vadesi gelmedi")))</f>
        <v/>
      </c>
      <c r="O21" s="30" t="str">
        <f aca="false">IF(F21="","",IF(AND(H21="",'Vade Sapması'!$D$3&gt;G21),'Vade Sapması'!$D$3-G21,0))</f>
        <v/>
      </c>
      <c r="P21" s="33" t="str">
        <f aca="false">IF(F21="","",F21*J21)</f>
        <v/>
      </c>
      <c r="Q21" s="33" t="str">
        <f aca="false">IF(F21="","",F21*L21)</f>
        <v/>
      </c>
      <c r="R21" s="33" t="str">
        <f aca="false">IF(F21="","",IF(H21="",F21,0))</f>
        <v/>
      </c>
      <c r="S21" s="32" t="str">
        <f aca="false">IF(F21="","",IF(N(O21)=0,"",IF(O21&lt;=30,"1-30",IF(O21&lt;=60,"31-60",IF(O21&lt;=90,"61-90","90+")))))</f>
        <v/>
      </c>
      <c r="T21" s="32" t="str">
        <f aca="false">IF(F21="","",IF(E21="","Diğer",E21))</f>
        <v/>
      </c>
      <c r="U21" s="32" t="str">
        <f aca="false">IF(OR(F21="",C21=""),"",IF(COUNTIF($C$2:C21,C21)=1,MAX($U$1:U20)+1,""))</f>
        <v/>
      </c>
    </row>
    <row r="22" customFormat="false" ht="15" hidden="false" customHeight="false" outlineLevel="0" collapsed="false">
      <c r="A22" s="34"/>
      <c r="B22" s="9"/>
      <c r="C22" s="34"/>
      <c r="D22" s="34"/>
      <c r="E22" s="34"/>
      <c r="F22" s="35"/>
      <c r="G22" s="9"/>
      <c r="H22" s="9"/>
      <c r="I22" s="34"/>
      <c r="J22" s="30" t="str">
        <f aca="false">IF(F22="","",G22-B22)</f>
        <v/>
      </c>
      <c r="K22" s="31" t="str">
        <f aca="false">IF(F22="","",IF(H22&lt;&gt;"",H22,MAX('Vade Sapması'!$D$3,G22)))</f>
        <v/>
      </c>
      <c r="L22" s="30" t="str">
        <f aca="false">IF(F22="","",K22-B22)</f>
        <v/>
      </c>
      <c r="M22" s="30" t="str">
        <f aca="false">IF(F22="","",L22-J22)</f>
        <v/>
      </c>
      <c r="N22" s="32" t="str">
        <f aca="false">IF(F22="","",IF(H22&lt;&gt;"","Kapandı",IF('Vade Sapması'!$D$3&gt;G22,"Açık · vadesi geçti","Açık · vadesi gelmedi")))</f>
        <v/>
      </c>
      <c r="O22" s="30" t="str">
        <f aca="false">IF(F22="","",IF(AND(H22="",'Vade Sapması'!$D$3&gt;G22),'Vade Sapması'!$D$3-G22,0))</f>
        <v/>
      </c>
      <c r="P22" s="33" t="str">
        <f aca="false">IF(F22="","",F22*J22)</f>
        <v/>
      </c>
      <c r="Q22" s="33" t="str">
        <f aca="false">IF(F22="","",F22*L22)</f>
        <v/>
      </c>
      <c r="R22" s="33" t="str">
        <f aca="false">IF(F22="","",IF(H22="",F22,0))</f>
        <v/>
      </c>
      <c r="S22" s="32" t="str">
        <f aca="false">IF(F22="","",IF(N(O22)=0,"",IF(O22&lt;=30,"1-30",IF(O22&lt;=60,"31-60",IF(O22&lt;=90,"61-90","90+")))))</f>
        <v/>
      </c>
      <c r="T22" s="32" t="str">
        <f aca="false">IF(F22="","",IF(E22="","Diğer",E22))</f>
        <v/>
      </c>
      <c r="U22" s="32" t="str">
        <f aca="false">IF(OR(F22="",C22=""),"",IF(COUNTIF($C$2:C22,C22)=1,MAX($U$1:U21)+1,""))</f>
        <v/>
      </c>
    </row>
    <row r="23" customFormat="false" ht="15" hidden="false" customHeight="false" outlineLevel="0" collapsed="false">
      <c r="A23" s="34"/>
      <c r="B23" s="9"/>
      <c r="C23" s="34"/>
      <c r="D23" s="34"/>
      <c r="E23" s="34"/>
      <c r="F23" s="35"/>
      <c r="G23" s="9"/>
      <c r="H23" s="9"/>
      <c r="I23" s="34"/>
      <c r="J23" s="30" t="str">
        <f aca="false">IF(F23="","",G23-B23)</f>
        <v/>
      </c>
      <c r="K23" s="31" t="str">
        <f aca="false">IF(F23="","",IF(H23&lt;&gt;"",H23,MAX('Vade Sapması'!$D$3,G23)))</f>
        <v/>
      </c>
      <c r="L23" s="30" t="str">
        <f aca="false">IF(F23="","",K23-B23)</f>
        <v/>
      </c>
      <c r="M23" s="30" t="str">
        <f aca="false">IF(F23="","",L23-J23)</f>
        <v/>
      </c>
      <c r="N23" s="32" t="str">
        <f aca="false">IF(F23="","",IF(H23&lt;&gt;"","Kapandı",IF('Vade Sapması'!$D$3&gt;G23,"Açık · vadesi geçti","Açık · vadesi gelmedi")))</f>
        <v/>
      </c>
      <c r="O23" s="30" t="str">
        <f aca="false">IF(F23="","",IF(AND(H23="",'Vade Sapması'!$D$3&gt;G23),'Vade Sapması'!$D$3-G23,0))</f>
        <v/>
      </c>
      <c r="P23" s="33" t="str">
        <f aca="false">IF(F23="","",F23*J23)</f>
        <v/>
      </c>
      <c r="Q23" s="33" t="str">
        <f aca="false">IF(F23="","",F23*L23)</f>
        <v/>
      </c>
      <c r="R23" s="33" t="str">
        <f aca="false">IF(F23="","",IF(H23="",F23,0))</f>
        <v/>
      </c>
      <c r="S23" s="32" t="str">
        <f aca="false">IF(F23="","",IF(N(O23)=0,"",IF(O23&lt;=30,"1-30",IF(O23&lt;=60,"31-60",IF(O23&lt;=90,"61-90","90+")))))</f>
        <v/>
      </c>
      <c r="T23" s="32" t="str">
        <f aca="false">IF(F23="","",IF(E23="","Diğer",E23))</f>
        <v/>
      </c>
      <c r="U23" s="32" t="str">
        <f aca="false">IF(OR(F23="",C23=""),"",IF(COUNTIF($C$2:C23,C23)=1,MAX($U$1:U22)+1,""))</f>
        <v/>
      </c>
    </row>
    <row r="24" customFormat="false" ht="15" hidden="false" customHeight="false" outlineLevel="0" collapsed="false">
      <c r="A24" s="34"/>
      <c r="B24" s="9"/>
      <c r="C24" s="34"/>
      <c r="D24" s="34"/>
      <c r="E24" s="34"/>
      <c r="F24" s="35"/>
      <c r="G24" s="9"/>
      <c r="H24" s="9"/>
      <c r="I24" s="34"/>
      <c r="J24" s="30" t="str">
        <f aca="false">IF(F24="","",G24-B24)</f>
        <v/>
      </c>
      <c r="K24" s="31" t="str">
        <f aca="false">IF(F24="","",IF(H24&lt;&gt;"",H24,MAX('Vade Sapması'!$D$3,G24)))</f>
        <v/>
      </c>
      <c r="L24" s="30" t="str">
        <f aca="false">IF(F24="","",K24-B24)</f>
        <v/>
      </c>
      <c r="M24" s="30" t="str">
        <f aca="false">IF(F24="","",L24-J24)</f>
        <v/>
      </c>
      <c r="N24" s="32" t="str">
        <f aca="false">IF(F24="","",IF(H24&lt;&gt;"","Kapandı",IF('Vade Sapması'!$D$3&gt;G24,"Açık · vadesi geçti","Açık · vadesi gelmedi")))</f>
        <v/>
      </c>
      <c r="O24" s="30" t="str">
        <f aca="false">IF(F24="","",IF(AND(H24="",'Vade Sapması'!$D$3&gt;G24),'Vade Sapması'!$D$3-G24,0))</f>
        <v/>
      </c>
      <c r="P24" s="33" t="str">
        <f aca="false">IF(F24="","",F24*J24)</f>
        <v/>
      </c>
      <c r="Q24" s="33" t="str">
        <f aca="false">IF(F24="","",F24*L24)</f>
        <v/>
      </c>
      <c r="R24" s="33" t="str">
        <f aca="false">IF(F24="","",IF(H24="",F24,0))</f>
        <v/>
      </c>
      <c r="S24" s="32" t="str">
        <f aca="false">IF(F24="","",IF(N(O24)=0,"",IF(O24&lt;=30,"1-30",IF(O24&lt;=60,"31-60",IF(O24&lt;=90,"61-90","90+")))))</f>
        <v/>
      </c>
      <c r="T24" s="32" t="str">
        <f aca="false">IF(F24="","",IF(E24="","Diğer",E24))</f>
        <v/>
      </c>
      <c r="U24" s="32" t="str">
        <f aca="false">IF(OR(F24="",C24=""),"",IF(COUNTIF($C$2:C24,C24)=1,MAX($U$1:U23)+1,""))</f>
        <v/>
      </c>
    </row>
    <row r="25" customFormat="false" ht="15" hidden="false" customHeight="false" outlineLevel="0" collapsed="false">
      <c r="A25" s="34"/>
      <c r="B25" s="9"/>
      <c r="C25" s="34"/>
      <c r="D25" s="34"/>
      <c r="E25" s="34"/>
      <c r="F25" s="35"/>
      <c r="G25" s="9"/>
      <c r="H25" s="9"/>
      <c r="I25" s="34"/>
      <c r="J25" s="30" t="str">
        <f aca="false">IF(F25="","",G25-B25)</f>
        <v/>
      </c>
      <c r="K25" s="31" t="str">
        <f aca="false">IF(F25="","",IF(H25&lt;&gt;"",H25,MAX('Vade Sapması'!$D$3,G25)))</f>
        <v/>
      </c>
      <c r="L25" s="30" t="str">
        <f aca="false">IF(F25="","",K25-B25)</f>
        <v/>
      </c>
      <c r="M25" s="30" t="str">
        <f aca="false">IF(F25="","",L25-J25)</f>
        <v/>
      </c>
      <c r="N25" s="32" t="str">
        <f aca="false">IF(F25="","",IF(H25&lt;&gt;"","Kapandı",IF('Vade Sapması'!$D$3&gt;G25,"Açık · vadesi geçti","Açık · vadesi gelmedi")))</f>
        <v/>
      </c>
      <c r="O25" s="30" t="str">
        <f aca="false">IF(F25="","",IF(AND(H25="",'Vade Sapması'!$D$3&gt;G25),'Vade Sapması'!$D$3-G25,0))</f>
        <v/>
      </c>
      <c r="P25" s="33" t="str">
        <f aca="false">IF(F25="","",F25*J25)</f>
        <v/>
      </c>
      <c r="Q25" s="33" t="str">
        <f aca="false">IF(F25="","",F25*L25)</f>
        <v/>
      </c>
      <c r="R25" s="33" t="str">
        <f aca="false">IF(F25="","",IF(H25="",F25,0))</f>
        <v/>
      </c>
      <c r="S25" s="32" t="str">
        <f aca="false">IF(F25="","",IF(N(O25)=0,"",IF(O25&lt;=30,"1-30",IF(O25&lt;=60,"31-60",IF(O25&lt;=90,"61-90","90+")))))</f>
        <v/>
      </c>
      <c r="T25" s="32" t="str">
        <f aca="false">IF(F25="","",IF(E25="","Diğer",E25))</f>
        <v/>
      </c>
      <c r="U25" s="32" t="str">
        <f aca="false">IF(OR(F25="",C25=""),"",IF(COUNTIF($C$2:C25,C25)=1,MAX($U$1:U24)+1,""))</f>
        <v/>
      </c>
    </row>
    <row r="26" customFormat="false" ht="15" hidden="false" customHeight="false" outlineLevel="0" collapsed="false">
      <c r="A26" s="34"/>
      <c r="B26" s="9"/>
      <c r="C26" s="34"/>
      <c r="D26" s="34"/>
      <c r="E26" s="34"/>
      <c r="F26" s="35"/>
      <c r="G26" s="9"/>
      <c r="H26" s="9"/>
      <c r="I26" s="34"/>
      <c r="J26" s="30" t="str">
        <f aca="false">IF(F26="","",G26-B26)</f>
        <v/>
      </c>
      <c r="K26" s="31" t="str">
        <f aca="false">IF(F26="","",IF(H26&lt;&gt;"",H26,MAX('Vade Sapması'!$D$3,G26)))</f>
        <v/>
      </c>
      <c r="L26" s="30" t="str">
        <f aca="false">IF(F26="","",K26-B26)</f>
        <v/>
      </c>
      <c r="M26" s="30" t="str">
        <f aca="false">IF(F26="","",L26-J26)</f>
        <v/>
      </c>
      <c r="N26" s="32" t="str">
        <f aca="false">IF(F26="","",IF(H26&lt;&gt;"","Kapandı",IF('Vade Sapması'!$D$3&gt;G26,"Açık · vadesi geçti","Açık · vadesi gelmedi")))</f>
        <v/>
      </c>
      <c r="O26" s="30" t="str">
        <f aca="false">IF(F26="","",IF(AND(H26="",'Vade Sapması'!$D$3&gt;G26),'Vade Sapması'!$D$3-G26,0))</f>
        <v/>
      </c>
      <c r="P26" s="33" t="str">
        <f aca="false">IF(F26="","",F26*J26)</f>
        <v/>
      </c>
      <c r="Q26" s="33" t="str">
        <f aca="false">IF(F26="","",F26*L26)</f>
        <v/>
      </c>
      <c r="R26" s="33" t="str">
        <f aca="false">IF(F26="","",IF(H26="",F26,0))</f>
        <v/>
      </c>
      <c r="S26" s="32" t="str">
        <f aca="false">IF(F26="","",IF(N(O26)=0,"",IF(O26&lt;=30,"1-30",IF(O26&lt;=60,"31-60",IF(O26&lt;=90,"61-90","90+")))))</f>
        <v/>
      </c>
      <c r="T26" s="32" t="str">
        <f aca="false">IF(F26="","",IF(E26="","Diğer",E26))</f>
        <v/>
      </c>
      <c r="U26" s="32" t="str">
        <f aca="false">IF(OR(F26="",C26=""),"",IF(COUNTIF($C$2:C26,C26)=1,MAX($U$1:U25)+1,""))</f>
        <v/>
      </c>
    </row>
    <row r="27" customFormat="false" ht="15" hidden="false" customHeight="false" outlineLevel="0" collapsed="false">
      <c r="A27" s="34"/>
      <c r="B27" s="9"/>
      <c r="C27" s="34"/>
      <c r="D27" s="34"/>
      <c r="E27" s="34"/>
      <c r="F27" s="35"/>
      <c r="G27" s="9"/>
      <c r="H27" s="9"/>
      <c r="I27" s="34"/>
      <c r="J27" s="30" t="str">
        <f aca="false">IF(F27="","",G27-B27)</f>
        <v/>
      </c>
      <c r="K27" s="31" t="str">
        <f aca="false">IF(F27="","",IF(H27&lt;&gt;"",H27,MAX('Vade Sapması'!$D$3,G27)))</f>
        <v/>
      </c>
      <c r="L27" s="30" t="str">
        <f aca="false">IF(F27="","",K27-B27)</f>
        <v/>
      </c>
      <c r="M27" s="30" t="str">
        <f aca="false">IF(F27="","",L27-J27)</f>
        <v/>
      </c>
      <c r="N27" s="32" t="str">
        <f aca="false">IF(F27="","",IF(H27&lt;&gt;"","Kapandı",IF('Vade Sapması'!$D$3&gt;G27,"Açık · vadesi geçti","Açık · vadesi gelmedi")))</f>
        <v/>
      </c>
      <c r="O27" s="30" t="str">
        <f aca="false">IF(F27="","",IF(AND(H27="",'Vade Sapması'!$D$3&gt;G27),'Vade Sapması'!$D$3-G27,0))</f>
        <v/>
      </c>
      <c r="P27" s="33" t="str">
        <f aca="false">IF(F27="","",F27*J27)</f>
        <v/>
      </c>
      <c r="Q27" s="33" t="str">
        <f aca="false">IF(F27="","",F27*L27)</f>
        <v/>
      </c>
      <c r="R27" s="33" t="str">
        <f aca="false">IF(F27="","",IF(H27="",F27,0))</f>
        <v/>
      </c>
      <c r="S27" s="32" t="str">
        <f aca="false">IF(F27="","",IF(N(O27)=0,"",IF(O27&lt;=30,"1-30",IF(O27&lt;=60,"31-60",IF(O27&lt;=90,"61-90","90+")))))</f>
        <v/>
      </c>
      <c r="T27" s="32" t="str">
        <f aca="false">IF(F27="","",IF(E27="","Diğer",E27))</f>
        <v/>
      </c>
      <c r="U27" s="32" t="str">
        <f aca="false">IF(OR(F27="",C27=""),"",IF(COUNTIF($C$2:C27,C27)=1,MAX($U$1:U26)+1,""))</f>
        <v/>
      </c>
    </row>
    <row r="28" customFormat="false" ht="15" hidden="false" customHeight="false" outlineLevel="0" collapsed="false">
      <c r="A28" s="34"/>
      <c r="B28" s="9"/>
      <c r="C28" s="34"/>
      <c r="D28" s="34"/>
      <c r="E28" s="34"/>
      <c r="F28" s="35"/>
      <c r="G28" s="9"/>
      <c r="H28" s="9"/>
      <c r="I28" s="34"/>
      <c r="J28" s="30" t="str">
        <f aca="false">IF(F28="","",G28-B28)</f>
        <v/>
      </c>
      <c r="K28" s="31" t="str">
        <f aca="false">IF(F28="","",IF(H28&lt;&gt;"",H28,MAX('Vade Sapması'!$D$3,G28)))</f>
        <v/>
      </c>
      <c r="L28" s="30" t="str">
        <f aca="false">IF(F28="","",K28-B28)</f>
        <v/>
      </c>
      <c r="M28" s="30" t="str">
        <f aca="false">IF(F28="","",L28-J28)</f>
        <v/>
      </c>
      <c r="N28" s="32" t="str">
        <f aca="false">IF(F28="","",IF(H28&lt;&gt;"","Kapandı",IF('Vade Sapması'!$D$3&gt;G28,"Açık · vadesi geçti","Açık · vadesi gelmedi")))</f>
        <v/>
      </c>
      <c r="O28" s="30" t="str">
        <f aca="false">IF(F28="","",IF(AND(H28="",'Vade Sapması'!$D$3&gt;G28),'Vade Sapması'!$D$3-G28,0))</f>
        <v/>
      </c>
      <c r="P28" s="33" t="str">
        <f aca="false">IF(F28="","",F28*J28)</f>
        <v/>
      </c>
      <c r="Q28" s="33" t="str">
        <f aca="false">IF(F28="","",F28*L28)</f>
        <v/>
      </c>
      <c r="R28" s="33" t="str">
        <f aca="false">IF(F28="","",IF(H28="",F28,0))</f>
        <v/>
      </c>
      <c r="S28" s="32" t="str">
        <f aca="false">IF(F28="","",IF(N(O28)=0,"",IF(O28&lt;=30,"1-30",IF(O28&lt;=60,"31-60",IF(O28&lt;=90,"61-90","90+")))))</f>
        <v/>
      </c>
      <c r="T28" s="32" t="str">
        <f aca="false">IF(F28="","",IF(E28="","Diğer",E28))</f>
        <v/>
      </c>
      <c r="U28" s="32" t="str">
        <f aca="false">IF(OR(F28="",C28=""),"",IF(COUNTIF($C$2:C28,C28)=1,MAX($U$1:U27)+1,""))</f>
        <v/>
      </c>
    </row>
    <row r="29" customFormat="false" ht="15" hidden="false" customHeight="false" outlineLevel="0" collapsed="false">
      <c r="A29" s="34"/>
      <c r="B29" s="9"/>
      <c r="C29" s="34"/>
      <c r="D29" s="34"/>
      <c r="E29" s="34"/>
      <c r="F29" s="35"/>
      <c r="G29" s="9"/>
      <c r="H29" s="9"/>
      <c r="I29" s="34"/>
      <c r="J29" s="30" t="str">
        <f aca="false">IF(F29="","",G29-B29)</f>
        <v/>
      </c>
      <c r="K29" s="31" t="str">
        <f aca="false">IF(F29="","",IF(H29&lt;&gt;"",H29,MAX('Vade Sapması'!$D$3,G29)))</f>
        <v/>
      </c>
      <c r="L29" s="30" t="str">
        <f aca="false">IF(F29="","",K29-B29)</f>
        <v/>
      </c>
      <c r="M29" s="30" t="str">
        <f aca="false">IF(F29="","",L29-J29)</f>
        <v/>
      </c>
      <c r="N29" s="32" t="str">
        <f aca="false">IF(F29="","",IF(H29&lt;&gt;"","Kapandı",IF('Vade Sapması'!$D$3&gt;G29,"Açık · vadesi geçti","Açık · vadesi gelmedi")))</f>
        <v/>
      </c>
      <c r="O29" s="30" t="str">
        <f aca="false">IF(F29="","",IF(AND(H29="",'Vade Sapması'!$D$3&gt;G29),'Vade Sapması'!$D$3-G29,0))</f>
        <v/>
      </c>
      <c r="P29" s="33" t="str">
        <f aca="false">IF(F29="","",F29*J29)</f>
        <v/>
      </c>
      <c r="Q29" s="33" t="str">
        <f aca="false">IF(F29="","",F29*L29)</f>
        <v/>
      </c>
      <c r="R29" s="33" t="str">
        <f aca="false">IF(F29="","",IF(H29="",F29,0))</f>
        <v/>
      </c>
      <c r="S29" s="32" t="str">
        <f aca="false">IF(F29="","",IF(N(O29)=0,"",IF(O29&lt;=30,"1-30",IF(O29&lt;=60,"31-60",IF(O29&lt;=90,"61-90","90+")))))</f>
        <v/>
      </c>
      <c r="T29" s="32" t="str">
        <f aca="false">IF(F29="","",IF(E29="","Diğer",E29))</f>
        <v/>
      </c>
      <c r="U29" s="32" t="str">
        <f aca="false">IF(OR(F29="",C29=""),"",IF(COUNTIF($C$2:C29,C29)=1,MAX($U$1:U28)+1,""))</f>
        <v/>
      </c>
    </row>
    <row r="30" customFormat="false" ht="15" hidden="false" customHeight="false" outlineLevel="0" collapsed="false">
      <c r="A30" s="34"/>
      <c r="B30" s="9"/>
      <c r="C30" s="34"/>
      <c r="D30" s="34"/>
      <c r="E30" s="34"/>
      <c r="F30" s="35"/>
      <c r="G30" s="9"/>
      <c r="H30" s="9"/>
      <c r="I30" s="34"/>
      <c r="J30" s="30" t="str">
        <f aca="false">IF(F30="","",G30-B30)</f>
        <v/>
      </c>
      <c r="K30" s="31" t="str">
        <f aca="false">IF(F30="","",IF(H30&lt;&gt;"",H30,MAX('Vade Sapması'!$D$3,G30)))</f>
        <v/>
      </c>
      <c r="L30" s="30" t="str">
        <f aca="false">IF(F30="","",K30-B30)</f>
        <v/>
      </c>
      <c r="M30" s="30" t="str">
        <f aca="false">IF(F30="","",L30-J30)</f>
        <v/>
      </c>
      <c r="N30" s="32" t="str">
        <f aca="false">IF(F30="","",IF(H30&lt;&gt;"","Kapandı",IF('Vade Sapması'!$D$3&gt;G30,"Açık · vadesi geçti","Açık · vadesi gelmedi")))</f>
        <v/>
      </c>
      <c r="O30" s="30" t="str">
        <f aca="false">IF(F30="","",IF(AND(H30="",'Vade Sapması'!$D$3&gt;G30),'Vade Sapması'!$D$3-G30,0))</f>
        <v/>
      </c>
      <c r="P30" s="33" t="str">
        <f aca="false">IF(F30="","",F30*J30)</f>
        <v/>
      </c>
      <c r="Q30" s="33" t="str">
        <f aca="false">IF(F30="","",F30*L30)</f>
        <v/>
      </c>
      <c r="R30" s="33" t="str">
        <f aca="false">IF(F30="","",IF(H30="",F30,0))</f>
        <v/>
      </c>
      <c r="S30" s="32" t="str">
        <f aca="false">IF(F30="","",IF(N(O30)=0,"",IF(O30&lt;=30,"1-30",IF(O30&lt;=60,"31-60",IF(O30&lt;=90,"61-90","90+")))))</f>
        <v/>
      </c>
      <c r="T30" s="32" t="str">
        <f aca="false">IF(F30="","",IF(E30="","Diğer",E30))</f>
        <v/>
      </c>
      <c r="U30" s="32" t="str">
        <f aca="false">IF(OR(F30="",C30=""),"",IF(COUNTIF($C$2:C30,C30)=1,MAX($U$1:U29)+1,""))</f>
        <v/>
      </c>
    </row>
    <row r="31" customFormat="false" ht="15" hidden="false" customHeight="false" outlineLevel="0" collapsed="false">
      <c r="A31" s="34"/>
      <c r="B31" s="9"/>
      <c r="C31" s="34"/>
      <c r="D31" s="34"/>
      <c r="E31" s="34"/>
      <c r="F31" s="35"/>
      <c r="G31" s="9"/>
      <c r="H31" s="9"/>
      <c r="I31" s="34"/>
      <c r="J31" s="30" t="str">
        <f aca="false">IF(F31="","",G31-B31)</f>
        <v/>
      </c>
      <c r="K31" s="31" t="str">
        <f aca="false">IF(F31="","",IF(H31&lt;&gt;"",H31,MAX('Vade Sapması'!$D$3,G31)))</f>
        <v/>
      </c>
      <c r="L31" s="30" t="str">
        <f aca="false">IF(F31="","",K31-B31)</f>
        <v/>
      </c>
      <c r="M31" s="30" t="str">
        <f aca="false">IF(F31="","",L31-J31)</f>
        <v/>
      </c>
      <c r="N31" s="32" t="str">
        <f aca="false">IF(F31="","",IF(H31&lt;&gt;"","Kapandı",IF('Vade Sapması'!$D$3&gt;G31,"Açık · vadesi geçti","Açık · vadesi gelmedi")))</f>
        <v/>
      </c>
      <c r="O31" s="30" t="str">
        <f aca="false">IF(F31="","",IF(AND(H31="",'Vade Sapması'!$D$3&gt;G31),'Vade Sapması'!$D$3-G31,0))</f>
        <v/>
      </c>
      <c r="P31" s="33" t="str">
        <f aca="false">IF(F31="","",F31*J31)</f>
        <v/>
      </c>
      <c r="Q31" s="33" t="str">
        <f aca="false">IF(F31="","",F31*L31)</f>
        <v/>
      </c>
      <c r="R31" s="33" t="str">
        <f aca="false">IF(F31="","",IF(H31="",F31,0))</f>
        <v/>
      </c>
      <c r="S31" s="32" t="str">
        <f aca="false">IF(F31="","",IF(N(O31)=0,"",IF(O31&lt;=30,"1-30",IF(O31&lt;=60,"31-60",IF(O31&lt;=90,"61-90","90+")))))</f>
        <v/>
      </c>
      <c r="T31" s="32" t="str">
        <f aca="false">IF(F31="","",IF(E31="","Diğer",E31))</f>
        <v/>
      </c>
      <c r="U31" s="32" t="str">
        <f aca="false">IF(OR(F31="",C31=""),"",IF(COUNTIF($C$2:C31,C31)=1,MAX($U$1:U30)+1,""))</f>
        <v/>
      </c>
    </row>
    <row r="32" customFormat="false" ht="15" hidden="false" customHeight="false" outlineLevel="0" collapsed="false">
      <c r="A32" s="34"/>
      <c r="B32" s="9"/>
      <c r="C32" s="34"/>
      <c r="D32" s="34"/>
      <c r="E32" s="34"/>
      <c r="F32" s="35"/>
      <c r="G32" s="9"/>
      <c r="H32" s="9"/>
      <c r="I32" s="34"/>
      <c r="J32" s="30" t="str">
        <f aca="false">IF(F32="","",G32-B32)</f>
        <v/>
      </c>
      <c r="K32" s="31" t="str">
        <f aca="false">IF(F32="","",IF(H32&lt;&gt;"",H32,MAX('Vade Sapması'!$D$3,G32)))</f>
        <v/>
      </c>
      <c r="L32" s="30" t="str">
        <f aca="false">IF(F32="","",K32-B32)</f>
        <v/>
      </c>
      <c r="M32" s="30" t="str">
        <f aca="false">IF(F32="","",L32-J32)</f>
        <v/>
      </c>
      <c r="N32" s="32" t="str">
        <f aca="false">IF(F32="","",IF(H32&lt;&gt;"","Kapandı",IF('Vade Sapması'!$D$3&gt;G32,"Açık · vadesi geçti","Açık · vadesi gelmedi")))</f>
        <v/>
      </c>
      <c r="O32" s="30" t="str">
        <f aca="false">IF(F32="","",IF(AND(H32="",'Vade Sapması'!$D$3&gt;G32),'Vade Sapması'!$D$3-G32,0))</f>
        <v/>
      </c>
      <c r="P32" s="33" t="str">
        <f aca="false">IF(F32="","",F32*J32)</f>
        <v/>
      </c>
      <c r="Q32" s="33" t="str">
        <f aca="false">IF(F32="","",F32*L32)</f>
        <v/>
      </c>
      <c r="R32" s="33" t="str">
        <f aca="false">IF(F32="","",IF(H32="",F32,0))</f>
        <v/>
      </c>
      <c r="S32" s="32" t="str">
        <f aca="false">IF(F32="","",IF(N(O32)=0,"",IF(O32&lt;=30,"1-30",IF(O32&lt;=60,"31-60",IF(O32&lt;=90,"61-90","90+")))))</f>
        <v/>
      </c>
      <c r="T32" s="32" t="str">
        <f aca="false">IF(F32="","",IF(E32="","Diğer",E32))</f>
        <v/>
      </c>
      <c r="U32" s="32" t="str">
        <f aca="false">IF(OR(F32="",C32=""),"",IF(COUNTIF($C$2:C32,C32)=1,MAX($U$1:U31)+1,""))</f>
        <v/>
      </c>
    </row>
    <row r="33" customFormat="false" ht="15" hidden="false" customHeight="false" outlineLevel="0" collapsed="false">
      <c r="A33" s="34"/>
      <c r="B33" s="9"/>
      <c r="C33" s="34"/>
      <c r="D33" s="34"/>
      <c r="E33" s="34"/>
      <c r="F33" s="35"/>
      <c r="G33" s="9"/>
      <c r="H33" s="9"/>
      <c r="I33" s="34"/>
      <c r="J33" s="30" t="str">
        <f aca="false">IF(F33="","",G33-B33)</f>
        <v/>
      </c>
      <c r="K33" s="31" t="str">
        <f aca="false">IF(F33="","",IF(H33&lt;&gt;"",H33,MAX('Vade Sapması'!$D$3,G33)))</f>
        <v/>
      </c>
      <c r="L33" s="30" t="str">
        <f aca="false">IF(F33="","",K33-B33)</f>
        <v/>
      </c>
      <c r="M33" s="30" t="str">
        <f aca="false">IF(F33="","",L33-J33)</f>
        <v/>
      </c>
      <c r="N33" s="32" t="str">
        <f aca="false">IF(F33="","",IF(H33&lt;&gt;"","Kapandı",IF('Vade Sapması'!$D$3&gt;G33,"Açık · vadesi geçti","Açık · vadesi gelmedi")))</f>
        <v/>
      </c>
      <c r="O33" s="30" t="str">
        <f aca="false">IF(F33="","",IF(AND(H33="",'Vade Sapması'!$D$3&gt;G33),'Vade Sapması'!$D$3-G33,0))</f>
        <v/>
      </c>
      <c r="P33" s="33" t="str">
        <f aca="false">IF(F33="","",F33*J33)</f>
        <v/>
      </c>
      <c r="Q33" s="33" t="str">
        <f aca="false">IF(F33="","",F33*L33)</f>
        <v/>
      </c>
      <c r="R33" s="33" t="str">
        <f aca="false">IF(F33="","",IF(H33="",F33,0))</f>
        <v/>
      </c>
      <c r="S33" s="32" t="str">
        <f aca="false">IF(F33="","",IF(N(O33)=0,"",IF(O33&lt;=30,"1-30",IF(O33&lt;=60,"31-60",IF(O33&lt;=90,"61-90","90+")))))</f>
        <v/>
      </c>
      <c r="T33" s="32" t="str">
        <f aca="false">IF(F33="","",IF(E33="","Diğer",E33))</f>
        <v/>
      </c>
      <c r="U33" s="32" t="str">
        <f aca="false">IF(OR(F33="",C33=""),"",IF(COUNTIF($C$2:C33,C33)=1,MAX($U$1:U32)+1,""))</f>
        <v/>
      </c>
    </row>
    <row r="34" customFormat="false" ht="15" hidden="false" customHeight="false" outlineLevel="0" collapsed="false">
      <c r="A34" s="34"/>
      <c r="B34" s="9"/>
      <c r="C34" s="34"/>
      <c r="D34" s="34"/>
      <c r="E34" s="34"/>
      <c r="F34" s="35"/>
      <c r="G34" s="9"/>
      <c r="H34" s="9"/>
      <c r="I34" s="34"/>
      <c r="J34" s="30" t="str">
        <f aca="false">IF(F34="","",G34-B34)</f>
        <v/>
      </c>
      <c r="K34" s="31" t="str">
        <f aca="false">IF(F34="","",IF(H34&lt;&gt;"",H34,MAX('Vade Sapması'!$D$3,G34)))</f>
        <v/>
      </c>
      <c r="L34" s="30" t="str">
        <f aca="false">IF(F34="","",K34-B34)</f>
        <v/>
      </c>
      <c r="M34" s="30" t="str">
        <f aca="false">IF(F34="","",L34-J34)</f>
        <v/>
      </c>
      <c r="N34" s="32" t="str">
        <f aca="false">IF(F34="","",IF(H34&lt;&gt;"","Kapandı",IF('Vade Sapması'!$D$3&gt;G34,"Açık · vadesi geçti","Açık · vadesi gelmedi")))</f>
        <v/>
      </c>
      <c r="O34" s="30" t="str">
        <f aca="false">IF(F34="","",IF(AND(H34="",'Vade Sapması'!$D$3&gt;G34),'Vade Sapması'!$D$3-G34,0))</f>
        <v/>
      </c>
      <c r="P34" s="33" t="str">
        <f aca="false">IF(F34="","",F34*J34)</f>
        <v/>
      </c>
      <c r="Q34" s="33" t="str">
        <f aca="false">IF(F34="","",F34*L34)</f>
        <v/>
      </c>
      <c r="R34" s="33" t="str">
        <f aca="false">IF(F34="","",IF(H34="",F34,0))</f>
        <v/>
      </c>
      <c r="S34" s="32" t="str">
        <f aca="false">IF(F34="","",IF(N(O34)=0,"",IF(O34&lt;=30,"1-30",IF(O34&lt;=60,"31-60",IF(O34&lt;=90,"61-90","90+")))))</f>
        <v/>
      </c>
      <c r="T34" s="32" t="str">
        <f aca="false">IF(F34="","",IF(E34="","Diğer",E34))</f>
        <v/>
      </c>
      <c r="U34" s="32" t="str">
        <f aca="false">IF(OR(F34="",C34=""),"",IF(COUNTIF($C$2:C34,C34)=1,MAX($U$1:U33)+1,""))</f>
        <v/>
      </c>
    </row>
    <row r="35" customFormat="false" ht="15" hidden="false" customHeight="false" outlineLevel="0" collapsed="false">
      <c r="A35" s="34"/>
      <c r="B35" s="9"/>
      <c r="C35" s="34"/>
      <c r="D35" s="34"/>
      <c r="E35" s="34"/>
      <c r="F35" s="35"/>
      <c r="G35" s="9"/>
      <c r="H35" s="9"/>
      <c r="I35" s="34"/>
      <c r="J35" s="30" t="str">
        <f aca="false">IF(F35="","",G35-B35)</f>
        <v/>
      </c>
      <c r="K35" s="31" t="str">
        <f aca="false">IF(F35="","",IF(H35&lt;&gt;"",H35,MAX('Vade Sapması'!$D$3,G35)))</f>
        <v/>
      </c>
      <c r="L35" s="30" t="str">
        <f aca="false">IF(F35="","",K35-B35)</f>
        <v/>
      </c>
      <c r="M35" s="30" t="str">
        <f aca="false">IF(F35="","",L35-J35)</f>
        <v/>
      </c>
      <c r="N35" s="32" t="str">
        <f aca="false">IF(F35="","",IF(H35&lt;&gt;"","Kapandı",IF('Vade Sapması'!$D$3&gt;G35,"Açık · vadesi geçti","Açık · vadesi gelmedi")))</f>
        <v/>
      </c>
      <c r="O35" s="30" t="str">
        <f aca="false">IF(F35="","",IF(AND(H35="",'Vade Sapması'!$D$3&gt;G35),'Vade Sapması'!$D$3-G35,0))</f>
        <v/>
      </c>
      <c r="P35" s="33" t="str">
        <f aca="false">IF(F35="","",F35*J35)</f>
        <v/>
      </c>
      <c r="Q35" s="33" t="str">
        <f aca="false">IF(F35="","",F35*L35)</f>
        <v/>
      </c>
      <c r="R35" s="33" t="str">
        <f aca="false">IF(F35="","",IF(H35="",F35,0))</f>
        <v/>
      </c>
      <c r="S35" s="32" t="str">
        <f aca="false">IF(F35="","",IF(N(O35)=0,"",IF(O35&lt;=30,"1-30",IF(O35&lt;=60,"31-60",IF(O35&lt;=90,"61-90","90+")))))</f>
        <v/>
      </c>
      <c r="T35" s="32" t="str">
        <f aca="false">IF(F35="","",IF(E35="","Diğer",E35))</f>
        <v/>
      </c>
      <c r="U35" s="32" t="str">
        <f aca="false">IF(OR(F35="",C35=""),"",IF(COUNTIF($C$2:C35,C35)=1,MAX($U$1:U34)+1,""))</f>
        <v/>
      </c>
    </row>
    <row r="36" customFormat="false" ht="15" hidden="false" customHeight="false" outlineLevel="0" collapsed="false">
      <c r="A36" s="34"/>
      <c r="B36" s="9"/>
      <c r="C36" s="34"/>
      <c r="D36" s="34"/>
      <c r="E36" s="34"/>
      <c r="F36" s="35"/>
      <c r="G36" s="9"/>
      <c r="H36" s="9"/>
      <c r="I36" s="34"/>
      <c r="J36" s="30" t="str">
        <f aca="false">IF(F36="","",G36-B36)</f>
        <v/>
      </c>
      <c r="K36" s="31" t="str">
        <f aca="false">IF(F36="","",IF(H36&lt;&gt;"",H36,MAX('Vade Sapması'!$D$3,G36)))</f>
        <v/>
      </c>
      <c r="L36" s="30" t="str">
        <f aca="false">IF(F36="","",K36-B36)</f>
        <v/>
      </c>
      <c r="M36" s="30" t="str">
        <f aca="false">IF(F36="","",L36-J36)</f>
        <v/>
      </c>
      <c r="N36" s="32" t="str">
        <f aca="false">IF(F36="","",IF(H36&lt;&gt;"","Kapandı",IF('Vade Sapması'!$D$3&gt;G36,"Açık · vadesi geçti","Açık · vadesi gelmedi")))</f>
        <v/>
      </c>
      <c r="O36" s="30" t="str">
        <f aca="false">IF(F36="","",IF(AND(H36="",'Vade Sapması'!$D$3&gt;G36),'Vade Sapması'!$D$3-G36,0))</f>
        <v/>
      </c>
      <c r="P36" s="33" t="str">
        <f aca="false">IF(F36="","",F36*J36)</f>
        <v/>
      </c>
      <c r="Q36" s="33" t="str">
        <f aca="false">IF(F36="","",F36*L36)</f>
        <v/>
      </c>
      <c r="R36" s="33" t="str">
        <f aca="false">IF(F36="","",IF(H36="",F36,0))</f>
        <v/>
      </c>
      <c r="S36" s="32" t="str">
        <f aca="false">IF(F36="","",IF(N(O36)=0,"",IF(O36&lt;=30,"1-30",IF(O36&lt;=60,"31-60",IF(O36&lt;=90,"61-90","90+")))))</f>
        <v/>
      </c>
      <c r="T36" s="32" t="str">
        <f aca="false">IF(F36="","",IF(E36="","Diğer",E36))</f>
        <v/>
      </c>
      <c r="U36" s="32" t="str">
        <f aca="false">IF(OR(F36="",C36=""),"",IF(COUNTIF($C$2:C36,C36)=1,MAX($U$1:U35)+1,""))</f>
        <v/>
      </c>
    </row>
    <row r="37" customFormat="false" ht="15" hidden="false" customHeight="false" outlineLevel="0" collapsed="false">
      <c r="A37" s="34"/>
      <c r="B37" s="9"/>
      <c r="C37" s="34"/>
      <c r="D37" s="34"/>
      <c r="E37" s="34"/>
      <c r="F37" s="35"/>
      <c r="G37" s="9"/>
      <c r="H37" s="9"/>
      <c r="I37" s="34"/>
      <c r="J37" s="30" t="str">
        <f aca="false">IF(F37="","",G37-B37)</f>
        <v/>
      </c>
      <c r="K37" s="31" t="str">
        <f aca="false">IF(F37="","",IF(H37&lt;&gt;"",H37,MAX('Vade Sapması'!$D$3,G37)))</f>
        <v/>
      </c>
      <c r="L37" s="30" t="str">
        <f aca="false">IF(F37="","",K37-B37)</f>
        <v/>
      </c>
      <c r="M37" s="30" t="str">
        <f aca="false">IF(F37="","",L37-J37)</f>
        <v/>
      </c>
      <c r="N37" s="32" t="str">
        <f aca="false">IF(F37="","",IF(H37&lt;&gt;"","Kapandı",IF('Vade Sapması'!$D$3&gt;G37,"Açık · vadesi geçti","Açık · vadesi gelmedi")))</f>
        <v/>
      </c>
      <c r="O37" s="30" t="str">
        <f aca="false">IF(F37="","",IF(AND(H37="",'Vade Sapması'!$D$3&gt;G37),'Vade Sapması'!$D$3-G37,0))</f>
        <v/>
      </c>
      <c r="P37" s="33" t="str">
        <f aca="false">IF(F37="","",F37*J37)</f>
        <v/>
      </c>
      <c r="Q37" s="33" t="str">
        <f aca="false">IF(F37="","",F37*L37)</f>
        <v/>
      </c>
      <c r="R37" s="33" t="str">
        <f aca="false">IF(F37="","",IF(H37="",F37,0))</f>
        <v/>
      </c>
      <c r="S37" s="32" t="str">
        <f aca="false">IF(F37="","",IF(N(O37)=0,"",IF(O37&lt;=30,"1-30",IF(O37&lt;=60,"31-60",IF(O37&lt;=90,"61-90","90+")))))</f>
        <v/>
      </c>
      <c r="T37" s="32" t="str">
        <f aca="false">IF(F37="","",IF(E37="","Diğer",E37))</f>
        <v/>
      </c>
      <c r="U37" s="32" t="str">
        <f aca="false">IF(OR(F37="",C37=""),"",IF(COUNTIF($C$2:C37,C37)=1,MAX($U$1:U36)+1,""))</f>
        <v/>
      </c>
    </row>
    <row r="38" customFormat="false" ht="15" hidden="false" customHeight="false" outlineLevel="0" collapsed="false">
      <c r="A38" s="34"/>
      <c r="B38" s="9"/>
      <c r="C38" s="34"/>
      <c r="D38" s="34"/>
      <c r="E38" s="34"/>
      <c r="F38" s="35"/>
      <c r="G38" s="9"/>
      <c r="H38" s="9"/>
      <c r="I38" s="34"/>
      <c r="J38" s="30" t="str">
        <f aca="false">IF(F38="","",G38-B38)</f>
        <v/>
      </c>
      <c r="K38" s="31" t="str">
        <f aca="false">IF(F38="","",IF(H38&lt;&gt;"",H38,MAX('Vade Sapması'!$D$3,G38)))</f>
        <v/>
      </c>
      <c r="L38" s="30" t="str">
        <f aca="false">IF(F38="","",K38-B38)</f>
        <v/>
      </c>
      <c r="M38" s="30" t="str">
        <f aca="false">IF(F38="","",L38-J38)</f>
        <v/>
      </c>
      <c r="N38" s="32" t="str">
        <f aca="false">IF(F38="","",IF(H38&lt;&gt;"","Kapandı",IF('Vade Sapması'!$D$3&gt;G38,"Açık · vadesi geçti","Açık · vadesi gelmedi")))</f>
        <v/>
      </c>
      <c r="O38" s="30" t="str">
        <f aca="false">IF(F38="","",IF(AND(H38="",'Vade Sapması'!$D$3&gt;G38),'Vade Sapması'!$D$3-G38,0))</f>
        <v/>
      </c>
      <c r="P38" s="33" t="str">
        <f aca="false">IF(F38="","",F38*J38)</f>
        <v/>
      </c>
      <c r="Q38" s="33" t="str">
        <f aca="false">IF(F38="","",F38*L38)</f>
        <v/>
      </c>
      <c r="R38" s="33" t="str">
        <f aca="false">IF(F38="","",IF(H38="",F38,0))</f>
        <v/>
      </c>
      <c r="S38" s="32" t="str">
        <f aca="false">IF(F38="","",IF(N(O38)=0,"",IF(O38&lt;=30,"1-30",IF(O38&lt;=60,"31-60",IF(O38&lt;=90,"61-90","90+")))))</f>
        <v/>
      </c>
      <c r="T38" s="32" t="str">
        <f aca="false">IF(F38="","",IF(E38="","Diğer",E38))</f>
        <v/>
      </c>
      <c r="U38" s="32" t="str">
        <f aca="false">IF(OR(F38="",C38=""),"",IF(COUNTIF($C$2:C38,C38)=1,MAX($U$1:U37)+1,""))</f>
        <v/>
      </c>
    </row>
    <row r="39" customFormat="false" ht="15" hidden="false" customHeight="false" outlineLevel="0" collapsed="false">
      <c r="A39" s="34"/>
      <c r="B39" s="9"/>
      <c r="C39" s="34"/>
      <c r="D39" s="34"/>
      <c r="E39" s="34"/>
      <c r="F39" s="35"/>
      <c r="G39" s="9"/>
      <c r="H39" s="9"/>
      <c r="I39" s="34"/>
      <c r="J39" s="30" t="str">
        <f aca="false">IF(F39="","",G39-B39)</f>
        <v/>
      </c>
      <c r="K39" s="31" t="str">
        <f aca="false">IF(F39="","",IF(H39&lt;&gt;"",H39,MAX('Vade Sapması'!$D$3,G39)))</f>
        <v/>
      </c>
      <c r="L39" s="30" t="str">
        <f aca="false">IF(F39="","",K39-B39)</f>
        <v/>
      </c>
      <c r="M39" s="30" t="str">
        <f aca="false">IF(F39="","",L39-J39)</f>
        <v/>
      </c>
      <c r="N39" s="32" t="str">
        <f aca="false">IF(F39="","",IF(H39&lt;&gt;"","Kapandı",IF('Vade Sapması'!$D$3&gt;G39,"Açık · vadesi geçti","Açık · vadesi gelmedi")))</f>
        <v/>
      </c>
      <c r="O39" s="30" t="str">
        <f aca="false">IF(F39="","",IF(AND(H39="",'Vade Sapması'!$D$3&gt;G39),'Vade Sapması'!$D$3-G39,0))</f>
        <v/>
      </c>
      <c r="P39" s="33" t="str">
        <f aca="false">IF(F39="","",F39*J39)</f>
        <v/>
      </c>
      <c r="Q39" s="33" t="str">
        <f aca="false">IF(F39="","",F39*L39)</f>
        <v/>
      </c>
      <c r="R39" s="33" t="str">
        <f aca="false">IF(F39="","",IF(H39="",F39,0))</f>
        <v/>
      </c>
      <c r="S39" s="32" t="str">
        <f aca="false">IF(F39="","",IF(N(O39)=0,"",IF(O39&lt;=30,"1-30",IF(O39&lt;=60,"31-60",IF(O39&lt;=90,"61-90","90+")))))</f>
        <v/>
      </c>
      <c r="T39" s="32" t="str">
        <f aca="false">IF(F39="","",IF(E39="","Diğer",E39))</f>
        <v/>
      </c>
      <c r="U39" s="32" t="str">
        <f aca="false">IF(OR(F39="",C39=""),"",IF(COUNTIF($C$2:C39,C39)=1,MAX($U$1:U38)+1,""))</f>
        <v/>
      </c>
    </row>
    <row r="40" customFormat="false" ht="15" hidden="false" customHeight="false" outlineLevel="0" collapsed="false">
      <c r="A40" s="34"/>
      <c r="B40" s="9"/>
      <c r="C40" s="34"/>
      <c r="D40" s="34"/>
      <c r="E40" s="34"/>
      <c r="F40" s="35"/>
      <c r="G40" s="9"/>
      <c r="H40" s="9"/>
      <c r="I40" s="34"/>
      <c r="J40" s="30" t="str">
        <f aca="false">IF(F40="","",G40-B40)</f>
        <v/>
      </c>
      <c r="K40" s="31" t="str">
        <f aca="false">IF(F40="","",IF(H40&lt;&gt;"",H40,MAX('Vade Sapması'!$D$3,G40)))</f>
        <v/>
      </c>
      <c r="L40" s="30" t="str">
        <f aca="false">IF(F40="","",K40-B40)</f>
        <v/>
      </c>
      <c r="M40" s="30" t="str">
        <f aca="false">IF(F40="","",L40-J40)</f>
        <v/>
      </c>
      <c r="N40" s="32" t="str">
        <f aca="false">IF(F40="","",IF(H40&lt;&gt;"","Kapandı",IF('Vade Sapması'!$D$3&gt;G40,"Açık · vadesi geçti","Açık · vadesi gelmedi")))</f>
        <v/>
      </c>
      <c r="O40" s="30" t="str">
        <f aca="false">IF(F40="","",IF(AND(H40="",'Vade Sapması'!$D$3&gt;G40),'Vade Sapması'!$D$3-G40,0))</f>
        <v/>
      </c>
      <c r="P40" s="33" t="str">
        <f aca="false">IF(F40="","",F40*J40)</f>
        <v/>
      </c>
      <c r="Q40" s="33" t="str">
        <f aca="false">IF(F40="","",F40*L40)</f>
        <v/>
      </c>
      <c r="R40" s="33" t="str">
        <f aca="false">IF(F40="","",IF(H40="",F40,0))</f>
        <v/>
      </c>
      <c r="S40" s="32" t="str">
        <f aca="false">IF(F40="","",IF(N(O40)=0,"",IF(O40&lt;=30,"1-30",IF(O40&lt;=60,"31-60",IF(O40&lt;=90,"61-90","90+")))))</f>
        <v/>
      </c>
      <c r="T40" s="32" t="str">
        <f aca="false">IF(F40="","",IF(E40="","Diğer",E40))</f>
        <v/>
      </c>
      <c r="U40" s="32" t="str">
        <f aca="false">IF(OR(F40="",C40=""),"",IF(COUNTIF($C$2:C40,C40)=1,MAX($U$1:U39)+1,""))</f>
        <v/>
      </c>
    </row>
    <row r="41" customFormat="false" ht="15" hidden="false" customHeight="false" outlineLevel="0" collapsed="false">
      <c r="A41" s="34"/>
      <c r="B41" s="9"/>
      <c r="C41" s="34"/>
      <c r="D41" s="34"/>
      <c r="E41" s="34"/>
      <c r="F41" s="35"/>
      <c r="G41" s="9"/>
      <c r="H41" s="9"/>
      <c r="I41" s="34"/>
      <c r="J41" s="30" t="str">
        <f aca="false">IF(F41="","",G41-B41)</f>
        <v/>
      </c>
      <c r="K41" s="31" t="str">
        <f aca="false">IF(F41="","",IF(H41&lt;&gt;"",H41,MAX('Vade Sapması'!$D$3,G41)))</f>
        <v/>
      </c>
      <c r="L41" s="30" t="str">
        <f aca="false">IF(F41="","",K41-B41)</f>
        <v/>
      </c>
      <c r="M41" s="30" t="str">
        <f aca="false">IF(F41="","",L41-J41)</f>
        <v/>
      </c>
      <c r="N41" s="32" t="str">
        <f aca="false">IF(F41="","",IF(H41&lt;&gt;"","Kapandı",IF('Vade Sapması'!$D$3&gt;G41,"Açık · vadesi geçti","Açık · vadesi gelmedi")))</f>
        <v/>
      </c>
      <c r="O41" s="30" t="str">
        <f aca="false">IF(F41="","",IF(AND(H41="",'Vade Sapması'!$D$3&gt;G41),'Vade Sapması'!$D$3-G41,0))</f>
        <v/>
      </c>
      <c r="P41" s="33" t="str">
        <f aca="false">IF(F41="","",F41*J41)</f>
        <v/>
      </c>
      <c r="Q41" s="33" t="str">
        <f aca="false">IF(F41="","",F41*L41)</f>
        <v/>
      </c>
      <c r="R41" s="33" t="str">
        <f aca="false">IF(F41="","",IF(H41="",F41,0))</f>
        <v/>
      </c>
      <c r="S41" s="32" t="str">
        <f aca="false">IF(F41="","",IF(N(O41)=0,"",IF(O41&lt;=30,"1-30",IF(O41&lt;=60,"31-60",IF(O41&lt;=90,"61-90","90+")))))</f>
        <v/>
      </c>
      <c r="T41" s="32" t="str">
        <f aca="false">IF(F41="","",IF(E41="","Diğer",E41))</f>
        <v/>
      </c>
      <c r="U41" s="32" t="str">
        <f aca="false">IF(OR(F41="",C41=""),"",IF(COUNTIF($C$2:C41,C41)=1,MAX($U$1:U40)+1,""))</f>
        <v/>
      </c>
    </row>
    <row r="42" customFormat="false" ht="15" hidden="false" customHeight="false" outlineLevel="0" collapsed="false">
      <c r="A42" s="34"/>
      <c r="B42" s="9"/>
      <c r="C42" s="34"/>
      <c r="D42" s="34"/>
      <c r="E42" s="34"/>
      <c r="F42" s="35"/>
      <c r="G42" s="9"/>
      <c r="H42" s="9"/>
      <c r="I42" s="34"/>
      <c r="J42" s="30" t="str">
        <f aca="false">IF(F42="","",G42-B42)</f>
        <v/>
      </c>
      <c r="K42" s="31" t="str">
        <f aca="false">IF(F42="","",IF(H42&lt;&gt;"",H42,MAX('Vade Sapması'!$D$3,G42)))</f>
        <v/>
      </c>
      <c r="L42" s="30" t="str">
        <f aca="false">IF(F42="","",K42-B42)</f>
        <v/>
      </c>
      <c r="M42" s="30" t="str">
        <f aca="false">IF(F42="","",L42-J42)</f>
        <v/>
      </c>
      <c r="N42" s="32" t="str">
        <f aca="false">IF(F42="","",IF(H42&lt;&gt;"","Kapandı",IF('Vade Sapması'!$D$3&gt;G42,"Açık · vadesi geçti","Açık · vadesi gelmedi")))</f>
        <v/>
      </c>
      <c r="O42" s="30" t="str">
        <f aca="false">IF(F42="","",IF(AND(H42="",'Vade Sapması'!$D$3&gt;G42),'Vade Sapması'!$D$3-G42,0))</f>
        <v/>
      </c>
      <c r="P42" s="33" t="str">
        <f aca="false">IF(F42="","",F42*J42)</f>
        <v/>
      </c>
      <c r="Q42" s="33" t="str">
        <f aca="false">IF(F42="","",F42*L42)</f>
        <v/>
      </c>
      <c r="R42" s="33" t="str">
        <f aca="false">IF(F42="","",IF(H42="",F42,0))</f>
        <v/>
      </c>
      <c r="S42" s="32" t="str">
        <f aca="false">IF(F42="","",IF(N(O42)=0,"",IF(O42&lt;=30,"1-30",IF(O42&lt;=60,"31-60",IF(O42&lt;=90,"61-90","90+")))))</f>
        <v/>
      </c>
      <c r="T42" s="32" t="str">
        <f aca="false">IF(F42="","",IF(E42="","Diğer",E42))</f>
        <v/>
      </c>
      <c r="U42" s="32" t="str">
        <f aca="false">IF(OR(F42="",C42=""),"",IF(COUNTIF($C$2:C42,C42)=1,MAX($U$1:U41)+1,""))</f>
        <v/>
      </c>
    </row>
    <row r="43" customFormat="false" ht="15" hidden="false" customHeight="false" outlineLevel="0" collapsed="false">
      <c r="A43" s="34"/>
      <c r="B43" s="9"/>
      <c r="C43" s="34"/>
      <c r="D43" s="34"/>
      <c r="E43" s="34"/>
      <c r="F43" s="35"/>
      <c r="G43" s="9"/>
      <c r="H43" s="9"/>
      <c r="I43" s="34"/>
      <c r="J43" s="30" t="str">
        <f aca="false">IF(F43="","",G43-B43)</f>
        <v/>
      </c>
      <c r="K43" s="31" t="str">
        <f aca="false">IF(F43="","",IF(H43&lt;&gt;"",H43,MAX('Vade Sapması'!$D$3,G43)))</f>
        <v/>
      </c>
      <c r="L43" s="30" t="str">
        <f aca="false">IF(F43="","",K43-B43)</f>
        <v/>
      </c>
      <c r="M43" s="30" t="str">
        <f aca="false">IF(F43="","",L43-J43)</f>
        <v/>
      </c>
      <c r="N43" s="32" t="str">
        <f aca="false">IF(F43="","",IF(H43&lt;&gt;"","Kapandı",IF('Vade Sapması'!$D$3&gt;G43,"Açık · vadesi geçti","Açık · vadesi gelmedi")))</f>
        <v/>
      </c>
      <c r="O43" s="30" t="str">
        <f aca="false">IF(F43="","",IF(AND(H43="",'Vade Sapması'!$D$3&gt;G43),'Vade Sapması'!$D$3-G43,0))</f>
        <v/>
      </c>
      <c r="P43" s="33" t="str">
        <f aca="false">IF(F43="","",F43*J43)</f>
        <v/>
      </c>
      <c r="Q43" s="33" t="str">
        <f aca="false">IF(F43="","",F43*L43)</f>
        <v/>
      </c>
      <c r="R43" s="33" t="str">
        <f aca="false">IF(F43="","",IF(H43="",F43,0))</f>
        <v/>
      </c>
      <c r="S43" s="32" t="str">
        <f aca="false">IF(F43="","",IF(N(O43)=0,"",IF(O43&lt;=30,"1-30",IF(O43&lt;=60,"31-60",IF(O43&lt;=90,"61-90","90+")))))</f>
        <v/>
      </c>
      <c r="T43" s="32" t="str">
        <f aca="false">IF(F43="","",IF(E43="","Diğer",E43))</f>
        <v/>
      </c>
      <c r="U43" s="32" t="str">
        <f aca="false">IF(OR(F43="",C43=""),"",IF(COUNTIF($C$2:C43,C43)=1,MAX($U$1:U42)+1,""))</f>
        <v/>
      </c>
    </row>
    <row r="44" customFormat="false" ht="15" hidden="false" customHeight="false" outlineLevel="0" collapsed="false">
      <c r="A44" s="34"/>
      <c r="B44" s="9"/>
      <c r="C44" s="34"/>
      <c r="D44" s="34"/>
      <c r="E44" s="34"/>
      <c r="F44" s="35"/>
      <c r="G44" s="9"/>
      <c r="H44" s="9"/>
      <c r="I44" s="34"/>
      <c r="J44" s="30" t="str">
        <f aca="false">IF(F44="","",G44-B44)</f>
        <v/>
      </c>
      <c r="K44" s="31" t="str">
        <f aca="false">IF(F44="","",IF(H44&lt;&gt;"",H44,MAX('Vade Sapması'!$D$3,G44)))</f>
        <v/>
      </c>
      <c r="L44" s="30" t="str">
        <f aca="false">IF(F44="","",K44-B44)</f>
        <v/>
      </c>
      <c r="M44" s="30" t="str">
        <f aca="false">IF(F44="","",L44-J44)</f>
        <v/>
      </c>
      <c r="N44" s="32" t="str">
        <f aca="false">IF(F44="","",IF(H44&lt;&gt;"","Kapandı",IF('Vade Sapması'!$D$3&gt;G44,"Açık · vadesi geçti","Açık · vadesi gelmedi")))</f>
        <v/>
      </c>
      <c r="O44" s="30" t="str">
        <f aca="false">IF(F44="","",IF(AND(H44="",'Vade Sapması'!$D$3&gt;G44),'Vade Sapması'!$D$3-G44,0))</f>
        <v/>
      </c>
      <c r="P44" s="33" t="str">
        <f aca="false">IF(F44="","",F44*J44)</f>
        <v/>
      </c>
      <c r="Q44" s="33" t="str">
        <f aca="false">IF(F44="","",F44*L44)</f>
        <v/>
      </c>
      <c r="R44" s="33" t="str">
        <f aca="false">IF(F44="","",IF(H44="",F44,0))</f>
        <v/>
      </c>
      <c r="S44" s="32" t="str">
        <f aca="false">IF(F44="","",IF(N(O44)=0,"",IF(O44&lt;=30,"1-30",IF(O44&lt;=60,"31-60",IF(O44&lt;=90,"61-90","90+")))))</f>
        <v/>
      </c>
      <c r="T44" s="32" t="str">
        <f aca="false">IF(F44="","",IF(E44="","Diğer",E44))</f>
        <v/>
      </c>
      <c r="U44" s="32" t="str">
        <f aca="false">IF(OR(F44="",C44=""),"",IF(COUNTIF($C$2:C44,C44)=1,MAX($U$1:U43)+1,""))</f>
        <v/>
      </c>
    </row>
    <row r="45" customFormat="false" ht="15" hidden="false" customHeight="false" outlineLevel="0" collapsed="false">
      <c r="A45" s="34"/>
      <c r="B45" s="9"/>
      <c r="C45" s="34"/>
      <c r="D45" s="34"/>
      <c r="E45" s="34"/>
      <c r="F45" s="35"/>
      <c r="G45" s="9"/>
      <c r="H45" s="9"/>
      <c r="I45" s="34"/>
      <c r="J45" s="30" t="str">
        <f aca="false">IF(F45="","",G45-B45)</f>
        <v/>
      </c>
      <c r="K45" s="31" t="str">
        <f aca="false">IF(F45="","",IF(H45&lt;&gt;"",H45,MAX('Vade Sapması'!$D$3,G45)))</f>
        <v/>
      </c>
      <c r="L45" s="30" t="str">
        <f aca="false">IF(F45="","",K45-B45)</f>
        <v/>
      </c>
      <c r="M45" s="30" t="str">
        <f aca="false">IF(F45="","",L45-J45)</f>
        <v/>
      </c>
      <c r="N45" s="32" t="str">
        <f aca="false">IF(F45="","",IF(H45&lt;&gt;"","Kapandı",IF('Vade Sapması'!$D$3&gt;G45,"Açık · vadesi geçti","Açık · vadesi gelmedi")))</f>
        <v/>
      </c>
      <c r="O45" s="30" t="str">
        <f aca="false">IF(F45="","",IF(AND(H45="",'Vade Sapması'!$D$3&gt;G45),'Vade Sapması'!$D$3-G45,0))</f>
        <v/>
      </c>
      <c r="P45" s="33" t="str">
        <f aca="false">IF(F45="","",F45*J45)</f>
        <v/>
      </c>
      <c r="Q45" s="33" t="str">
        <f aca="false">IF(F45="","",F45*L45)</f>
        <v/>
      </c>
      <c r="R45" s="33" t="str">
        <f aca="false">IF(F45="","",IF(H45="",F45,0))</f>
        <v/>
      </c>
      <c r="S45" s="32" t="str">
        <f aca="false">IF(F45="","",IF(N(O45)=0,"",IF(O45&lt;=30,"1-30",IF(O45&lt;=60,"31-60",IF(O45&lt;=90,"61-90","90+")))))</f>
        <v/>
      </c>
      <c r="T45" s="32" t="str">
        <f aca="false">IF(F45="","",IF(E45="","Diğer",E45))</f>
        <v/>
      </c>
      <c r="U45" s="32" t="str">
        <f aca="false">IF(OR(F45="",C45=""),"",IF(COUNTIF($C$2:C45,C45)=1,MAX($U$1:U44)+1,""))</f>
        <v/>
      </c>
    </row>
    <row r="46" customFormat="false" ht="15" hidden="false" customHeight="false" outlineLevel="0" collapsed="false">
      <c r="A46" s="34"/>
      <c r="B46" s="9"/>
      <c r="C46" s="34"/>
      <c r="D46" s="34"/>
      <c r="E46" s="34"/>
      <c r="F46" s="35"/>
      <c r="G46" s="9"/>
      <c r="H46" s="9"/>
      <c r="I46" s="34"/>
      <c r="J46" s="30" t="str">
        <f aca="false">IF(F46="","",G46-B46)</f>
        <v/>
      </c>
      <c r="K46" s="31" t="str">
        <f aca="false">IF(F46="","",IF(H46&lt;&gt;"",H46,MAX('Vade Sapması'!$D$3,G46)))</f>
        <v/>
      </c>
      <c r="L46" s="30" t="str">
        <f aca="false">IF(F46="","",K46-B46)</f>
        <v/>
      </c>
      <c r="M46" s="30" t="str">
        <f aca="false">IF(F46="","",L46-J46)</f>
        <v/>
      </c>
      <c r="N46" s="32" t="str">
        <f aca="false">IF(F46="","",IF(H46&lt;&gt;"","Kapandı",IF('Vade Sapması'!$D$3&gt;G46,"Açık · vadesi geçti","Açık · vadesi gelmedi")))</f>
        <v/>
      </c>
      <c r="O46" s="30" t="str">
        <f aca="false">IF(F46="","",IF(AND(H46="",'Vade Sapması'!$D$3&gt;G46),'Vade Sapması'!$D$3-G46,0))</f>
        <v/>
      </c>
      <c r="P46" s="33" t="str">
        <f aca="false">IF(F46="","",F46*J46)</f>
        <v/>
      </c>
      <c r="Q46" s="33" t="str">
        <f aca="false">IF(F46="","",F46*L46)</f>
        <v/>
      </c>
      <c r="R46" s="33" t="str">
        <f aca="false">IF(F46="","",IF(H46="",F46,0))</f>
        <v/>
      </c>
      <c r="S46" s="32" t="str">
        <f aca="false">IF(F46="","",IF(N(O46)=0,"",IF(O46&lt;=30,"1-30",IF(O46&lt;=60,"31-60",IF(O46&lt;=90,"61-90","90+")))))</f>
        <v/>
      </c>
      <c r="T46" s="32" t="str">
        <f aca="false">IF(F46="","",IF(E46="","Diğer",E46))</f>
        <v/>
      </c>
      <c r="U46" s="32" t="str">
        <f aca="false">IF(OR(F46="",C46=""),"",IF(COUNTIF($C$2:C46,C46)=1,MAX($U$1:U45)+1,""))</f>
        <v/>
      </c>
    </row>
    <row r="47" customFormat="false" ht="15" hidden="false" customHeight="false" outlineLevel="0" collapsed="false">
      <c r="A47" s="34"/>
      <c r="B47" s="9"/>
      <c r="C47" s="34"/>
      <c r="D47" s="34"/>
      <c r="E47" s="34"/>
      <c r="F47" s="35"/>
      <c r="G47" s="9"/>
      <c r="H47" s="9"/>
      <c r="I47" s="34"/>
      <c r="J47" s="30" t="str">
        <f aca="false">IF(F47="","",G47-B47)</f>
        <v/>
      </c>
      <c r="K47" s="31" t="str">
        <f aca="false">IF(F47="","",IF(H47&lt;&gt;"",H47,MAX('Vade Sapması'!$D$3,G47)))</f>
        <v/>
      </c>
      <c r="L47" s="30" t="str">
        <f aca="false">IF(F47="","",K47-B47)</f>
        <v/>
      </c>
      <c r="M47" s="30" t="str">
        <f aca="false">IF(F47="","",L47-J47)</f>
        <v/>
      </c>
      <c r="N47" s="32" t="str">
        <f aca="false">IF(F47="","",IF(H47&lt;&gt;"","Kapandı",IF('Vade Sapması'!$D$3&gt;G47,"Açık · vadesi geçti","Açık · vadesi gelmedi")))</f>
        <v/>
      </c>
      <c r="O47" s="30" t="str">
        <f aca="false">IF(F47="","",IF(AND(H47="",'Vade Sapması'!$D$3&gt;G47),'Vade Sapması'!$D$3-G47,0))</f>
        <v/>
      </c>
      <c r="P47" s="33" t="str">
        <f aca="false">IF(F47="","",F47*J47)</f>
        <v/>
      </c>
      <c r="Q47" s="33" t="str">
        <f aca="false">IF(F47="","",F47*L47)</f>
        <v/>
      </c>
      <c r="R47" s="33" t="str">
        <f aca="false">IF(F47="","",IF(H47="",F47,0))</f>
        <v/>
      </c>
      <c r="S47" s="32" t="str">
        <f aca="false">IF(F47="","",IF(N(O47)=0,"",IF(O47&lt;=30,"1-30",IF(O47&lt;=60,"31-60",IF(O47&lt;=90,"61-90","90+")))))</f>
        <v/>
      </c>
      <c r="T47" s="32" t="str">
        <f aca="false">IF(F47="","",IF(E47="","Diğer",E47))</f>
        <v/>
      </c>
      <c r="U47" s="32" t="str">
        <f aca="false">IF(OR(F47="",C47=""),"",IF(COUNTIF($C$2:C47,C47)=1,MAX($U$1:U46)+1,""))</f>
        <v/>
      </c>
    </row>
    <row r="48" customFormat="false" ht="15" hidden="false" customHeight="false" outlineLevel="0" collapsed="false">
      <c r="A48" s="34"/>
      <c r="B48" s="9"/>
      <c r="C48" s="34"/>
      <c r="D48" s="34"/>
      <c r="E48" s="34"/>
      <c r="F48" s="35"/>
      <c r="G48" s="9"/>
      <c r="H48" s="9"/>
      <c r="I48" s="34"/>
      <c r="J48" s="30" t="str">
        <f aca="false">IF(F48="","",G48-B48)</f>
        <v/>
      </c>
      <c r="K48" s="31" t="str">
        <f aca="false">IF(F48="","",IF(H48&lt;&gt;"",H48,MAX('Vade Sapması'!$D$3,G48)))</f>
        <v/>
      </c>
      <c r="L48" s="30" t="str">
        <f aca="false">IF(F48="","",K48-B48)</f>
        <v/>
      </c>
      <c r="M48" s="30" t="str">
        <f aca="false">IF(F48="","",L48-J48)</f>
        <v/>
      </c>
      <c r="N48" s="32" t="str">
        <f aca="false">IF(F48="","",IF(H48&lt;&gt;"","Kapandı",IF('Vade Sapması'!$D$3&gt;G48,"Açık · vadesi geçti","Açık · vadesi gelmedi")))</f>
        <v/>
      </c>
      <c r="O48" s="30" t="str">
        <f aca="false">IF(F48="","",IF(AND(H48="",'Vade Sapması'!$D$3&gt;G48),'Vade Sapması'!$D$3-G48,0))</f>
        <v/>
      </c>
      <c r="P48" s="33" t="str">
        <f aca="false">IF(F48="","",F48*J48)</f>
        <v/>
      </c>
      <c r="Q48" s="33" t="str">
        <f aca="false">IF(F48="","",F48*L48)</f>
        <v/>
      </c>
      <c r="R48" s="33" t="str">
        <f aca="false">IF(F48="","",IF(H48="",F48,0))</f>
        <v/>
      </c>
      <c r="S48" s="32" t="str">
        <f aca="false">IF(F48="","",IF(N(O48)=0,"",IF(O48&lt;=30,"1-30",IF(O48&lt;=60,"31-60",IF(O48&lt;=90,"61-90","90+")))))</f>
        <v/>
      </c>
      <c r="T48" s="32" t="str">
        <f aca="false">IF(F48="","",IF(E48="","Diğer",E48))</f>
        <v/>
      </c>
      <c r="U48" s="32" t="str">
        <f aca="false">IF(OR(F48="",C48=""),"",IF(COUNTIF($C$2:C48,C48)=1,MAX($U$1:U47)+1,""))</f>
        <v/>
      </c>
    </row>
    <row r="49" customFormat="false" ht="15" hidden="false" customHeight="false" outlineLevel="0" collapsed="false">
      <c r="A49" s="34"/>
      <c r="B49" s="9"/>
      <c r="C49" s="34"/>
      <c r="D49" s="34"/>
      <c r="E49" s="34"/>
      <c r="F49" s="35"/>
      <c r="G49" s="9"/>
      <c r="H49" s="9"/>
      <c r="I49" s="34"/>
      <c r="J49" s="30" t="str">
        <f aca="false">IF(F49="","",G49-B49)</f>
        <v/>
      </c>
      <c r="K49" s="31" t="str">
        <f aca="false">IF(F49="","",IF(H49&lt;&gt;"",H49,MAX('Vade Sapması'!$D$3,G49)))</f>
        <v/>
      </c>
      <c r="L49" s="30" t="str">
        <f aca="false">IF(F49="","",K49-B49)</f>
        <v/>
      </c>
      <c r="M49" s="30" t="str">
        <f aca="false">IF(F49="","",L49-J49)</f>
        <v/>
      </c>
      <c r="N49" s="32" t="str">
        <f aca="false">IF(F49="","",IF(H49&lt;&gt;"","Kapandı",IF('Vade Sapması'!$D$3&gt;G49,"Açık · vadesi geçti","Açık · vadesi gelmedi")))</f>
        <v/>
      </c>
      <c r="O49" s="30" t="str">
        <f aca="false">IF(F49="","",IF(AND(H49="",'Vade Sapması'!$D$3&gt;G49),'Vade Sapması'!$D$3-G49,0))</f>
        <v/>
      </c>
      <c r="P49" s="33" t="str">
        <f aca="false">IF(F49="","",F49*J49)</f>
        <v/>
      </c>
      <c r="Q49" s="33" t="str">
        <f aca="false">IF(F49="","",F49*L49)</f>
        <v/>
      </c>
      <c r="R49" s="33" t="str">
        <f aca="false">IF(F49="","",IF(H49="",F49,0))</f>
        <v/>
      </c>
      <c r="S49" s="32" t="str">
        <f aca="false">IF(F49="","",IF(N(O49)=0,"",IF(O49&lt;=30,"1-30",IF(O49&lt;=60,"31-60",IF(O49&lt;=90,"61-90","90+")))))</f>
        <v/>
      </c>
      <c r="T49" s="32" t="str">
        <f aca="false">IF(F49="","",IF(E49="","Diğer",E49))</f>
        <v/>
      </c>
      <c r="U49" s="32" t="str">
        <f aca="false">IF(OR(F49="",C49=""),"",IF(COUNTIF($C$2:C49,C49)=1,MAX($U$1:U48)+1,""))</f>
        <v/>
      </c>
    </row>
    <row r="50" customFormat="false" ht="15" hidden="false" customHeight="false" outlineLevel="0" collapsed="false">
      <c r="A50" s="34"/>
      <c r="B50" s="9"/>
      <c r="C50" s="34"/>
      <c r="D50" s="34"/>
      <c r="E50" s="34"/>
      <c r="F50" s="35"/>
      <c r="G50" s="9"/>
      <c r="H50" s="9"/>
      <c r="I50" s="34"/>
      <c r="J50" s="30" t="str">
        <f aca="false">IF(F50="","",G50-B50)</f>
        <v/>
      </c>
      <c r="K50" s="31" t="str">
        <f aca="false">IF(F50="","",IF(H50&lt;&gt;"",H50,MAX('Vade Sapması'!$D$3,G50)))</f>
        <v/>
      </c>
      <c r="L50" s="30" t="str">
        <f aca="false">IF(F50="","",K50-B50)</f>
        <v/>
      </c>
      <c r="M50" s="30" t="str">
        <f aca="false">IF(F50="","",L50-J50)</f>
        <v/>
      </c>
      <c r="N50" s="32" t="str">
        <f aca="false">IF(F50="","",IF(H50&lt;&gt;"","Kapandı",IF('Vade Sapması'!$D$3&gt;G50,"Açık · vadesi geçti","Açık · vadesi gelmedi")))</f>
        <v/>
      </c>
      <c r="O50" s="30" t="str">
        <f aca="false">IF(F50="","",IF(AND(H50="",'Vade Sapması'!$D$3&gt;G50),'Vade Sapması'!$D$3-G50,0))</f>
        <v/>
      </c>
      <c r="P50" s="33" t="str">
        <f aca="false">IF(F50="","",F50*J50)</f>
        <v/>
      </c>
      <c r="Q50" s="33" t="str">
        <f aca="false">IF(F50="","",F50*L50)</f>
        <v/>
      </c>
      <c r="R50" s="33" t="str">
        <f aca="false">IF(F50="","",IF(H50="",F50,0))</f>
        <v/>
      </c>
      <c r="S50" s="32" t="str">
        <f aca="false">IF(F50="","",IF(N(O50)=0,"",IF(O50&lt;=30,"1-30",IF(O50&lt;=60,"31-60",IF(O50&lt;=90,"61-90","90+")))))</f>
        <v/>
      </c>
      <c r="T50" s="32" t="str">
        <f aca="false">IF(F50="","",IF(E50="","Diğer",E50))</f>
        <v/>
      </c>
      <c r="U50" s="32" t="str">
        <f aca="false">IF(OR(F50="",C50=""),"",IF(COUNTIF($C$2:C50,C50)=1,MAX($U$1:U49)+1,""))</f>
        <v/>
      </c>
    </row>
    <row r="51" customFormat="false" ht="15" hidden="false" customHeight="false" outlineLevel="0" collapsed="false">
      <c r="A51" s="34"/>
      <c r="B51" s="9"/>
      <c r="C51" s="34"/>
      <c r="D51" s="34"/>
      <c r="E51" s="34"/>
      <c r="F51" s="35"/>
      <c r="G51" s="9"/>
      <c r="H51" s="9"/>
      <c r="I51" s="34"/>
      <c r="J51" s="30" t="str">
        <f aca="false">IF(F51="","",G51-B51)</f>
        <v/>
      </c>
      <c r="K51" s="31" t="str">
        <f aca="false">IF(F51="","",IF(H51&lt;&gt;"",H51,MAX('Vade Sapması'!$D$3,G51)))</f>
        <v/>
      </c>
      <c r="L51" s="30" t="str">
        <f aca="false">IF(F51="","",K51-B51)</f>
        <v/>
      </c>
      <c r="M51" s="30" t="str">
        <f aca="false">IF(F51="","",L51-J51)</f>
        <v/>
      </c>
      <c r="N51" s="32" t="str">
        <f aca="false">IF(F51="","",IF(H51&lt;&gt;"","Kapandı",IF('Vade Sapması'!$D$3&gt;G51,"Açık · vadesi geçti","Açık · vadesi gelmedi")))</f>
        <v/>
      </c>
      <c r="O51" s="30" t="str">
        <f aca="false">IF(F51="","",IF(AND(H51="",'Vade Sapması'!$D$3&gt;G51),'Vade Sapması'!$D$3-G51,0))</f>
        <v/>
      </c>
      <c r="P51" s="33" t="str">
        <f aca="false">IF(F51="","",F51*J51)</f>
        <v/>
      </c>
      <c r="Q51" s="33" t="str">
        <f aca="false">IF(F51="","",F51*L51)</f>
        <v/>
      </c>
      <c r="R51" s="33" t="str">
        <f aca="false">IF(F51="","",IF(H51="",F51,0))</f>
        <v/>
      </c>
      <c r="S51" s="32" t="str">
        <f aca="false">IF(F51="","",IF(N(O51)=0,"",IF(O51&lt;=30,"1-30",IF(O51&lt;=60,"31-60",IF(O51&lt;=90,"61-90","90+")))))</f>
        <v/>
      </c>
      <c r="T51" s="32" t="str">
        <f aca="false">IF(F51="","",IF(E51="","Diğer",E51))</f>
        <v/>
      </c>
      <c r="U51" s="32" t="str">
        <f aca="false">IF(OR(F51="",C51=""),"",IF(COUNTIF($C$2:C51,C51)=1,MAX($U$1:U50)+1,""))</f>
        <v/>
      </c>
    </row>
    <row r="52" customFormat="false" ht="15" hidden="false" customHeight="false" outlineLevel="0" collapsed="false">
      <c r="A52" s="34"/>
      <c r="B52" s="9"/>
      <c r="C52" s="34"/>
      <c r="D52" s="34"/>
      <c r="E52" s="34"/>
      <c r="F52" s="35"/>
      <c r="G52" s="9"/>
      <c r="H52" s="9"/>
      <c r="I52" s="34"/>
      <c r="J52" s="30" t="str">
        <f aca="false">IF(F52="","",G52-B52)</f>
        <v/>
      </c>
      <c r="K52" s="31" t="str">
        <f aca="false">IF(F52="","",IF(H52&lt;&gt;"",H52,MAX('Vade Sapması'!$D$3,G52)))</f>
        <v/>
      </c>
      <c r="L52" s="30" t="str">
        <f aca="false">IF(F52="","",K52-B52)</f>
        <v/>
      </c>
      <c r="M52" s="30" t="str">
        <f aca="false">IF(F52="","",L52-J52)</f>
        <v/>
      </c>
      <c r="N52" s="32" t="str">
        <f aca="false">IF(F52="","",IF(H52&lt;&gt;"","Kapandı",IF('Vade Sapması'!$D$3&gt;G52,"Açık · vadesi geçti","Açık · vadesi gelmedi")))</f>
        <v/>
      </c>
      <c r="O52" s="30" t="str">
        <f aca="false">IF(F52="","",IF(AND(H52="",'Vade Sapması'!$D$3&gt;G52),'Vade Sapması'!$D$3-G52,0))</f>
        <v/>
      </c>
      <c r="P52" s="33" t="str">
        <f aca="false">IF(F52="","",F52*J52)</f>
        <v/>
      </c>
      <c r="Q52" s="33" t="str">
        <f aca="false">IF(F52="","",F52*L52)</f>
        <v/>
      </c>
      <c r="R52" s="33" t="str">
        <f aca="false">IF(F52="","",IF(H52="",F52,0))</f>
        <v/>
      </c>
      <c r="S52" s="32" t="str">
        <f aca="false">IF(F52="","",IF(N(O52)=0,"",IF(O52&lt;=30,"1-30",IF(O52&lt;=60,"31-60",IF(O52&lt;=90,"61-90","90+")))))</f>
        <v/>
      </c>
      <c r="T52" s="32" t="str">
        <f aca="false">IF(F52="","",IF(E52="","Diğer",E52))</f>
        <v/>
      </c>
      <c r="U52" s="32" t="str">
        <f aca="false">IF(OR(F52="",C52=""),"",IF(COUNTIF($C$2:C52,C52)=1,MAX($U$1:U51)+1,""))</f>
        <v/>
      </c>
    </row>
    <row r="53" customFormat="false" ht="15" hidden="false" customHeight="false" outlineLevel="0" collapsed="false">
      <c r="A53" s="34"/>
      <c r="B53" s="9"/>
      <c r="C53" s="34"/>
      <c r="D53" s="34"/>
      <c r="E53" s="34"/>
      <c r="F53" s="35"/>
      <c r="G53" s="9"/>
      <c r="H53" s="9"/>
      <c r="I53" s="34"/>
      <c r="J53" s="30" t="str">
        <f aca="false">IF(F53="","",G53-B53)</f>
        <v/>
      </c>
      <c r="K53" s="31" t="str">
        <f aca="false">IF(F53="","",IF(H53&lt;&gt;"",H53,MAX('Vade Sapması'!$D$3,G53)))</f>
        <v/>
      </c>
      <c r="L53" s="30" t="str">
        <f aca="false">IF(F53="","",K53-B53)</f>
        <v/>
      </c>
      <c r="M53" s="30" t="str">
        <f aca="false">IF(F53="","",L53-J53)</f>
        <v/>
      </c>
      <c r="N53" s="32" t="str">
        <f aca="false">IF(F53="","",IF(H53&lt;&gt;"","Kapandı",IF('Vade Sapması'!$D$3&gt;G53,"Açık · vadesi geçti","Açık · vadesi gelmedi")))</f>
        <v/>
      </c>
      <c r="O53" s="30" t="str">
        <f aca="false">IF(F53="","",IF(AND(H53="",'Vade Sapması'!$D$3&gt;G53),'Vade Sapması'!$D$3-G53,0))</f>
        <v/>
      </c>
      <c r="P53" s="33" t="str">
        <f aca="false">IF(F53="","",F53*J53)</f>
        <v/>
      </c>
      <c r="Q53" s="33" t="str">
        <f aca="false">IF(F53="","",F53*L53)</f>
        <v/>
      </c>
      <c r="R53" s="33" t="str">
        <f aca="false">IF(F53="","",IF(H53="",F53,0))</f>
        <v/>
      </c>
      <c r="S53" s="32" t="str">
        <f aca="false">IF(F53="","",IF(N(O53)=0,"",IF(O53&lt;=30,"1-30",IF(O53&lt;=60,"31-60",IF(O53&lt;=90,"61-90","90+")))))</f>
        <v/>
      </c>
      <c r="T53" s="32" t="str">
        <f aca="false">IF(F53="","",IF(E53="","Diğer",E53))</f>
        <v/>
      </c>
      <c r="U53" s="32" t="str">
        <f aca="false">IF(OR(F53="",C53=""),"",IF(COUNTIF($C$2:C53,C53)=1,MAX($U$1:U52)+1,""))</f>
        <v/>
      </c>
    </row>
    <row r="54" customFormat="false" ht="15" hidden="false" customHeight="false" outlineLevel="0" collapsed="false">
      <c r="A54" s="34"/>
      <c r="B54" s="9"/>
      <c r="C54" s="34"/>
      <c r="D54" s="34"/>
      <c r="E54" s="34"/>
      <c r="F54" s="35"/>
      <c r="G54" s="9"/>
      <c r="H54" s="9"/>
      <c r="I54" s="34"/>
      <c r="J54" s="30" t="str">
        <f aca="false">IF(F54="","",G54-B54)</f>
        <v/>
      </c>
      <c r="K54" s="31" t="str">
        <f aca="false">IF(F54="","",IF(H54&lt;&gt;"",H54,MAX('Vade Sapması'!$D$3,G54)))</f>
        <v/>
      </c>
      <c r="L54" s="30" t="str">
        <f aca="false">IF(F54="","",K54-B54)</f>
        <v/>
      </c>
      <c r="M54" s="30" t="str">
        <f aca="false">IF(F54="","",L54-J54)</f>
        <v/>
      </c>
      <c r="N54" s="32" t="str">
        <f aca="false">IF(F54="","",IF(H54&lt;&gt;"","Kapandı",IF('Vade Sapması'!$D$3&gt;G54,"Açık · vadesi geçti","Açık · vadesi gelmedi")))</f>
        <v/>
      </c>
      <c r="O54" s="30" t="str">
        <f aca="false">IF(F54="","",IF(AND(H54="",'Vade Sapması'!$D$3&gt;G54),'Vade Sapması'!$D$3-G54,0))</f>
        <v/>
      </c>
      <c r="P54" s="33" t="str">
        <f aca="false">IF(F54="","",F54*J54)</f>
        <v/>
      </c>
      <c r="Q54" s="33" t="str">
        <f aca="false">IF(F54="","",F54*L54)</f>
        <v/>
      </c>
      <c r="R54" s="33" t="str">
        <f aca="false">IF(F54="","",IF(H54="",F54,0))</f>
        <v/>
      </c>
      <c r="S54" s="32" t="str">
        <f aca="false">IF(F54="","",IF(N(O54)=0,"",IF(O54&lt;=30,"1-30",IF(O54&lt;=60,"31-60",IF(O54&lt;=90,"61-90","90+")))))</f>
        <v/>
      </c>
      <c r="T54" s="32" t="str">
        <f aca="false">IF(F54="","",IF(E54="","Diğer",E54))</f>
        <v/>
      </c>
      <c r="U54" s="32" t="str">
        <f aca="false">IF(OR(F54="",C54=""),"",IF(COUNTIF($C$2:C54,C54)=1,MAX($U$1:U53)+1,""))</f>
        <v/>
      </c>
    </row>
    <row r="55" customFormat="false" ht="15" hidden="false" customHeight="false" outlineLevel="0" collapsed="false">
      <c r="A55" s="34"/>
      <c r="B55" s="9"/>
      <c r="C55" s="34"/>
      <c r="D55" s="34"/>
      <c r="E55" s="34"/>
      <c r="F55" s="35"/>
      <c r="G55" s="9"/>
      <c r="H55" s="9"/>
      <c r="I55" s="34"/>
      <c r="J55" s="30" t="str">
        <f aca="false">IF(F55="","",G55-B55)</f>
        <v/>
      </c>
      <c r="K55" s="31" t="str">
        <f aca="false">IF(F55="","",IF(H55&lt;&gt;"",H55,MAX('Vade Sapması'!$D$3,G55)))</f>
        <v/>
      </c>
      <c r="L55" s="30" t="str">
        <f aca="false">IF(F55="","",K55-B55)</f>
        <v/>
      </c>
      <c r="M55" s="30" t="str">
        <f aca="false">IF(F55="","",L55-J55)</f>
        <v/>
      </c>
      <c r="N55" s="32" t="str">
        <f aca="false">IF(F55="","",IF(H55&lt;&gt;"","Kapandı",IF('Vade Sapması'!$D$3&gt;G55,"Açık · vadesi geçti","Açık · vadesi gelmedi")))</f>
        <v/>
      </c>
      <c r="O55" s="30" t="str">
        <f aca="false">IF(F55="","",IF(AND(H55="",'Vade Sapması'!$D$3&gt;G55),'Vade Sapması'!$D$3-G55,0))</f>
        <v/>
      </c>
      <c r="P55" s="33" t="str">
        <f aca="false">IF(F55="","",F55*J55)</f>
        <v/>
      </c>
      <c r="Q55" s="33" t="str">
        <f aca="false">IF(F55="","",F55*L55)</f>
        <v/>
      </c>
      <c r="R55" s="33" t="str">
        <f aca="false">IF(F55="","",IF(H55="",F55,0))</f>
        <v/>
      </c>
      <c r="S55" s="32" t="str">
        <f aca="false">IF(F55="","",IF(N(O55)=0,"",IF(O55&lt;=30,"1-30",IF(O55&lt;=60,"31-60",IF(O55&lt;=90,"61-90","90+")))))</f>
        <v/>
      </c>
      <c r="T55" s="32" t="str">
        <f aca="false">IF(F55="","",IF(E55="","Diğer",E55))</f>
        <v/>
      </c>
      <c r="U55" s="32" t="str">
        <f aca="false">IF(OR(F55="",C55=""),"",IF(COUNTIF($C$2:C55,C55)=1,MAX($U$1:U54)+1,""))</f>
        <v/>
      </c>
    </row>
    <row r="56" customFormat="false" ht="15" hidden="false" customHeight="false" outlineLevel="0" collapsed="false">
      <c r="A56" s="34"/>
      <c r="B56" s="9"/>
      <c r="C56" s="34"/>
      <c r="D56" s="34"/>
      <c r="E56" s="34"/>
      <c r="F56" s="35"/>
      <c r="G56" s="9"/>
      <c r="H56" s="9"/>
      <c r="I56" s="34"/>
      <c r="J56" s="30" t="str">
        <f aca="false">IF(F56="","",G56-B56)</f>
        <v/>
      </c>
      <c r="K56" s="31" t="str">
        <f aca="false">IF(F56="","",IF(H56&lt;&gt;"",H56,MAX('Vade Sapması'!$D$3,G56)))</f>
        <v/>
      </c>
      <c r="L56" s="30" t="str">
        <f aca="false">IF(F56="","",K56-B56)</f>
        <v/>
      </c>
      <c r="M56" s="30" t="str">
        <f aca="false">IF(F56="","",L56-J56)</f>
        <v/>
      </c>
      <c r="N56" s="32" t="str">
        <f aca="false">IF(F56="","",IF(H56&lt;&gt;"","Kapandı",IF('Vade Sapması'!$D$3&gt;G56,"Açık · vadesi geçti","Açık · vadesi gelmedi")))</f>
        <v/>
      </c>
      <c r="O56" s="30" t="str">
        <f aca="false">IF(F56="","",IF(AND(H56="",'Vade Sapması'!$D$3&gt;G56),'Vade Sapması'!$D$3-G56,0))</f>
        <v/>
      </c>
      <c r="P56" s="33" t="str">
        <f aca="false">IF(F56="","",F56*J56)</f>
        <v/>
      </c>
      <c r="Q56" s="33" t="str">
        <f aca="false">IF(F56="","",F56*L56)</f>
        <v/>
      </c>
      <c r="R56" s="33" t="str">
        <f aca="false">IF(F56="","",IF(H56="",F56,0))</f>
        <v/>
      </c>
      <c r="S56" s="32" t="str">
        <f aca="false">IF(F56="","",IF(N(O56)=0,"",IF(O56&lt;=30,"1-30",IF(O56&lt;=60,"31-60",IF(O56&lt;=90,"61-90","90+")))))</f>
        <v/>
      </c>
      <c r="T56" s="32" t="str">
        <f aca="false">IF(F56="","",IF(E56="","Diğer",E56))</f>
        <v/>
      </c>
      <c r="U56" s="32" t="str">
        <f aca="false">IF(OR(F56="",C56=""),"",IF(COUNTIF($C$2:C56,C56)=1,MAX($U$1:U55)+1,""))</f>
        <v/>
      </c>
    </row>
    <row r="57" customFormat="false" ht="15" hidden="false" customHeight="false" outlineLevel="0" collapsed="false">
      <c r="A57" s="34"/>
      <c r="B57" s="9"/>
      <c r="C57" s="34"/>
      <c r="D57" s="34"/>
      <c r="E57" s="34"/>
      <c r="F57" s="35"/>
      <c r="G57" s="9"/>
      <c r="H57" s="9"/>
      <c r="I57" s="34"/>
      <c r="J57" s="30" t="str">
        <f aca="false">IF(F57="","",G57-B57)</f>
        <v/>
      </c>
      <c r="K57" s="31" t="str">
        <f aca="false">IF(F57="","",IF(H57&lt;&gt;"",H57,MAX('Vade Sapması'!$D$3,G57)))</f>
        <v/>
      </c>
      <c r="L57" s="30" t="str">
        <f aca="false">IF(F57="","",K57-B57)</f>
        <v/>
      </c>
      <c r="M57" s="30" t="str">
        <f aca="false">IF(F57="","",L57-J57)</f>
        <v/>
      </c>
      <c r="N57" s="32" t="str">
        <f aca="false">IF(F57="","",IF(H57&lt;&gt;"","Kapandı",IF('Vade Sapması'!$D$3&gt;G57,"Açık · vadesi geçti","Açık · vadesi gelmedi")))</f>
        <v/>
      </c>
      <c r="O57" s="30" t="str">
        <f aca="false">IF(F57="","",IF(AND(H57="",'Vade Sapması'!$D$3&gt;G57),'Vade Sapması'!$D$3-G57,0))</f>
        <v/>
      </c>
      <c r="P57" s="33" t="str">
        <f aca="false">IF(F57="","",F57*J57)</f>
        <v/>
      </c>
      <c r="Q57" s="33" t="str">
        <f aca="false">IF(F57="","",F57*L57)</f>
        <v/>
      </c>
      <c r="R57" s="33" t="str">
        <f aca="false">IF(F57="","",IF(H57="",F57,0))</f>
        <v/>
      </c>
      <c r="S57" s="32" t="str">
        <f aca="false">IF(F57="","",IF(N(O57)=0,"",IF(O57&lt;=30,"1-30",IF(O57&lt;=60,"31-60",IF(O57&lt;=90,"61-90","90+")))))</f>
        <v/>
      </c>
      <c r="T57" s="32" t="str">
        <f aca="false">IF(F57="","",IF(E57="","Diğer",E57))</f>
        <v/>
      </c>
      <c r="U57" s="32" t="str">
        <f aca="false">IF(OR(F57="",C57=""),"",IF(COUNTIF($C$2:C57,C57)=1,MAX($U$1:U56)+1,""))</f>
        <v/>
      </c>
    </row>
    <row r="58" customFormat="false" ht="15" hidden="false" customHeight="false" outlineLevel="0" collapsed="false">
      <c r="A58" s="34"/>
      <c r="B58" s="9"/>
      <c r="C58" s="34"/>
      <c r="D58" s="34"/>
      <c r="E58" s="34"/>
      <c r="F58" s="35"/>
      <c r="G58" s="9"/>
      <c r="H58" s="9"/>
      <c r="I58" s="34"/>
      <c r="J58" s="30" t="str">
        <f aca="false">IF(F58="","",G58-B58)</f>
        <v/>
      </c>
      <c r="K58" s="31" t="str">
        <f aca="false">IF(F58="","",IF(H58&lt;&gt;"",H58,MAX('Vade Sapması'!$D$3,G58)))</f>
        <v/>
      </c>
      <c r="L58" s="30" t="str">
        <f aca="false">IF(F58="","",K58-B58)</f>
        <v/>
      </c>
      <c r="M58" s="30" t="str">
        <f aca="false">IF(F58="","",L58-J58)</f>
        <v/>
      </c>
      <c r="N58" s="32" t="str">
        <f aca="false">IF(F58="","",IF(H58&lt;&gt;"","Kapandı",IF('Vade Sapması'!$D$3&gt;G58,"Açık · vadesi geçti","Açık · vadesi gelmedi")))</f>
        <v/>
      </c>
      <c r="O58" s="30" t="str">
        <f aca="false">IF(F58="","",IF(AND(H58="",'Vade Sapması'!$D$3&gt;G58),'Vade Sapması'!$D$3-G58,0))</f>
        <v/>
      </c>
      <c r="P58" s="33" t="str">
        <f aca="false">IF(F58="","",F58*J58)</f>
        <v/>
      </c>
      <c r="Q58" s="33" t="str">
        <f aca="false">IF(F58="","",F58*L58)</f>
        <v/>
      </c>
      <c r="R58" s="33" t="str">
        <f aca="false">IF(F58="","",IF(H58="",F58,0))</f>
        <v/>
      </c>
      <c r="S58" s="32" t="str">
        <f aca="false">IF(F58="","",IF(N(O58)=0,"",IF(O58&lt;=30,"1-30",IF(O58&lt;=60,"31-60",IF(O58&lt;=90,"61-90","90+")))))</f>
        <v/>
      </c>
      <c r="T58" s="32" t="str">
        <f aca="false">IF(F58="","",IF(E58="","Diğer",E58))</f>
        <v/>
      </c>
      <c r="U58" s="32" t="str">
        <f aca="false">IF(OR(F58="",C58=""),"",IF(COUNTIF($C$2:C58,C58)=1,MAX($U$1:U57)+1,""))</f>
        <v/>
      </c>
    </row>
    <row r="59" customFormat="false" ht="15" hidden="false" customHeight="false" outlineLevel="0" collapsed="false">
      <c r="A59" s="34"/>
      <c r="B59" s="9"/>
      <c r="C59" s="34"/>
      <c r="D59" s="34"/>
      <c r="E59" s="34"/>
      <c r="F59" s="35"/>
      <c r="G59" s="9"/>
      <c r="H59" s="9"/>
      <c r="I59" s="34"/>
      <c r="J59" s="30" t="str">
        <f aca="false">IF(F59="","",G59-B59)</f>
        <v/>
      </c>
      <c r="K59" s="31" t="str">
        <f aca="false">IF(F59="","",IF(H59&lt;&gt;"",H59,MAX('Vade Sapması'!$D$3,G59)))</f>
        <v/>
      </c>
      <c r="L59" s="30" t="str">
        <f aca="false">IF(F59="","",K59-B59)</f>
        <v/>
      </c>
      <c r="M59" s="30" t="str">
        <f aca="false">IF(F59="","",L59-J59)</f>
        <v/>
      </c>
      <c r="N59" s="32" t="str">
        <f aca="false">IF(F59="","",IF(H59&lt;&gt;"","Kapandı",IF('Vade Sapması'!$D$3&gt;G59,"Açık · vadesi geçti","Açık · vadesi gelmedi")))</f>
        <v/>
      </c>
      <c r="O59" s="30" t="str">
        <f aca="false">IF(F59="","",IF(AND(H59="",'Vade Sapması'!$D$3&gt;G59),'Vade Sapması'!$D$3-G59,0))</f>
        <v/>
      </c>
      <c r="P59" s="33" t="str">
        <f aca="false">IF(F59="","",F59*J59)</f>
        <v/>
      </c>
      <c r="Q59" s="33" t="str">
        <f aca="false">IF(F59="","",F59*L59)</f>
        <v/>
      </c>
      <c r="R59" s="33" t="str">
        <f aca="false">IF(F59="","",IF(H59="",F59,0))</f>
        <v/>
      </c>
      <c r="S59" s="32" t="str">
        <f aca="false">IF(F59="","",IF(N(O59)=0,"",IF(O59&lt;=30,"1-30",IF(O59&lt;=60,"31-60",IF(O59&lt;=90,"61-90","90+")))))</f>
        <v/>
      </c>
      <c r="T59" s="32" t="str">
        <f aca="false">IF(F59="","",IF(E59="","Diğer",E59))</f>
        <v/>
      </c>
      <c r="U59" s="32" t="str">
        <f aca="false">IF(OR(F59="",C59=""),"",IF(COUNTIF($C$2:C59,C59)=1,MAX($U$1:U58)+1,""))</f>
        <v/>
      </c>
    </row>
    <row r="60" customFormat="false" ht="15" hidden="false" customHeight="false" outlineLevel="0" collapsed="false">
      <c r="A60" s="34"/>
      <c r="B60" s="9"/>
      <c r="C60" s="34"/>
      <c r="D60" s="34"/>
      <c r="E60" s="34"/>
      <c r="F60" s="35"/>
      <c r="G60" s="9"/>
      <c r="H60" s="9"/>
      <c r="I60" s="34"/>
      <c r="J60" s="30" t="str">
        <f aca="false">IF(F60="","",G60-B60)</f>
        <v/>
      </c>
      <c r="K60" s="31" t="str">
        <f aca="false">IF(F60="","",IF(H60&lt;&gt;"",H60,MAX('Vade Sapması'!$D$3,G60)))</f>
        <v/>
      </c>
      <c r="L60" s="30" t="str">
        <f aca="false">IF(F60="","",K60-B60)</f>
        <v/>
      </c>
      <c r="M60" s="30" t="str">
        <f aca="false">IF(F60="","",L60-J60)</f>
        <v/>
      </c>
      <c r="N60" s="32" t="str">
        <f aca="false">IF(F60="","",IF(H60&lt;&gt;"","Kapandı",IF('Vade Sapması'!$D$3&gt;G60,"Açık · vadesi geçti","Açık · vadesi gelmedi")))</f>
        <v/>
      </c>
      <c r="O60" s="30" t="str">
        <f aca="false">IF(F60="","",IF(AND(H60="",'Vade Sapması'!$D$3&gt;G60),'Vade Sapması'!$D$3-G60,0))</f>
        <v/>
      </c>
      <c r="P60" s="33" t="str">
        <f aca="false">IF(F60="","",F60*J60)</f>
        <v/>
      </c>
      <c r="Q60" s="33" t="str">
        <f aca="false">IF(F60="","",F60*L60)</f>
        <v/>
      </c>
      <c r="R60" s="33" t="str">
        <f aca="false">IF(F60="","",IF(H60="",F60,0))</f>
        <v/>
      </c>
      <c r="S60" s="32" t="str">
        <f aca="false">IF(F60="","",IF(N(O60)=0,"",IF(O60&lt;=30,"1-30",IF(O60&lt;=60,"31-60",IF(O60&lt;=90,"61-90","90+")))))</f>
        <v/>
      </c>
      <c r="T60" s="32" t="str">
        <f aca="false">IF(F60="","",IF(E60="","Diğer",E60))</f>
        <v/>
      </c>
      <c r="U60" s="32" t="str">
        <f aca="false">IF(OR(F60="",C60=""),"",IF(COUNTIF($C$2:C60,C60)=1,MAX($U$1:U59)+1,""))</f>
        <v/>
      </c>
    </row>
    <row r="61" customFormat="false" ht="15" hidden="false" customHeight="false" outlineLevel="0" collapsed="false">
      <c r="A61" s="34"/>
      <c r="B61" s="9"/>
      <c r="C61" s="34"/>
      <c r="D61" s="34"/>
      <c r="E61" s="34"/>
      <c r="F61" s="35"/>
      <c r="G61" s="9"/>
      <c r="H61" s="9"/>
      <c r="I61" s="34"/>
      <c r="J61" s="30" t="str">
        <f aca="false">IF(F61="","",G61-B61)</f>
        <v/>
      </c>
      <c r="K61" s="31" t="str">
        <f aca="false">IF(F61="","",IF(H61&lt;&gt;"",H61,MAX('Vade Sapması'!$D$3,G61)))</f>
        <v/>
      </c>
      <c r="L61" s="30" t="str">
        <f aca="false">IF(F61="","",K61-B61)</f>
        <v/>
      </c>
      <c r="M61" s="30" t="str">
        <f aca="false">IF(F61="","",L61-J61)</f>
        <v/>
      </c>
      <c r="N61" s="32" t="str">
        <f aca="false">IF(F61="","",IF(H61&lt;&gt;"","Kapandı",IF('Vade Sapması'!$D$3&gt;G61,"Açık · vadesi geçti","Açık · vadesi gelmedi")))</f>
        <v/>
      </c>
      <c r="O61" s="30" t="str">
        <f aca="false">IF(F61="","",IF(AND(H61="",'Vade Sapması'!$D$3&gt;G61),'Vade Sapması'!$D$3-G61,0))</f>
        <v/>
      </c>
      <c r="P61" s="33" t="str">
        <f aca="false">IF(F61="","",F61*J61)</f>
        <v/>
      </c>
      <c r="Q61" s="33" t="str">
        <f aca="false">IF(F61="","",F61*L61)</f>
        <v/>
      </c>
      <c r="R61" s="33" t="str">
        <f aca="false">IF(F61="","",IF(H61="",F61,0))</f>
        <v/>
      </c>
      <c r="S61" s="32" t="str">
        <f aca="false">IF(F61="","",IF(N(O61)=0,"",IF(O61&lt;=30,"1-30",IF(O61&lt;=60,"31-60",IF(O61&lt;=90,"61-90","90+")))))</f>
        <v/>
      </c>
      <c r="T61" s="32" t="str">
        <f aca="false">IF(F61="","",IF(E61="","Diğer",E61))</f>
        <v/>
      </c>
      <c r="U61" s="32" t="str">
        <f aca="false">IF(OR(F61="",C61=""),"",IF(COUNTIF($C$2:C61,C61)=1,MAX($U$1:U60)+1,""))</f>
        <v/>
      </c>
    </row>
    <row r="62" customFormat="false" ht="15" hidden="false" customHeight="false" outlineLevel="0" collapsed="false">
      <c r="A62" s="34"/>
      <c r="B62" s="9"/>
      <c r="C62" s="34"/>
      <c r="D62" s="34"/>
      <c r="E62" s="34"/>
      <c r="F62" s="35"/>
      <c r="G62" s="9"/>
      <c r="H62" s="9"/>
      <c r="I62" s="34"/>
      <c r="J62" s="30" t="str">
        <f aca="false">IF(F62="","",G62-B62)</f>
        <v/>
      </c>
      <c r="K62" s="31" t="str">
        <f aca="false">IF(F62="","",IF(H62&lt;&gt;"",H62,MAX('Vade Sapması'!$D$3,G62)))</f>
        <v/>
      </c>
      <c r="L62" s="30" t="str">
        <f aca="false">IF(F62="","",K62-B62)</f>
        <v/>
      </c>
      <c r="M62" s="30" t="str">
        <f aca="false">IF(F62="","",L62-J62)</f>
        <v/>
      </c>
      <c r="N62" s="32" t="str">
        <f aca="false">IF(F62="","",IF(H62&lt;&gt;"","Kapandı",IF('Vade Sapması'!$D$3&gt;G62,"Açık · vadesi geçti","Açık · vadesi gelmedi")))</f>
        <v/>
      </c>
      <c r="O62" s="30" t="str">
        <f aca="false">IF(F62="","",IF(AND(H62="",'Vade Sapması'!$D$3&gt;G62),'Vade Sapması'!$D$3-G62,0))</f>
        <v/>
      </c>
      <c r="P62" s="33" t="str">
        <f aca="false">IF(F62="","",F62*J62)</f>
        <v/>
      </c>
      <c r="Q62" s="33" t="str">
        <f aca="false">IF(F62="","",F62*L62)</f>
        <v/>
      </c>
      <c r="R62" s="33" t="str">
        <f aca="false">IF(F62="","",IF(H62="",F62,0))</f>
        <v/>
      </c>
      <c r="S62" s="32" t="str">
        <f aca="false">IF(F62="","",IF(N(O62)=0,"",IF(O62&lt;=30,"1-30",IF(O62&lt;=60,"31-60",IF(O62&lt;=90,"61-90","90+")))))</f>
        <v/>
      </c>
      <c r="T62" s="32" t="str">
        <f aca="false">IF(F62="","",IF(E62="","Diğer",E62))</f>
        <v/>
      </c>
      <c r="U62" s="32" t="str">
        <f aca="false">IF(OR(F62="",C62=""),"",IF(COUNTIF($C$2:C62,C62)=1,MAX($U$1:U61)+1,""))</f>
        <v/>
      </c>
    </row>
    <row r="63" customFormat="false" ht="15" hidden="false" customHeight="false" outlineLevel="0" collapsed="false">
      <c r="A63" s="34"/>
      <c r="B63" s="9"/>
      <c r="C63" s="34"/>
      <c r="D63" s="34"/>
      <c r="E63" s="34"/>
      <c r="F63" s="35"/>
      <c r="G63" s="9"/>
      <c r="H63" s="9"/>
      <c r="I63" s="34"/>
      <c r="J63" s="30" t="str">
        <f aca="false">IF(F63="","",G63-B63)</f>
        <v/>
      </c>
      <c r="K63" s="31" t="str">
        <f aca="false">IF(F63="","",IF(H63&lt;&gt;"",H63,MAX('Vade Sapması'!$D$3,G63)))</f>
        <v/>
      </c>
      <c r="L63" s="30" t="str">
        <f aca="false">IF(F63="","",K63-B63)</f>
        <v/>
      </c>
      <c r="M63" s="30" t="str">
        <f aca="false">IF(F63="","",L63-J63)</f>
        <v/>
      </c>
      <c r="N63" s="32" t="str">
        <f aca="false">IF(F63="","",IF(H63&lt;&gt;"","Kapandı",IF('Vade Sapması'!$D$3&gt;G63,"Açık · vadesi geçti","Açık · vadesi gelmedi")))</f>
        <v/>
      </c>
      <c r="O63" s="30" t="str">
        <f aca="false">IF(F63="","",IF(AND(H63="",'Vade Sapması'!$D$3&gt;G63),'Vade Sapması'!$D$3-G63,0))</f>
        <v/>
      </c>
      <c r="P63" s="33" t="str">
        <f aca="false">IF(F63="","",F63*J63)</f>
        <v/>
      </c>
      <c r="Q63" s="33" t="str">
        <f aca="false">IF(F63="","",F63*L63)</f>
        <v/>
      </c>
      <c r="R63" s="33" t="str">
        <f aca="false">IF(F63="","",IF(H63="",F63,0))</f>
        <v/>
      </c>
      <c r="S63" s="32" t="str">
        <f aca="false">IF(F63="","",IF(N(O63)=0,"",IF(O63&lt;=30,"1-30",IF(O63&lt;=60,"31-60",IF(O63&lt;=90,"61-90","90+")))))</f>
        <v/>
      </c>
      <c r="T63" s="32" t="str">
        <f aca="false">IF(F63="","",IF(E63="","Diğer",E63))</f>
        <v/>
      </c>
      <c r="U63" s="32" t="str">
        <f aca="false">IF(OR(F63="",C63=""),"",IF(COUNTIF($C$2:C63,C63)=1,MAX($U$1:U62)+1,""))</f>
        <v/>
      </c>
    </row>
    <row r="64" customFormat="false" ht="15" hidden="false" customHeight="false" outlineLevel="0" collapsed="false">
      <c r="A64" s="34"/>
      <c r="B64" s="9"/>
      <c r="C64" s="34"/>
      <c r="D64" s="34"/>
      <c r="E64" s="34"/>
      <c r="F64" s="35"/>
      <c r="G64" s="9"/>
      <c r="H64" s="9"/>
      <c r="I64" s="34"/>
      <c r="J64" s="30" t="str">
        <f aca="false">IF(F64="","",G64-B64)</f>
        <v/>
      </c>
      <c r="K64" s="31" t="str">
        <f aca="false">IF(F64="","",IF(H64&lt;&gt;"",H64,MAX('Vade Sapması'!$D$3,G64)))</f>
        <v/>
      </c>
      <c r="L64" s="30" t="str">
        <f aca="false">IF(F64="","",K64-B64)</f>
        <v/>
      </c>
      <c r="M64" s="30" t="str">
        <f aca="false">IF(F64="","",L64-J64)</f>
        <v/>
      </c>
      <c r="N64" s="32" t="str">
        <f aca="false">IF(F64="","",IF(H64&lt;&gt;"","Kapandı",IF('Vade Sapması'!$D$3&gt;G64,"Açık · vadesi geçti","Açık · vadesi gelmedi")))</f>
        <v/>
      </c>
      <c r="O64" s="30" t="str">
        <f aca="false">IF(F64="","",IF(AND(H64="",'Vade Sapması'!$D$3&gt;G64),'Vade Sapması'!$D$3-G64,0))</f>
        <v/>
      </c>
      <c r="P64" s="33" t="str">
        <f aca="false">IF(F64="","",F64*J64)</f>
        <v/>
      </c>
      <c r="Q64" s="33" t="str">
        <f aca="false">IF(F64="","",F64*L64)</f>
        <v/>
      </c>
      <c r="R64" s="33" t="str">
        <f aca="false">IF(F64="","",IF(H64="",F64,0))</f>
        <v/>
      </c>
      <c r="S64" s="32" t="str">
        <f aca="false">IF(F64="","",IF(N(O64)=0,"",IF(O64&lt;=30,"1-30",IF(O64&lt;=60,"31-60",IF(O64&lt;=90,"61-90","90+")))))</f>
        <v/>
      </c>
      <c r="T64" s="32" t="str">
        <f aca="false">IF(F64="","",IF(E64="","Diğer",E64))</f>
        <v/>
      </c>
      <c r="U64" s="32" t="str">
        <f aca="false">IF(OR(F64="",C64=""),"",IF(COUNTIF($C$2:C64,C64)=1,MAX($U$1:U63)+1,""))</f>
        <v/>
      </c>
    </row>
    <row r="65" customFormat="false" ht="15" hidden="false" customHeight="false" outlineLevel="0" collapsed="false">
      <c r="A65" s="34"/>
      <c r="B65" s="9"/>
      <c r="C65" s="34"/>
      <c r="D65" s="34"/>
      <c r="E65" s="34"/>
      <c r="F65" s="35"/>
      <c r="G65" s="9"/>
      <c r="H65" s="9"/>
      <c r="I65" s="34"/>
      <c r="J65" s="30" t="str">
        <f aca="false">IF(F65="","",G65-B65)</f>
        <v/>
      </c>
      <c r="K65" s="31" t="str">
        <f aca="false">IF(F65="","",IF(H65&lt;&gt;"",H65,MAX('Vade Sapması'!$D$3,G65)))</f>
        <v/>
      </c>
      <c r="L65" s="30" t="str">
        <f aca="false">IF(F65="","",K65-B65)</f>
        <v/>
      </c>
      <c r="M65" s="30" t="str">
        <f aca="false">IF(F65="","",L65-J65)</f>
        <v/>
      </c>
      <c r="N65" s="32" t="str">
        <f aca="false">IF(F65="","",IF(H65&lt;&gt;"","Kapandı",IF('Vade Sapması'!$D$3&gt;G65,"Açık · vadesi geçti","Açık · vadesi gelmedi")))</f>
        <v/>
      </c>
      <c r="O65" s="30" t="str">
        <f aca="false">IF(F65="","",IF(AND(H65="",'Vade Sapması'!$D$3&gt;G65),'Vade Sapması'!$D$3-G65,0))</f>
        <v/>
      </c>
      <c r="P65" s="33" t="str">
        <f aca="false">IF(F65="","",F65*J65)</f>
        <v/>
      </c>
      <c r="Q65" s="33" t="str">
        <f aca="false">IF(F65="","",F65*L65)</f>
        <v/>
      </c>
      <c r="R65" s="33" t="str">
        <f aca="false">IF(F65="","",IF(H65="",F65,0))</f>
        <v/>
      </c>
      <c r="S65" s="32" t="str">
        <f aca="false">IF(F65="","",IF(N(O65)=0,"",IF(O65&lt;=30,"1-30",IF(O65&lt;=60,"31-60",IF(O65&lt;=90,"61-90","90+")))))</f>
        <v/>
      </c>
      <c r="T65" s="32" t="str">
        <f aca="false">IF(F65="","",IF(E65="","Diğer",E65))</f>
        <v/>
      </c>
      <c r="U65" s="32" t="str">
        <f aca="false">IF(OR(F65="",C65=""),"",IF(COUNTIF($C$2:C65,C65)=1,MAX($U$1:U64)+1,""))</f>
        <v/>
      </c>
    </row>
    <row r="66" customFormat="false" ht="15" hidden="false" customHeight="false" outlineLevel="0" collapsed="false">
      <c r="A66" s="34"/>
      <c r="B66" s="9"/>
      <c r="C66" s="34"/>
      <c r="D66" s="34"/>
      <c r="E66" s="34"/>
      <c r="F66" s="35"/>
      <c r="G66" s="9"/>
      <c r="H66" s="9"/>
      <c r="I66" s="34"/>
      <c r="J66" s="30" t="str">
        <f aca="false">IF(F66="","",G66-B66)</f>
        <v/>
      </c>
      <c r="K66" s="31" t="str">
        <f aca="false">IF(F66="","",IF(H66&lt;&gt;"",H66,MAX('Vade Sapması'!$D$3,G66)))</f>
        <v/>
      </c>
      <c r="L66" s="30" t="str">
        <f aca="false">IF(F66="","",K66-B66)</f>
        <v/>
      </c>
      <c r="M66" s="30" t="str">
        <f aca="false">IF(F66="","",L66-J66)</f>
        <v/>
      </c>
      <c r="N66" s="32" t="str">
        <f aca="false">IF(F66="","",IF(H66&lt;&gt;"","Kapandı",IF('Vade Sapması'!$D$3&gt;G66,"Açık · vadesi geçti","Açık · vadesi gelmedi")))</f>
        <v/>
      </c>
      <c r="O66" s="30" t="str">
        <f aca="false">IF(F66="","",IF(AND(H66="",'Vade Sapması'!$D$3&gt;G66),'Vade Sapması'!$D$3-G66,0))</f>
        <v/>
      </c>
      <c r="P66" s="33" t="str">
        <f aca="false">IF(F66="","",F66*J66)</f>
        <v/>
      </c>
      <c r="Q66" s="33" t="str">
        <f aca="false">IF(F66="","",F66*L66)</f>
        <v/>
      </c>
      <c r="R66" s="33" t="str">
        <f aca="false">IF(F66="","",IF(H66="",F66,0))</f>
        <v/>
      </c>
      <c r="S66" s="32" t="str">
        <f aca="false">IF(F66="","",IF(N(O66)=0,"",IF(O66&lt;=30,"1-30",IF(O66&lt;=60,"31-60",IF(O66&lt;=90,"61-90","90+")))))</f>
        <v/>
      </c>
      <c r="T66" s="32" t="str">
        <f aca="false">IF(F66="","",IF(E66="","Diğer",E66))</f>
        <v/>
      </c>
      <c r="U66" s="32" t="str">
        <f aca="false">IF(OR(F66="",C66=""),"",IF(COUNTIF($C$2:C66,C66)=1,MAX($U$1:U65)+1,""))</f>
        <v/>
      </c>
    </row>
    <row r="67" customFormat="false" ht="15" hidden="false" customHeight="false" outlineLevel="0" collapsed="false">
      <c r="A67" s="34"/>
      <c r="B67" s="9"/>
      <c r="C67" s="34"/>
      <c r="D67" s="34"/>
      <c r="E67" s="34"/>
      <c r="F67" s="35"/>
      <c r="G67" s="9"/>
      <c r="H67" s="9"/>
      <c r="I67" s="34"/>
      <c r="J67" s="30" t="str">
        <f aca="false">IF(F67="","",G67-B67)</f>
        <v/>
      </c>
      <c r="K67" s="31" t="str">
        <f aca="false">IF(F67="","",IF(H67&lt;&gt;"",H67,MAX('Vade Sapması'!$D$3,G67)))</f>
        <v/>
      </c>
      <c r="L67" s="30" t="str">
        <f aca="false">IF(F67="","",K67-B67)</f>
        <v/>
      </c>
      <c r="M67" s="30" t="str">
        <f aca="false">IF(F67="","",L67-J67)</f>
        <v/>
      </c>
      <c r="N67" s="32" t="str">
        <f aca="false">IF(F67="","",IF(H67&lt;&gt;"","Kapandı",IF('Vade Sapması'!$D$3&gt;G67,"Açık · vadesi geçti","Açık · vadesi gelmedi")))</f>
        <v/>
      </c>
      <c r="O67" s="30" t="str">
        <f aca="false">IF(F67="","",IF(AND(H67="",'Vade Sapması'!$D$3&gt;G67),'Vade Sapması'!$D$3-G67,0))</f>
        <v/>
      </c>
      <c r="P67" s="33" t="str">
        <f aca="false">IF(F67="","",F67*J67)</f>
        <v/>
      </c>
      <c r="Q67" s="33" t="str">
        <f aca="false">IF(F67="","",F67*L67)</f>
        <v/>
      </c>
      <c r="R67" s="33" t="str">
        <f aca="false">IF(F67="","",IF(H67="",F67,0))</f>
        <v/>
      </c>
      <c r="S67" s="32" t="str">
        <f aca="false">IF(F67="","",IF(N(O67)=0,"",IF(O67&lt;=30,"1-30",IF(O67&lt;=60,"31-60",IF(O67&lt;=90,"61-90","90+")))))</f>
        <v/>
      </c>
      <c r="T67" s="32" t="str">
        <f aca="false">IF(F67="","",IF(E67="","Diğer",E67))</f>
        <v/>
      </c>
      <c r="U67" s="32" t="str">
        <f aca="false">IF(OR(F67="",C67=""),"",IF(COUNTIF($C$2:C67,C67)=1,MAX($U$1:U66)+1,""))</f>
        <v/>
      </c>
    </row>
    <row r="68" customFormat="false" ht="15" hidden="false" customHeight="false" outlineLevel="0" collapsed="false">
      <c r="A68" s="34"/>
      <c r="B68" s="9"/>
      <c r="C68" s="34"/>
      <c r="D68" s="34"/>
      <c r="E68" s="34"/>
      <c r="F68" s="35"/>
      <c r="G68" s="9"/>
      <c r="H68" s="9"/>
      <c r="I68" s="34"/>
      <c r="J68" s="30" t="str">
        <f aca="false">IF(F68="","",G68-B68)</f>
        <v/>
      </c>
      <c r="K68" s="31" t="str">
        <f aca="false">IF(F68="","",IF(H68&lt;&gt;"",H68,MAX('Vade Sapması'!$D$3,G68)))</f>
        <v/>
      </c>
      <c r="L68" s="30" t="str">
        <f aca="false">IF(F68="","",K68-B68)</f>
        <v/>
      </c>
      <c r="M68" s="30" t="str">
        <f aca="false">IF(F68="","",L68-J68)</f>
        <v/>
      </c>
      <c r="N68" s="32" t="str">
        <f aca="false">IF(F68="","",IF(H68&lt;&gt;"","Kapandı",IF('Vade Sapması'!$D$3&gt;G68,"Açık · vadesi geçti","Açık · vadesi gelmedi")))</f>
        <v/>
      </c>
      <c r="O68" s="30" t="str">
        <f aca="false">IF(F68="","",IF(AND(H68="",'Vade Sapması'!$D$3&gt;G68),'Vade Sapması'!$D$3-G68,0))</f>
        <v/>
      </c>
      <c r="P68" s="33" t="str">
        <f aca="false">IF(F68="","",F68*J68)</f>
        <v/>
      </c>
      <c r="Q68" s="33" t="str">
        <f aca="false">IF(F68="","",F68*L68)</f>
        <v/>
      </c>
      <c r="R68" s="33" t="str">
        <f aca="false">IF(F68="","",IF(H68="",F68,0))</f>
        <v/>
      </c>
      <c r="S68" s="32" t="str">
        <f aca="false">IF(F68="","",IF(N(O68)=0,"",IF(O68&lt;=30,"1-30",IF(O68&lt;=60,"31-60",IF(O68&lt;=90,"61-90","90+")))))</f>
        <v/>
      </c>
      <c r="T68" s="32" t="str">
        <f aca="false">IF(F68="","",IF(E68="","Diğer",E68))</f>
        <v/>
      </c>
      <c r="U68" s="32" t="str">
        <f aca="false">IF(OR(F68="",C68=""),"",IF(COUNTIF($C$2:C68,C68)=1,MAX($U$1:U67)+1,""))</f>
        <v/>
      </c>
    </row>
    <row r="69" customFormat="false" ht="15" hidden="false" customHeight="false" outlineLevel="0" collapsed="false">
      <c r="A69" s="34"/>
      <c r="B69" s="9"/>
      <c r="C69" s="34"/>
      <c r="D69" s="34"/>
      <c r="E69" s="34"/>
      <c r="F69" s="35"/>
      <c r="G69" s="9"/>
      <c r="H69" s="9"/>
      <c r="I69" s="34"/>
      <c r="J69" s="30" t="str">
        <f aca="false">IF(F69="","",G69-B69)</f>
        <v/>
      </c>
      <c r="K69" s="31" t="str">
        <f aca="false">IF(F69="","",IF(H69&lt;&gt;"",H69,MAX('Vade Sapması'!$D$3,G69)))</f>
        <v/>
      </c>
      <c r="L69" s="30" t="str">
        <f aca="false">IF(F69="","",K69-B69)</f>
        <v/>
      </c>
      <c r="M69" s="30" t="str">
        <f aca="false">IF(F69="","",L69-J69)</f>
        <v/>
      </c>
      <c r="N69" s="32" t="str">
        <f aca="false">IF(F69="","",IF(H69&lt;&gt;"","Kapandı",IF('Vade Sapması'!$D$3&gt;G69,"Açık · vadesi geçti","Açık · vadesi gelmedi")))</f>
        <v/>
      </c>
      <c r="O69" s="30" t="str">
        <f aca="false">IF(F69="","",IF(AND(H69="",'Vade Sapması'!$D$3&gt;G69),'Vade Sapması'!$D$3-G69,0))</f>
        <v/>
      </c>
      <c r="P69" s="33" t="str">
        <f aca="false">IF(F69="","",F69*J69)</f>
        <v/>
      </c>
      <c r="Q69" s="33" t="str">
        <f aca="false">IF(F69="","",F69*L69)</f>
        <v/>
      </c>
      <c r="R69" s="33" t="str">
        <f aca="false">IF(F69="","",IF(H69="",F69,0))</f>
        <v/>
      </c>
      <c r="S69" s="32" t="str">
        <f aca="false">IF(F69="","",IF(N(O69)=0,"",IF(O69&lt;=30,"1-30",IF(O69&lt;=60,"31-60",IF(O69&lt;=90,"61-90","90+")))))</f>
        <v/>
      </c>
      <c r="T69" s="32" t="str">
        <f aca="false">IF(F69="","",IF(E69="","Diğer",E69))</f>
        <v/>
      </c>
      <c r="U69" s="32" t="str">
        <f aca="false">IF(OR(F69="",C69=""),"",IF(COUNTIF($C$2:C69,C69)=1,MAX($U$1:U68)+1,""))</f>
        <v/>
      </c>
    </row>
    <row r="70" customFormat="false" ht="15" hidden="false" customHeight="false" outlineLevel="0" collapsed="false">
      <c r="A70" s="34"/>
      <c r="B70" s="9"/>
      <c r="C70" s="34"/>
      <c r="D70" s="34"/>
      <c r="E70" s="34"/>
      <c r="F70" s="35"/>
      <c r="G70" s="9"/>
      <c r="H70" s="9"/>
      <c r="I70" s="34"/>
      <c r="J70" s="30" t="str">
        <f aca="false">IF(F70="","",G70-B70)</f>
        <v/>
      </c>
      <c r="K70" s="31" t="str">
        <f aca="false">IF(F70="","",IF(H70&lt;&gt;"",H70,MAX('Vade Sapması'!$D$3,G70)))</f>
        <v/>
      </c>
      <c r="L70" s="30" t="str">
        <f aca="false">IF(F70="","",K70-B70)</f>
        <v/>
      </c>
      <c r="M70" s="30" t="str">
        <f aca="false">IF(F70="","",L70-J70)</f>
        <v/>
      </c>
      <c r="N70" s="32" t="str">
        <f aca="false">IF(F70="","",IF(H70&lt;&gt;"","Kapandı",IF('Vade Sapması'!$D$3&gt;G70,"Açık · vadesi geçti","Açık · vadesi gelmedi")))</f>
        <v/>
      </c>
      <c r="O70" s="30" t="str">
        <f aca="false">IF(F70="","",IF(AND(H70="",'Vade Sapması'!$D$3&gt;G70),'Vade Sapması'!$D$3-G70,0))</f>
        <v/>
      </c>
      <c r="P70" s="33" t="str">
        <f aca="false">IF(F70="","",F70*J70)</f>
        <v/>
      </c>
      <c r="Q70" s="33" t="str">
        <f aca="false">IF(F70="","",F70*L70)</f>
        <v/>
      </c>
      <c r="R70" s="33" t="str">
        <f aca="false">IF(F70="","",IF(H70="",F70,0))</f>
        <v/>
      </c>
      <c r="S70" s="32" t="str">
        <f aca="false">IF(F70="","",IF(N(O70)=0,"",IF(O70&lt;=30,"1-30",IF(O70&lt;=60,"31-60",IF(O70&lt;=90,"61-90","90+")))))</f>
        <v/>
      </c>
      <c r="T70" s="32" t="str">
        <f aca="false">IF(F70="","",IF(E70="","Diğer",E70))</f>
        <v/>
      </c>
      <c r="U70" s="32" t="str">
        <f aca="false">IF(OR(F70="",C70=""),"",IF(COUNTIF($C$2:C70,C70)=1,MAX($U$1:U69)+1,""))</f>
        <v/>
      </c>
    </row>
    <row r="71" customFormat="false" ht="15" hidden="false" customHeight="false" outlineLevel="0" collapsed="false">
      <c r="A71" s="34"/>
      <c r="B71" s="9"/>
      <c r="C71" s="34"/>
      <c r="D71" s="34"/>
      <c r="E71" s="34"/>
      <c r="F71" s="35"/>
      <c r="G71" s="9"/>
      <c r="H71" s="9"/>
      <c r="I71" s="34"/>
      <c r="J71" s="30" t="str">
        <f aca="false">IF(F71="","",G71-B71)</f>
        <v/>
      </c>
      <c r="K71" s="31" t="str">
        <f aca="false">IF(F71="","",IF(H71&lt;&gt;"",H71,MAX('Vade Sapması'!$D$3,G71)))</f>
        <v/>
      </c>
      <c r="L71" s="30" t="str">
        <f aca="false">IF(F71="","",K71-B71)</f>
        <v/>
      </c>
      <c r="M71" s="30" t="str">
        <f aca="false">IF(F71="","",L71-J71)</f>
        <v/>
      </c>
      <c r="N71" s="32" t="str">
        <f aca="false">IF(F71="","",IF(H71&lt;&gt;"","Kapandı",IF('Vade Sapması'!$D$3&gt;G71,"Açık · vadesi geçti","Açık · vadesi gelmedi")))</f>
        <v/>
      </c>
      <c r="O71" s="30" t="str">
        <f aca="false">IF(F71="","",IF(AND(H71="",'Vade Sapması'!$D$3&gt;G71),'Vade Sapması'!$D$3-G71,0))</f>
        <v/>
      </c>
      <c r="P71" s="33" t="str">
        <f aca="false">IF(F71="","",F71*J71)</f>
        <v/>
      </c>
      <c r="Q71" s="33" t="str">
        <f aca="false">IF(F71="","",F71*L71)</f>
        <v/>
      </c>
      <c r="R71" s="33" t="str">
        <f aca="false">IF(F71="","",IF(H71="",F71,0))</f>
        <v/>
      </c>
      <c r="S71" s="32" t="str">
        <f aca="false">IF(F71="","",IF(N(O71)=0,"",IF(O71&lt;=30,"1-30",IF(O71&lt;=60,"31-60",IF(O71&lt;=90,"61-90","90+")))))</f>
        <v/>
      </c>
      <c r="T71" s="32" t="str">
        <f aca="false">IF(F71="","",IF(E71="","Diğer",E71))</f>
        <v/>
      </c>
      <c r="U71" s="32" t="str">
        <f aca="false">IF(OR(F71="",C71=""),"",IF(COUNTIF($C$2:C71,C71)=1,MAX($U$1:U70)+1,""))</f>
        <v/>
      </c>
    </row>
    <row r="72" customFormat="false" ht="15" hidden="false" customHeight="false" outlineLevel="0" collapsed="false">
      <c r="A72" s="34"/>
      <c r="B72" s="9"/>
      <c r="C72" s="34"/>
      <c r="D72" s="34"/>
      <c r="E72" s="34"/>
      <c r="F72" s="35"/>
      <c r="G72" s="9"/>
      <c r="H72" s="9"/>
      <c r="I72" s="34"/>
      <c r="J72" s="30" t="str">
        <f aca="false">IF(F72="","",G72-B72)</f>
        <v/>
      </c>
      <c r="K72" s="31" t="str">
        <f aca="false">IF(F72="","",IF(H72&lt;&gt;"",H72,MAX('Vade Sapması'!$D$3,G72)))</f>
        <v/>
      </c>
      <c r="L72" s="30" t="str">
        <f aca="false">IF(F72="","",K72-B72)</f>
        <v/>
      </c>
      <c r="M72" s="30" t="str">
        <f aca="false">IF(F72="","",L72-J72)</f>
        <v/>
      </c>
      <c r="N72" s="32" t="str">
        <f aca="false">IF(F72="","",IF(H72&lt;&gt;"","Kapandı",IF('Vade Sapması'!$D$3&gt;G72,"Açık · vadesi geçti","Açık · vadesi gelmedi")))</f>
        <v/>
      </c>
      <c r="O72" s="30" t="str">
        <f aca="false">IF(F72="","",IF(AND(H72="",'Vade Sapması'!$D$3&gt;G72),'Vade Sapması'!$D$3-G72,0))</f>
        <v/>
      </c>
      <c r="P72" s="33" t="str">
        <f aca="false">IF(F72="","",F72*J72)</f>
        <v/>
      </c>
      <c r="Q72" s="33" t="str">
        <f aca="false">IF(F72="","",F72*L72)</f>
        <v/>
      </c>
      <c r="R72" s="33" t="str">
        <f aca="false">IF(F72="","",IF(H72="",F72,0))</f>
        <v/>
      </c>
      <c r="S72" s="32" t="str">
        <f aca="false">IF(F72="","",IF(N(O72)=0,"",IF(O72&lt;=30,"1-30",IF(O72&lt;=60,"31-60",IF(O72&lt;=90,"61-90","90+")))))</f>
        <v/>
      </c>
      <c r="T72" s="32" t="str">
        <f aca="false">IF(F72="","",IF(E72="","Diğer",E72))</f>
        <v/>
      </c>
      <c r="U72" s="32" t="str">
        <f aca="false">IF(OR(F72="",C72=""),"",IF(COUNTIF($C$2:C72,C72)=1,MAX($U$1:U71)+1,""))</f>
        <v/>
      </c>
    </row>
    <row r="73" customFormat="false" ht="15" hidden="false" customHeight="false" outlineLevel="0" collapsed="false">
      <c r="A73" s="34"/>
      <c r="B73" s="9"/>
      <c r="C73" s="34"/>
      <c r="D73" s="34"/>
      <c r="E73" s="34"/>
      <c r="F73" s="35"/>
      <c r="G73" s="9"/>
      <c r="H73" s="9"/>
      <c r="I73" s="34"/>
      <c r="J73" s="30" t="str">
        <f aca="false">IF(F73="","",G73-B73)</f>
        <v/>
      </c>
      <c r="K73" s="31" t="str">
        <f aca="false">IF(F73="","",IF(H73&lt;&gt;"",H73,MAX('Vade Sapması'!$D$3,G73)))</f>
        <v/>
      </c>
      <c r="L73" s="30" t="str">
        <f aca="false">IF(F73="","",K73-B73)</f>
        <v/>
      </c>
      <c r="M73" s="30" t="str">
        <f aca="false">IF(F73="","",L73-J73)</f>
        <v/>
      </c>
      <c r="N73" s="32" t="str">
        <f aca="false">IF(F73="","",IF(H73&lt;&gt;"","Kapandı",IF('Vade Sapması'!$D$3&gt;G73,"Açık · vadesi geçti","Açık · vadesi gelmedi")))</f>
        <v/>
      </c>
      <c r="O73" s="30" t="str">
        <f aca="false">IF(F73="","",IF(AND(H73="",'Vade Sapması'!$D$3&gt;G73),'Vade Sapması'!$D$3-G73,0))</f>
        <v/>
      </c>
      <c r="P73" s="33" t="str">
        <f aca="false">IF(F73="","",F73*J73)</f>
        <v/>
      </c>
      <c r="Q73" s="33" t="str">
        <f aca="false">IF(F73="","",F73*L73)</f>
        <v/>
      </c>
      <c r="R73" s="33" t="str">
        <f aca="false">IF(F73="","",IF(H73="",F73,0))</f>
        <v/>
      </c>
      <c r="S73" s="32" t="str">
        <f aca="false">IF(F73="","",IF(N(O73)=0,"",IF(O73&lt;=30,"1-30",IF(O73&lt;=60,"31-60",IF(O73&lt;=90,"61-90","90+")))))</f>
        <v/>
      </c>
      <c r="T73" s="32" t="str">
        <f aca="false">IF(F73="","",IF(E73="","Diğer",E73))</f>
        <v/>
      </c>
      <c r="U73" s="32" t="str">
        <f aca="false">IF(OR(F73="",C73=""),"",IF(COUNTIF($C$2:C73,C73)=1,MAX($U$1:U72)+1,""))</f>
        <v/>
      </c>
    </row>
    <row r="74" customFormat="false" ht="15" hidden="false" customHeight="false" outlineLevel="0" collapsed="false">
      <c r="A74" s="34"/>
      <c r="B74" s="9"/>
      <c r="C74" s="34"/>
      <c r="D74" s="34"/>
      <c r="E74" s="34"/>
      <c r="F74" s="35"/>
      <c r="G74" s="9"/>
      <c r="H74" s="9"/>
      <c r="I74" s="34"/>
      <c r="J74" s="30" t="str">
        <f aca="false">IF(F74="","",G74-B74)</f>
        <v/>
      </c>
      <c r="K74" s="31" t="str">
        <f aca="false">IF(F74="","",IF(H74&lt;&gt;"",H74,MAX('Vade Sapması'!$D$3,G74)))</f>
        <v/>
      </c>
      <c r="L74" s="30" t="str">
        <f aca="false">IF(F74="","",K74-B74)</f>
        <v/>
      </c>
      <c r="M74" s="30" t="str">
        <f aca="false">IF(F74="","",L74-J74)</f>
        <v/>
      </c>
      <c r="N74" s="32" t="str">
        <f aca="false">IF(F74="","",IF(H74&lt;&gt;"","Kapandı",IF('Vade Sapması'!$D$3&gt;G74,"Açık · vadesi geçti","Açık · vadesi gelmedi")))</f>
        <v/>
      </c>
      <c r="O74" s="30" t="str">
        <f aca="false">IF(F74="","",IF(AND(H74="",'Vade Sapması'!$D$3&gt;G74),'Vade Sapması'!$D$3-G74,0))</f>
        <v/>
      </c>
      <c r="P74" s="33" t="str">
        <f aca="false">IF(F74="","",F74*J74)</f>
        <v/>
      </c>
      <c r="Q74" s="33" t="str">
        <f aca="false">IF(F74="","",F74*L74)</f>
        <v/>
      </c>
      <c r="R74" s="33" t="str">
        <f aca="false">IF(F74="","",IF(H74="",F74,0))</f>
        <v/>
      </c>
      <c r="S74" s="32" t="str">
        <f aca="false">IF(F74="","",IF(N(O74)=0,"",IF(O74&lt;=30,"1-30",IF(O74&lt;=60,"31-60",IF(O74&lt;=90,"61-90","90+")))))</f>
        <v/>
      </c>
      <c r="T74" s="32" t="str">
        <f aca="false">IF(F74="","",IF(E74="","Diğer",E74))</f>
        <v/>
      </c>
      <c r="U74" s="32" t="str">
        <f aca="false">IF(OR(F74="",C74=""),"",IF(COUNTIF($C$2:C74,C74)=1,MAX($U$1:U73)+1,""))</f>
        <v/>
      </c>
    </row>
    <row r="75" customFormat="false" ht="15" hidden="false" customHeight="false" outlineLevel="0" collapsed="false">
      <c r="A75" s="34"/>
      <c r="B75" s="9"/>
      <c r="C75" s="34"/>
      <c r="D75" s="34"/>
      <c r="E75" s="34"/>
      <c r="F75" s="35"/>
      <c r="G75" s="9"/>
      <c r="H75" s="9"/>
      <c r="I75" s="34"/>
      <c r="J75" s="30" t="str">
        <f aca="false">IF(F75="","",G75-B75)</f>
        <v/>
      </c>
      <c r="K75" s="31" t="str">
        <f aca="false">IF(F75="","",IF(H75&lt;&gt;"",H75,MAX('Vade Sapması'!$D$3,G75)))</f>
        <v/>
      </c>
      <c r="L75" s="30" t="str">
        <f aca="false">IF(F75="","",K75-B75)</f>
        <v/>
      </c>
      <c r="M75" s="30" t="str">
        <f aca="false">IF(F75="","",L75-J75)</f>
        <v/>
      </c>
      <c r="N75" s="32" t="str">
        <f aca="false">IF(F75="","",IF(H75&lt;&gt;"","Kapandı",IF('Vade Sapması'!$D$3&gt;G75,"Açık · vadesi geçti","Açık · vadesi gelmedi")))</f>
        <v/>
      </c>
      <c r="O75" s="30" t="str">
        <f aca="false">IF(F75="","",IF(AND(H75="",'Vade Sapması'!$D$3&gt;G75),'Vade Sapması'!$D$3-G75,0))</f>
        <v/>
      </c>
      <c r="P75" s="33" t="str">
        <f aca="false">IF(F75="","",F75*J75)</f>
        <v/>
      </c>
      <c r="Q75" s="33" t="str">
        <f aca="false">IF(F75="","",F75*L75)</f>
        <v/>
      </c>
      <c r="R75" s="33" t="str">
        <f aca="false">IF(F75="","",IF(H75="",F75,0))</f>
        <v/>
      </c>
      <c r="S75" s="32" t="str">
        <f aca="false">IF(F75="","",IF(N(O75)=0,"",IF(O75&lt;=30,"1-30",IF(O75&lt;=60,"31-60",IF(O75&lt;=90,"61-90","90+")))))</f>
        <v/>
      </c>
      <c r="T75" s="32" t="str">
        <f aca="false">IF(F75="","",IF(E75="","Diğer",E75))</f>
        <v/>
      </c>
      <c r="U75" s="32" t="str">
        <f aca="false">IF(OR(F75="",C75=""),"",IF(COUNTIF($C$2:C75,C75)=1,MAX($U$1:U74)+1,""))</f>
        <v/>
      </c>
    </row>
    <row r="76" customFormat="false" ht="15" hidden="false" customHeight="false" outlineLevel="0" collapsed="false">
      <c r="A76" s="34"/>
      <c r="B76" s="9"/>
      <c r="C76" s="34"/>
      <c r="D76" s="34"/>
      <c r="E76" s="34"/>
      <c r="F76" s="35"/>
      <c r="G76" s="9"/>
      <c r="H76" s="9"/>
      <c r="I76" s="34"/>
      <c r="J76" s="30" t="str">
        <f aca="false">IF(F76="","",G76-B76)</f>
        <v/>
      </c>
      <c r="K76" s="31" t="str">
        <f aca="false">IF(F76="","",IF(H76&lt;&gt;"",H76,MAX('Vade Sapması'!$D$3,G76)))</f>
        <v/>
      </c>
      <c r="L76" s="30" t="str">
        <f aca="false">IF(F76="","",K76-B76)</f>
        <v/>
      </c>
      <c r="M76" s="30" t="str">
        <f aca="false">IF(F76="","",L76-J76)</f>
        <v/>
      </c>
      <c r="N76" s="32" t="str">
        <f aca="false">IF(F76="","",IF(H76&lt;&gt;"","Kapandı",IF('Vade Sapması'!$D$3&gt;G76,"Açık · vadesi geçti","Açık · vadesi gelmedi")))</f>
        <v/>
      </c>
      <c r="O76" s="30" t="str">
        <f aca="false">IF(F76="","",IF(AND(H76="",'Vade Sapması'!$D$3&gt;G76),'Vade Sapması'!$D$3-G76,0))</f>
        <v/>
      </c>
      <c r="P76" s="33" t="str">
        <f aca="false">IF(F76="","",F76*J76)</f>
        <v/>
      </c>
      <c r="Q76" s="33" t="str">
        <f aca="false">IF(F76="","",F76*L76)</f>
        <v/>
      </c>
      <c r="R76" s="33" t="str">
        <f aca="false">IF(F76="","",IF(H76="",F76,0))</f>
        <v/>
      </c>
      <c r="S76" s="32" t="str">
        <f aca="false">IF(F76="","",IF(N(O76)=0,"",IF(O76&lt;=30,"1-30",IF(O76&lt;=60,"31-60",IF(O76&lt;=90,"61-90","90+")))))</f>
        <v/>
      </c>
      <c r="T76" s="32" t="str">
        <f aca="false">IF(F76="","",IF(E76="","Diğer",E76))</f>
        <v/>
      </c>
      <c r="U76" s="32" t="str">
        <f aca="false">IF(OR(F76="",C76=""),"",IF(COUNTIF($C$2:C76,C76)=1,MAX($U$1:U75)+1,""))</f>
        <v/>
      </c>
    </row>
    <row r="77" customFormat="false" ht="15" hidden="false" customHeight="false" outlineLevel="0" collapsed="false">
      <c r="A77" s="34"/>
      <c r="B77" s="9"/>
      <c r="C77" s="34"/>
      <c r="D77" s="34"/>
      <c r="E77" s="34"/>
      <c r="F77" s="35"/>
      <c r="G77" s="9"/>
      <c r="H77" s="9"/>
      <c r="I77" s="34"/>
      <c r="J77" s="30" t="str">
        <f aca="false">IF(F77="","",G77-B77)</f>
        <v/>
      </c>
      <c r="K77" s="31" t="str">
        <f aca="false">IF(F77="","",IF(H77&lt;&gt;"",H77,MAX('Vade Sapması'!$D$3,G77)))</f>
        <v/>
      </c>
      <c r="L77" s="30" t="str">
        <f aca="false">IF(F77="","",K77-B77)</f>
        <v/>
      </c>
      <c r="M77" s="30" t="str">
        <f aca="false">IF(F77="","",L77-J77)</f>
        <v/>
      </c>
      <c r="N77" s="32" t="str">
        <f aca="false">IF(F77="","",IF(H77&lt;&gt;"","Kapandı",IF('Vade Sapması'!$D$3&gt;G77,"Açık · vadesi geçti","Açık · vadesi gelmedi")))</f>
        <v/>
      </c>
      <c r="O77" s="30" t="str">
        <f aca="false">IF(F77="","",IF(AND(H77="",'Vade Sapması'!$D$3&gt;G77),'Vade Sapması'!$D$3-G77,0))</f>
        <v/>
      </c>
      <c r="P77" s="33" t="str">
        <f aca="false">IF(F77="","",F77*J77)</f>
        <v/>
      </c>
      <c r="Q77" s="33" t="str">
        <f aca="false">IF(F77="","",F77*L77)</f>
        <v/>
      </c>
      <c r="R77" s="33" t="str">
        <f aca="false">IF(F77="","",IF(H77="",F77,0))</f>
        <v/>
      </c>
      <c r="S77" s="32" t="str">
        <f aca="false">IF(F77="","",IF(N(O77)=0,"",IF(O77&lt;=30,"1-30",IF(O77&lt;=60,"31-60",IF(O77&lt;=90,"61-90","90+")))))</f>
        <v/>
      </c>
      <c r="T77" s="32" t="str">
        <f aca="false">IF(F77="","",IF(E77="","Diğer",E77))</f>
        <v/>
      </c>
      <c r="U77" s="32" t="str">
        <f aca="false">IF(OR(F77="",C77=""),"",IF(COUNTIF($C$2:C77,C77)=1,MAX($U$1:U76)+1,""))</f>
        <v/>
      </c>
    </row>
    <row r="78" customFormat="false" ht="15" hidden="false" customHeight="false" outlineLevel="0" collapsed="false">
      <c r="A78" s="34"/>
      <c r="B78" s="9"/>
      <c r="C78" s="34"/>
      <c r="D78" s="34"/>
      <c r="E78" s="34"/>
      <c r="F78" s="35"/>
      <c r="G78" s="9"/>
      <c r="H78" s="9"/>
      <c r="I78" s="34"/>
      <c r="J78" s="30" t="str">
        <f aca="false">IF(F78="","",G78-B78)</f>
        <v/>
      </c>
      <c r="K78" s="31" t="str">
        <f aca="false">IF(F78="","",IF(H78&lt;&gt;"",H78,MAX('Vade Sapması'!$D$3,G78)))</f>
        <v/>
      </c>
      <c r="L78" s="30" t="str">
        <f aca="false">IF(F78="","",K78-B78)</f>
        <v/>
      </c>
      <c r="M78" s="30" t="str">
        <f aca="false">IF(F78="","",L78-J78)</f>
        <v/>
      </c>
      <c r="N78" s="32" t="str">
        <f aca="false">IF(F78="","",IF(H78&lt;&gt;"","Kapandı",IF('Vade Sapması'!$D$3&gt;G78,"Açık · vadesi geçti","Açık · vadesi gelmedi")))</f>
        <v/>
      </c>
      <c r="O78" s="30" t="str">
        <f aca="false">IF(F78="","",IF(AND(H78="",'Vade Sapması'!$D$3&gt;G78),'Vade Sapması'!$D$3-G78,0))</f>
        <v/>
      </c>
      <c r="P78" s="33" t="str">
        <f aca="false">IF(F78="","",F78*J78)</f>
        <v/>
      </c>
      <c r="Q78" s="33" t="str">
        <f aca="false">IF(F78="","",F78*L78)</f>
        <v/>
      </c>
      <c r="R78" s="33" t="str">
        <f aca="false">IF(F78="","",IF(H78="",F78,0))</f>
        <v/>
      </c>
      <c r="S78" s="32" t="str">
        <f aca="false">IF(F78="","",IF(N(O78)=0,"",IF(O78&lt;=30,"1-30",IF(O78&lt;=60,"31-60",IF(O78&lt;=90,"61-90","90+")))))</f>
        <v/>
      </c>
      <c r="T78" s="32" t="str">
        <f aca="false">IF(F78="","",IF(E78="","Diğer",E78))</f>
        <v/>
      </c>
      <c r="U78" s="32" t="str">
        <f aca="false">IF(OR(F78="",C78=""),"",IF(COUNTIF($C$2:C78,C78)=1,MAX($U$1:U77)+1,""))</f>
        <v/>
      </c>
    </row>
    <row r="79" customFormat="false" ht="15" hidden="false" customHeight="false" outlineLevel="0" collapsed="false">
      <c r="A79" s="34"/>
      <c r="B79" s="9"/>
      <c r="C79" s="34"/>
      <c r="D79" s="34"/>
      <c r="E79" s="34"/>
      <c r="F79" s="35"/>
      <c r="G79" s="9"/>
      <c r="H79" s="9"/>
      <c r="I79" s="34"/>
      <c r="J79" s="30" t="str">
        <f aca="false">IF(F79="","",G79-B79)</f>
        <v/>
      </c>
      <c r="K79" s="31" t="str">
        <f aca="false">IF(F79="","",IF(H79&lt;&gt;"",H79,MAX('Vade Sapması'!$D$3,G79)))</f>
        <v/>
      </c>
      <c r="L79" s="30" t="str">
        <f aca="false">IF(F79="","",K79-B79)</f>
        <v/>
      </c>
      <c r="M79" s="30" t="str">
        <f aca="false">IF(F79="","",L79-J79)</f>
        <v/>
      </c>
      <c r="N79" s="32" t="str">
        <f aca="false">IF(F79="","",IF(H79&lt;&gt;"","Kapandı",IF('Vade Sapması'!$D$3&gt;G79,"Açık · vadesi geçti","Açık · vadesi gelmedi")))</f>
        <v/>
      </c>
      <c r="O79" s="30" t="str">
        <f aca="false">IF(F79="","",IF(AND(H79="",'Vade Sapması'!$D$3&gt;G79),'Vade Sapması'!$D$3-G79,0))</f>
        <v/>
      </c>
      <c r="P79" s="33" t="str">
        <f aca="false">IF(F79="","",F79*J79)</f>
        <v/>
      </c>
      <c r="Q79" s="33" t="str">
        <f aca="false">IF(F79="","",F79*L79)</f>
        <v/>
      </c>
      <c r="R79" s="33" t="str">
        <f aca="false">IF(F79="","",IF(H79="",F79,0))</f>
        <v/>
      </c>
      <c r="S79" s="32" t="str">
        <f aca="false">IF(F79="","",IF(N(O79)=0,"",IF(O79&lt;=30,"1-30",IF(O79&lt;=60,"31-60",IF(O79&lt;=90,"61-90","90+")))))</f>
        <v/>
      </c>
      <c r="T79" s="32" t="str">
        <f aca="false">IF(F79="","",IF(E79="","Diğer",E79))</f>
        <v/>
      </c>
      <c r="U79" s="32" t="str">
        <f aca="false">IF(OR(F79="",C79=""),"",IF(COUNTIF($C$2:C79,C79)=1,MAX($U$1:U78)+1,""))</f>
        <v/>
      </c>
    </row>
    <row r="80" customFormat="false" ht="15" hidden="false" customHeight="false" outlineLevel="0" collapsed="false">
      <c r="A80" s="34"/>
      <c r="B80" s="9"/>
      <c r="C80" s="34"/>
      <c r="D80" s="34"/>
      <c r="E80" s="34"/>
      <c r="F80" s="35"/>
      <c r="G80" s="9"/>
      <c r="H80" s="9"/>
      <c r="I80" s="34"/>
      <c r="J80" s="30" t="str">
        <f aca="false">IF(F80="","",G80-B80)</f>
        <v/>
      </c>
      <c r="K80" s="31" t="str">
        <f aca="false">IF(F80="","",IF(H80&lt;&gt;"",H80,MAX('Vade Sapması'!$D$3,G80)))</f>
        <v/>
      </c>
      <c r="L80" s="30" t="str">
        <f aca="false">IF(F80="","",K80-B80)</f>
        <v/>
      </c>
      <c r="M80" s="30" t="str">
        <f aca="false">IF(F80="","",L80-J80)</f>
        <v/>
      </c>
      <c r="N80" s="32" t="str">
        <f aca="false">IF(F80="","",IF(H80&lt;&gt;"","Kapandı",IF('Vade Sapması'!$D$3&gt;G80,"Açık · vadesi geçti","Açık · vadesi gelmedi")))</f>
        <v/>
      </c>
      <c r="O80" s="30" t="str">
        <f aca="false">IF(F80="","",IF(AND(H80="",'Vade Sapması'!$D$3&gt;G80),'Vade Sapması'!$D$3-G80,0))</f>
        <v/>
      </c>
      <c r="P80" s="33" t="str">
        <f aca="false">IF(F80="","",F80*J80)</f>
        <v/>
      </c>
      <c r="Q80" s="33" t="str">
        <f aca="false">IF(F80="","",F80*L80)</f>
        <v/>
      </c>
      <c r="R80" s="33" t="str">
        <f aca="false">IF(F80="","",IF(H80="",F80,0))</f>
        <v/>
      </c>
      <c r="S80" s="32" t="str">
        <f aca="false">IF(F80="","",IF(N(O80)=0,"",IF(O80&lt;=30,"1-30",IF(O80&lt;=60,"31-60",IF(O80&lt;=90,"61-90","90+")))))</f>
        <v/>
      </c>
      <c r="T80" s="32" t="str">
        <f aca="false">IF(F80="","",IF(E80="","Diğer",E80))</f>
        <v/>
      </c>
      <c r="U80" s="32" t="str">
        <f aca="false">IF(OR(F80="",C80=""),"",IF(COUNTIF($C$2:C80,C80)=1,MAX($U$1:U79)+1,""))</f>
        <v/>
      </c>
    </row>
    <row r="81" customFormat="false" ht="15" hidden="false" customHeight="false" outlineLevel="0" collapsed="false">
      <c r="A81" s="34"/>
      <c r="B81" s="9"/>
      <c r="C81" s="34"/>
      <c r="D81" s="34"/>
      <c r="E81" s="34"/>
      <c r="F81" s="35"/>
      <c r="G81" s="9"/>
      <c r="H81" s="9"/>
      <c r="I81" s="34"/>
      <c r="J81" s="30" t="str">
        <f aca="false">IF(F81="","",G81-B81)</f>
        <v/>
      </c>
      <c r="K81" s="31" t="str">
        <f aca="false">IF(F81="","",IF(H81&lt;&gt;"",H81,MAX('Vade Sapması'!$D$3,G81)))</f>
        <v/>
      </c>
      <c r="L81" s="30" t="str">
        <f aca="false">IF(F81="","",K81-B81)</f>
        <v/>
      </c>
      <c r="M81" s="30" t="str">
        <f aca="false">IF(F81="","",L81-J81)</f>
        <v/>
      </c>
      <c r="N81" s="32" t="str">
        <f aca="false">IF(F81="","",IF(H81&lt;&gt;"","Kapandı",IF('Vade Sapması'!$D$3&gt;G81,"Açık · vadesi geçti","Açık · vadesi gelmedi")))</f>
        <v/>
      </c>
      <c r="O81" s="30" t="str">
        <f aca="false">IF(F81="","",IF(AND(H81="",'Vade Sapması'!$D$3&gt;G81),'Vade Sapması'!$D$3-G81,0))</f>
        <v/>
      </c>
      <c r="P81" s="33" t="str">
        <f aca="false">IF(F81="","",F81*J81)</f>
        <v/>
      </c>
      <c r="Q81" s="33" t="str">
        <f aca="false">IF(F81="","",F81*L81)</f>
        <v/>
      </c>
      <c r="R81" s="33" t="str">
        <f aca="false">IF(F81="","",IF(H81="",F81,0))</f>
        <v/>
      </c>
      <c r="S81" s="32" t="str">
        <f aca="false">IF(F81="","",IF(N(O81)=0,"",IF(O81&lt;=30,"1-30",IF(O81&lt;=60,"31-60",IF(O81&lt;=90,"61-90","90+")))))</f>
        <v/>
      </c>
      <c r="T81" s="32" t="str">
        <f aca="false">IF(F81="","",IF(E81="","Diğer",E81))</f>
        <v/>
      </c>
      <c r="U81" s="32" t="str">
        <f aca="false">IF(OR(F81="",C81=""),"",IF(COUNTIF($C$2:C81,C81)=1,MAX($U$1:U80)+1,""))</f>
        <v/>
      </c>
    </row>
    <row r="82" customFormat="false" ht="15" hidden="false" customHeight="false" outlineLevel="0" collapsed="false">
      <c r="A82" s="34"/>
      <c r="B82" s="9"/>
      <c r="C82" s="34"/>
      <c r="D82" s="34"/>
      <c r="E82" s="34"/>
      <c r="F82" s="35"/>
      <c r="G82" s="9"/>
      <c r="H82" s="9"/>
      <c r="I82" s="34"/>
      <c r="J82" s="30" t="str">
        <f aca="false">IF(F82="","",G82-B82)</f>
        <v/>
      </c>
      <c r="K82" s="31" t="str">
        <f aca="false">IF(F82="","",IF(H82&lt;&gt;"",H82,MAX('Vade Sapması'!$D$3,G82)))</f>
        <v/>
      </c>
      <c r="L82" s="30" t="str">
        <f aca="false">IF(F82="","",K82-B82)</f>
        <v/>
      </c>
      <c r="M82" s="30" t="str">
        <f aca="false">IF(F82="","",L82-J82)</f>
        <v/>
      </c>
      <c r="N82" s="32" t="str">
        <f aca="false">IF(F82="","",IF(H82&lt;&gt;"","Kapandı",IF('Vade Sapması'!$D$3&gt;G82,"Açık · vadesi geçti","Açık · vadesi gelmedi")))</f>
        <v/>
      </c>
      <c r="O82" s="30" t="str">
        <f aca="false">IF(F82="","",IF(AND(H82="",'Vade Sapması'!$D$3&gt;G82),'Vade Sapması'!$D$3-G82,0))</f>
        <v/>
      </c>
      <c r="P82" s="33" t="str">
        <f aca="false">IF(F82="","",F82*J82)</f>
        <v/>
      </c>
      <c r="Q82" s="33" t="str">
        <f aca="false">IF(F82="","",F82*L82)</f>
        <v/>
      </c>
      <c r="R82" s="33" t="str">
        <f aca="false">IF(F82="","",IF(H82="",F82,0))</f>
        <v/>
      </c>
      <c r="S82" s="32" t="str">
        <f aca="false">IF(F82="","",IF(N(O82)=0,"",IF(O82&lt;=30,"1-30",IF(O82&lt;=60,"31-60",IF(O82&lt;=90,"61-90","90+")))))</f>
        <v/>
      </c>
      <c r="T82" s="32" t="str">
        <f aca="false">IF(F82="","",IF(E82="","Diğer",E82))</f>
        <v/>
      </c>
      <c r="U82" s="32" t="str">
        <f aca="false">IF(OR(F82="",C82=""),"",IF(COUNTIF($C$2:C82,C82)=1,MAX($U$1:U81)+1,""))</f>
        <v/>
      </c>
    </row>
    <row r="83" customFormat="false" ht="15" hidden="false" customHeight="false" outlineLevel="0" collapsed="false">
      <c r="A83" s="34"/>
      <c r="B83" s="9"/>
      <c r="C83" s="34"/>
      <c r="D83" s="34"/>
      <c r="E83" s="34"/>
      <c r="F83" s="35"/>
      <c r="G83" s="9"/>
      <c r="H83" s="9"/>
      <c r="I83" s="34"/>
      <c r="J83" s="30" t="str">
        <f aca="false">IF(F83="","",G83-B83)</f>
        <v/>
      </c>
      <c r="K83" s="31" t="str">
        <f aca="false">IF(F83="","",IF(H83&lt;&gt;"",H83,MAX('Vade Sapması'!$D$3,G83)))</f>
        <v/>
      </c>
      <c r="L83" s="30" t="str">
        <f aca="false">IF(F83="","",K83-B83)</f>
        <v/>
      </c>
      <c r="M83" s="30" t="str">
        <f aca="false">IF(F83="","",L83-J83)</f>
        <v/>
      </c>
      <c r="N83" s="32" t="str">
        <f aca="false">IF(F83="","",IF(H83&lt;&gt;"","Kapandı",IF('Vade Sapması'!$D$3&gt;G83,"Açık · vadesi geçti","Açık · vadesi gelmedi")))</f>
        <v/>
      </c>
      <c r="O83" s="30" t="str">
        <f aca="false">IF(F83="","",IF(AND(H83="",'Vade Sapması'!$D$3&gt;G83),'Vade Sapması'!$D$3-G83,0))</f>
        <v/>
      </c>
      <c r="P83" s="33" t="str">
        <f aca="false">IF(F83="","",F83*J83)</f>
        <v/>
      </c>
      <c r="Q83" s="33" t="str">
        <f aca="false">IF(F83="","",F83*L83)</f>
        <v/>
      </c>
      <c r="R83" s="33" t="str">
        <f aca="false">IF(F83="","",IF(H83="",F83,0))</f>
        <v/>
      </c>
      <c r="S83" s="32" t="str">
        <f aca="false">IF(F83="","",IF(N(O83)=0,"",IF(O83&lt;=30,"1-30",IF(O83&lt;=60,"31-60",IF(O83&lt;=90,"61-90","90+")))))</f>
        <v/>
      </c>
      <c r="T83" s="32" t="str">
        <f aca="false">IF(F83="","",IF(E83="","Diğer",E83))</f>
        <v/>
      </c>
      <c r="U83" s="32" t="str">
        <f aca="false">IF(OR(F83="",C83=""),"",IF(COUNTIF($C$2:C83,C83)=1,MAX($U$1:U82)+1,""))</f>
        <v/>
      </c>
    </row>
    <row r="84" customFormat="false" ht="15" hidden="false" customHeight="false" outlineLevel="0" collapsed="false">
      <c r="A84" s="34"/>
      <c r="B84" s="9"/>
      <c r="C84" s="34"/>
      <c r="D84" s="34"/>
      <c r="E84" s="34"/>
      <c r="F84" s="35"/>
      <c r="G84" s="9"/>
      <c r="H84" s="9"/>
      <c r="I84" s="34"/>
      <c r="J84" s="30" t="str">
        <f aca="false">IF(F84="","",G84-B84)</f>
        <v/>
      </c>
      <c r="K84" s="31" t="str">
        <f aca="false">IF(F84="","",IF(H84&lt;&gt;"",H84,MAX('Vade Sapması'!$D$3,G84)))</f>
        <v/>
      </c>
      <c r="L84" s="30" t="str">
        <f aca="false">IF(F84="","",K84-B84)</f>
        <v/>
      </c>
      <c r="M84" s="30" t="str">
        <f aca="false">IF(F84="","",L84-J84)</f>
        <v/>
      </c>
      <c r="N84" s="32" t="str">
        <f aca="false">IF(F84="","",IF(H84&lt;&gt;"","Kapandı",IF('Vade Sapması'!$D$3&gt;G84,"Açık · vadesi geçti","Açık · vadesi gelmedi")))</f>
        <v/>
      </c>
      <c r="O84" s="30" t="str">
        <f aca="false">IF(F84="","",IF(AND(H84="",'Vade Sapması'!$D$3&gt;G84),'Vade Sapması'!$D$3-G84,0))</f>
        <v/>
      </c>
      <c r="P84" s="33" t="str">
        <f aca="false">IF(F84="","",F84*J84)</f>
        <v/>
      </c>
      <c r="Q84" s="33" t="str">
        <f aca="false">IF(F84="","",F84*L84)</f>
        <v/>
      </c>
      <c r="R84" s="33" t="str">
        <f aca="false">IF(F84="","",IF(H84="",F84,0))</f>
        <v/>
      </c>
      <c r="S84" s="32" t="str">
        <f aca="false">IF(F84="","",IF(N(O84)=0,"",IF(O84&lt;=30,"1-30",IF(O84&lt;=60,"31-60",IF(O84&lt;=90,"61-90","90+")))))</f>
        <v/>
      </c>
      <c r="T84" s="32" t="str">
        <f aca="false">IF(F84="","",IF(E84="","Diğer",E84))</f>
        <v/>
      </c>
      <c r="U84" s="32" t="str">
        <f aca="false">IF(OR(F84="",C84=""),"",IF(COUNTIF($C$2:C84,C84)=1,MAX($U$1:U83)+1,""))</f>
        <v/>
      </c>
    </row>
    <row r="85" customFormat="false" ht="15" hidden="false" customHeight="false" outlineLevel="0" collapsed="false">
      <c r="A85" s="34"/>
      <c r="B85" s="9"/>
      <c r="C85" s="34"/>
      <c r="D85" s="34"/>
      <c r="E85" s="34"/>
      <c r="F85" s="35"/>
      <c r="G85" s="9"/>
      <c r="H85" s="9"/>
      <c r="I85" s="34"/>
      <c r="J85" s="30" t="str">
        <f aca="false">IF(F85="","",G85-B85)</f>
        <v/>
      </c>
      <c r="K85" s="31" t="str">
        <f aca="false">IF(F85="","",IF(H85&lt;&gt;"",H85,MAX('Vade Sapması'!$D$3,G85)))</f>
        <v/>
      </c>
      <c r="L85" s="30" t="str">
        <f aca="false">IF(F85="","",K85-B85)</f>
        <v/>
      </c>
      <c r="M85" s="30" t="str">
        <f aca="false">IF(F85="","",L85-J85)</f>
        <v/>
      </c>
      <c r="N85" s="32" t="str">
        <f aca="false">IF(F85="","",IF(H85&lt;&gt;"","Kapandı",IF('Vade Sapması'!$D$3&gt;G85,"Açık · vadesi geçti","Açık · vadesi gelmedi")))</f>
        <v/>
      </c>
      <c r="O85" s="30" t="str">
        <f aca="false">IF(F85="","",IF(AND(H85="",'Vade Sapması'!$D$3&gt;G85),'Vade Sapması'!$D$3-G85,0))</f>
        <v/>
      </c>
      <c r="P85" s="33" t="str">
        <f aca="false">IF(F85="","",F85*J85)</f>
        <v/>
      </c>
      <c r="Q85" s="33" t="str">
        <f aca="false">IF(F85="","",F85*L85)</f>
        <v/>
      </c>
      <c r="R85" s="33" t="str">
        <f aca="false">IF(F85="","",IF(H85="",F85,0))</f>
        <v/>
      </c>
      <c r="S85" s="32" t="str">
        <f aca="false">IF(F85="","",IF(N(O85)=0,"",IF(O85&lt;=30,"1-30",IF(O85&lt;=60,"31-60",IF(O85&lt;=90,"61-90","90+")))))</f>
        <v/>
      </c>
      <c r="T85" s="32" t="str">
        <f aca="false">IF(F85="","",IF(E85="","Diğer",E85))</f>
        <v/>
      </c>
      <c r="U85" s="32" t="str">
        <f aca="false">IF(OR(F85="",C85=""),"",IF(COUNTIF($C$2:C85,C85)=1,MAX($U$1:U84)+1,""))</f>
        <v/>
      </c>
    </row>
    <row r="86" customFormat="false" ht="15" hidden="false" customHeight="false" outlineLevel="0" collapsed="false">
      <c r="A86" s="34"/>
      <c r="B86" s="9"/>
      <c r="C86" s="34"/>
      <c r="D86" s="34"/>
      <c r="E86" s="34"/>
      <c r="F86" s="35"/>
      <c r="G86" s="9"/>
      <c r="H86" s="9"/>
      <c r="I86" s="34"/>
      <c r="J86" s="30" t="str">
        <f aca="false">IF(F86="","",G86-B86)</f>
        <v/>
      </c>
      <c r="K86" s="31" t="str">
        <f aca="false">IF(F86="","",IF(H86&lt;&gt;"",H86,MAX('Vade Sapması'!$D$3,G86)))</f>
        <v/>
      </c>
      <c r="L86" s="30" t="str">
        <f aca="false">IF(F86="","",K86-B86)</f>
        <v/>
      </c>
      <c r="M86" s="30" t="str">
        <f aca="false">IF(F86="","",L86-J86)</f>
        <v/>
      </c>
      <c r="N86" s="32" t="str">
        <f aca="false">IF(F86="","",IF(H86&lt;&gt;"","Kapandı",IF('Vade Sapması'!$D$3&gt;G86,"Açık · vadesi geçti","Açık · vadesi gelmedi")))</f>
        <v/>
      </c>
      <c r="O86" s="30" t="str">
        <f aca="false">IF(F86="","",IF(AND(H86="",'Vade Sapması'!$D$3&gt;G86),'Vade Sapması'!$D$3-G86,0))</f>
        <v/>
      </c>
      <c r="P86" s="33" t="str">
        <f aca="false">IF(F86="","",F86*J86)</f>
        <v/>
      </c>
      <c r="Q86" s="33" t="str">
        <f aca="false">IF(F86="","",F86*L86)</f>
        <v/>
      </c>
      <c r="R86" s="33" t="str">
        <f aca="false">IF(F86="","",IF(H86="",F86,0))</f>
        <v/>
      </c>
      <c r="S86" s="32" t="str">
        <f aca="false">IF(F86="","",IF(N(O86)=0,"",IF(O86&lt;=30,"1-30",IF(O86&lt;=60,"31-60",IF(O86&lt;=90,"61-90","90+")))))</f>
        <v/>
      </c>
      <c r="T86" s="32" t="str">
        <f aca="false">IF(F86="","",IF(E86="","Diğer",E86))</f>
        <v/>
      </c>
      <c r="U86" s="32" t="str">
        <f aca="false">IF(OR(F86="",C86=""),"",IF(COUNTIF($C$2:C86,C86)=1,MAX($U$1:U85)+1,""))</f>
        <v/>
      </c>
    </row>
    <row r="87" customFormat="false" ht="15" hidden="false" customHeight="false" outlineLevel="0" collapsed="false">
      <c r="A87" s="34"/>
      <c r="B87" s="9"/>
      <c r="C87" s="34"/>
      <c r="D87" s="34"/>
      <c r="E87" s="34"/>
      <c r="F87" s="35"/>
      <c r="G87" s="9"/>
      <c r="H87" s="9"/>
      <c r="I87" s="34"/>
      <c r="J87" s="30" t="str">
        <f aca="false">IF(F87="","",G87-B87)</f>
        <v/>
      </c>
      <c r="K87" s="31" t="str">
        <f aca="false">IF(F87="","",IF(H87&lt;&gt;"",H87,MAX('Vade Sapması'!$D$3,G87)))</f>
        <v/>
      </c>
      <c r="L87" s="30" t="str">
        <f aca="false">IF(F87="","",K87-B87)</f>
        <v/>
      </c>
      <c r="M87" s="30" t="str">
        <f aca="false">IF(F87="","",L87-J87)</f>
        <v/>
      </c>
      <c r="N87" s="32" t="str">
        <f aca="false">IF(F87="","",IF(H87&lt;&gt;"","Kapandı",IF('Vade Sapması'!$D$3&gt;G87,"Açık · vadesi geçti","Açık · vadesi gelmedi")))</f>
        <v/>
      </c>
      <c r="O87" s="30" t="str">
        <f aca="false">IF(F87="","",IF(AND(H87="",'Vade Sapması'!$D$3&gt;G87),'Vade Sapması'!$D$3-G87,0))</f>
        <v/>
      </c>
      <c r="P87" s="33" t="str">
        <f aca="false">IF(F87="","",F87*J87)</f>
        <v/>
      </c>
      <c r="Q87" s="33" t="str">
        <f aca="false">IF(F87="","",F87*L87)</f>
        <v/>
      </c>
      <c r="R87" s="33" t="str">
        <f aca="false">IF(F87="","",IF(H87="",F87,0))</f>
        <v/>
      </c>
      <c r="S87" s="32" t="str">
        <f aca="false">IF(F87="","",IF(N(O87)=0,"",IF(O87&lt;=30,"1-30",IF(O87&lt;=60,"31-60",IF(O87&lt;=90,"61-90","90+")))))</f>
        <v/>
      </c>
      <c r="T87" s="32" t="str">
        <f aca="false">IF(F87="","",IF(E87="","Diğer",E87))</f>
        <v/>
      </c>
      <c r="U87" s="32" t="str">
        <f aca="false">IF(OR(F87="",C87=""),"",IF(COUNTIF($C$2:C87,C87)=1,MAX($U$1:U86)+1,""))</f>
        <v/>
      </c>
    </row>
    <row r="88" customFormat="false" ht="15" hidden="false" customHeight="false" outlineLevel="0" collapsed="false">
      <c r="A88" s="34"/>
      <c r="B88" s="9"/>
      <c r="C88" s="34"/>
      <c r="D88" s="34"/>
      <c r="E88" s="34"/>
      <c r="F88" s="35"/>
      <c r="G88" s="9"/>
      <c r="H88" s="9"/>
      <c r="I88" s="34"/>
      <c r="J88" s="30" t="str">
        <f aca="false">IF(F88="","",G88-B88)</f>
        <v/>
      </c>
      <c r="K88" s="31" t="str">
        <f aca="false">IF(F88="","",IF(H88&lt;&gt;"",H88,MAX('Vade Sapması'!$D$3,G88)))</f>
        <v/>
      </c>
      <c r="L88" s="30" t="str">
        <f aca="false">IF(F88="","",K88-B88)</f>
        <v/>
      </c>
      <c r="M88" s="30" t="str">
        <f aca="false">IF(F88="","",L88-J88)</f>
        <v/>
      </c>
      <c r="N88" s="32" t="str">
        <f aca="false">IF(F88="","",IF(H88&lt;&gt;"","Kapandı",IF('Vade Sapması'!$D$3&gt;G88,"Açık · vadesi geçti","Açık · vadesi gelmedi")))</f>
        <v/>
      </c>
      <c r="O88" s="30" t="str">
        <f aca="false">IF(F88="","",IF(AND(H88="",'Vade Sapması'!$D$3&gt;G88),'Vade Sapması'!$D$3-G88,0))</f>
        <v/>
      </c>
      <c r="P88" s="33" t="str">
        <f aca="false">IF(F88="","",F88*J88)</f>
        <v/>
      </c>
      <c r="Q88" s="33" t="str">
        <f aca="false">IF(F88="","",F88*L88)</f>
        <v/>
      </c>
      <c r="R88" s="33" t="str">
        <f aca="false">IF(F88="","",IF(H88="",F88,0))</f>
        <v/>
      </c>
      <c r="S88" s="32" t="str">
        <f aca="false">IF(F88="","",IF(N(O88)=0,"",IF(O88&lt;=30,"1-30",IF(O88&lt;=60,"31-60",IF(O88&lt;=90,"61-90","90+")))))</f>
        <v/>
      </c>
      <c r="T88" s="32" t="str">
        <f aca="false">IF(F88="","",IF(E88="","Diğer",E88))</f>
        <v/>
      </c>
      <c r="U88" s="32" t="str">
        <f aca="false">IF(OR(F88="",C88=""),"",IF(COUNTIF($C$2:C88,C88)=1,MAX($U$1:U87)+1,""))</f>
        <v/>
      </c>
    </row>
    <row r="89" customFormat="false" ht="15" hidden="false" customHeight="false" outlineLevel="0" collapsed="false">
      <c r="A89" s="34"/>
      <c r="B89" s="9"/>
      <c r="C89" s="34"/>
      <c r="D89" s="34"/>
      <c r="E89" s="34"/>
      <c r="F89" s="35"/>
      <c r="G89" s="9"/>
      <c r="H89" s="9"/>
      <c r="I89" s="34"/>
      <c r="J89" s="30" t="str">
        <f aca="false">IF(F89="","",G89-B89)</f>
        <v/>
      </c>
      <c r="K89" s="31" t="str">
        <f aca="false">IF(F89="","",IF(H89&lt;&gt;"",H89,MAX('Vade Sapması'!$D$3,G89)))</f>
        <v/>
      </c>
      <c r="L89" s="30" t="str">
        <f aca="false">IF(F89="","",K89-B89)</f>
        <v/>
      </c>
      <c r="M89" s="30" t="str">
        <f aca="false">IF(F89="","",L89-J89)</f>
        <v/>
      </c>
      <c r="N89" s="32" t="str">
        <f aca="false">IF(F89="","",IF(H89&lt;&gt;"","Kapandı",IF('Vade Sapması'!$D$3&gt;G89,"Açık · vadesi geçti","Açık · vadesi gelmedi")))</f>
        <v/>
      </c>
      <c r="O89" s="30" t="str">
        <f aca="false">IF(F89="","",IF(AND(H89="",'Vade Sapması'!$D$3&gt;G89),'Vade Sapması'!$D$3-G89,0))</f>
        <v/>
      </c>
      <c r="P89" s="33" t="str">
        <f aca="false">IF(F89="","",F89*J89)</f>
        <v/>
      </c>
      <c r="Q89" s="33" t="str">
        <f aca="false">IF(F89="","",F89*L89)</f>
        <v/>
      </c>
      <c r="R89" s="33" t="str">
        <f aca="false">IF(F89="","",IF(H89="",F89,0))</f>
        <v/>
      </c>
      <c r="S89" s="32" t="str">
        <f aca="false">IF(F89="","",IF(N(O89)=0,"",IF(O89&lt;=30,"1-30",IF(O89&lt;=60,"31-60",IF(O89&lt;=90,"61-90","90+")))))</f>
        <v/>
      </c>
      <c r="T89" s="32" t="str">
        <f aca="false">IF(F89="","",IF(E89="","Diğer",E89))</f>
        <v/>
      </c>
      <c r="U89" s="32" t="str">
        <f aca="false">IF(OR(F89="",C89=""),"",IF(COUNTIF($C$2:C89,C89)=1,MAX($U$1:U88)+1,""))</f>
        <v/>
      </c>
    </row>
    <row r="90" customFormat="false" ht="15" hidden="false" customHeight="false" outlineLevel="0" collapsed="false">
      <c r="A90" s="34"/>
      <c r="B90" s="9"/>
      <c r="C90" s="34"/>
      <c r="D90" s="34"/>
      <c r="E90" s="34"/>
      <c r="F90" s="35"/>
      <c r="G90" s="9"/>
      <c r="H90" s="9"/>
      <c r="I90" s="34"/>
      <c r="J90" s="30" t="str">
        <f aca="false">IF(F90="","",G90-B90)</f>
        <v/>
      </c>
      <c r="K90" s="31" t="str">
        <f aca="false">IF(F90="","",IF(H90&lt;&gt;"",H90,MAX('Vade Sapması'!$D$3,G90)))</f>
        <v/>
      </c>
      <c r="L90" s="30" t="str">
        <f aca="false">IF(F90="","",K90-B90)</f>
        <v/>
      </c>
      <c r="M90" s="30" t="str">
        <f aca="false">IF(F90="","",L90-J90)</f>
        <v/>
      </c>
      <c r="N90" s="32" t="str">
        <f aca="false">IF(F90="","",IF(H90&lt;&gt;"","Kapandı",IF('Vade Sapması'!$D$3&gt;G90,"Açık · vadesi geçti","Açık · vadesi gelmedi")))</f>
        <v/>
      </c>
      <c r="O90" s="30" t="str">
        <f aca="false">IF(F90="","",IF(AND(H90="",'Vade Sapması'!$D$3&gt;G90),'Vade Sapması'!$D$3-G90,0))</f>
        <v/>
      </c>
      <c r="P90" s="33" t="str">
        <f aca="false">IF(F90="","",F90*J90)</f>
        <v/>
      </c>
      <c r="Q90" s="33" t="str">
        <f aca="false">IF(F90="","",F90*L90)</f>
        <v/>
      </c>
      <c r="R90" s="33" t="str">
        <f aca="false">IF(F90="","",IF(H90="",F90,0))</f>
        <v/>
      </c>
      <c r="S90" s="32" t="str">
        <f aca="false">IF(F90="","",IF(N(O90)=0,"",IF(O90&lt;=30,"1-30",IF(O90&lt;=60,"31-60",IF(O90&lt;=90,"61-90","90+")))))</f>
        <v/>
      </c>
      <c r="T90" s="32" t="str">
        <f aca="false">IF(F90="","",IF(E90="","Diğer",E90))</f>
        <v/>
      </c>
      <c r="U90" s="32" t="str">
        <f aca="false">IF(OR(F90="",C90=""),"",IF(COUNTIF($C$2:C90,C90)=1,MAX($U$1:U89)+1,""))</f>
        <v/>
      </c>
    </row>
    <row r="91" customFormat="false" ht="15" hidden="false" customHeight="false" outlineLevel="0" collapsed="false">
      <c r="A91" s="34"/>
      <c r="B91" s="9"/>
      <c r="C91" s="34"/>
      <c r="D91" s="34"/>
      <c r="E91" s="34"/>
      <c r="F91" s="35"/>
      <c r="G91" s="9"/>
      <c r="H91" s="9"/>
      <c r="I91" s="34"/>
      <c r="J91" s="30" t="str">
        <f aca="false">IF(F91="","",G91-B91)</f>
        <v/>
      </c>
      <c r="K91" s="31" t="str">
        <f aca="false">IF(F91="","",IF(H91&lt;&gt;"",H91,MAX('Vade Sapması'!$D$3,G91)))</f>
        <v/>
      </c>
      <c r="L91" s="30" t="str">
        <f aca="false">IF(F91="","",K91-B91)</f>
        <v/>
      </c>
      <c r="M91" s="30" t="str">
        <f aca="false">IF(F91="","",L91-J91)</f>
        <v/>
      </c>
      <c r="N91" s="32" t="str">
        <f aca="false">IF(F91="","",IF(H91&lt;&gt;"","Kapandı",IF('Vade Sapması'!$D$3&gt;G91,"Açık · vadesi geçti","Açık · vadesi gelmedi")))</f>
        <v/>
      </c>
      <c r="O91" s="30" t="str">
        <f aca="false">IF(F91="","",IF(AND(H91="",'Vade Sapması'!$D$3&gt;G91),'Vade Sapması'!$D$3-G91,0))</f>
        <v/>
      </c>
      <c r="P91" s="33" t="str">
        <f aca="false">IF(F91="","",F91*J91)</f>
        <v/>
      </c>
      <c r="Q91" s="33" t="str">
        <f aca="false">IF(F91="","",F91*L91)</f>
        <v/>
      </c>
      <c r="R91" s="33" t="str">
        <f aca="false">IF(F91="","",IF(H91="",F91,0))</f>
        <v/>
      </c>
      <c r="S91" s="32" t="str">
        <f aca="false">IF(F91="","",IF(N(O91)=0,"",IF(O91&lt;=30,"1-30",IF(O91&lt;=60,"31-60",IF(O91&lt;=90,"61-90","90+")))))</f>
        <v/>
      </c>
      <c r="T91" s="32" t="str">
        <f aca="false">IF(F91="","",IF(E91="","Diğer",E91))</f>
        <v/>
      </c>
      <c r="U91" s="32" t="str">
        <f aca="false">IF(OR(F91="",C91=""),"",IF(COUNTIF($C$2:C91,C91)=1,MAX($U$1:U90)+1,""))</f>
        <v/>
      </c>
    </row>
    <row r="92" customFormat="false" ht="15" hidden="false" customHeight="false" outlineLevel="0" collapsed="false">
      <c r="A92" s="34"/>
      <c r="B92" s="9"/>
      <c r="C92" s="34"/>
      <c r="D92" s="34"/>
      <c r="E92" s="34"/>
      <c r="F92" s="35"/>
      <c r="G92" s="9"/>
      <c r="H92" s="9"/>
      <c r="I92" s="34"/>
      <c r="J92" s="30" t="str">
        <f aca="false">IF(F92="","",G92-B92)</f>
        <v/>
      </c>
      <c r="K92" s="31" t="str">
        <f aca="false">IF(F92="","",IF(H92&lt;&gt;"",H92,MAX('Vade Sapması'!$D$3,G92)))</f>
        <v/>
      </c>
      <c r="L92" s="30" t="str">
        <f aca="false">IF(F92="","",K92-B92)</f>
        <v/>
      </c>
      <c r="M92" s="30" t="str">
        <f aca="false">IF(F92="","",L92-J92)</f>
        <v/>
      </c>
      <c r="N92" s="32" t="str">
        <f aca="false">IF(F92="","",IF(H92&lt;&gt;"","Kapandı",IF('Vade Sapması'!$D$3&gt;G92,"Açık · vadesi geçti","Açık · vadesi gelmedi")))</f>
        <v/>
      </c>
      <c r="O92" s="30" t="str">
        <f aca="false">IF(F92="","",IF(AND(H92="",'Vade Sapması'!$D$3&gt;G92),'Vade Sapması'!$D$3-G92,0))</f>
        <v/>
      </c>
      <c r="P92" s="33" t="str">
        <f aca="false">IF(F92="","",F92*J92)</f>
        <v/>
      </c>
      <c r="Q92" s="33" t="str">
        <f aca="false">IF(F92="","",F92*L92)</f>
        <v/>
      </c>
      <c r="R92" s="33" t="str">
        <f aca="false">IF(F92="","",IF(H92="",F92,0))</f>
        <v/>
      </c>
      <c r="S92" s="32" t="str">
        <f aca="false">IF(F92="","",IF(N(O92)=0,"",IF(O92&lt;=30,"1-30",IF(O92&lt;=60,"31-60",IF(O92&lt;=90,"61-90","90+")))))</f>
        <v/>
      </c>
      <c r="T92" s="32" t="str">
        <f aca="false">IF(F92="","",IF(E92="","Diğer",E92))</f>
        <v/>
      </c>
      <c r="U92" s="32" t="str">
        <f aca="false">IF(OR(F92="",C92=""),"",IF(COUNTIF($C$2:C92,C92)=1,MAX($U$1:U91)+1,""))</f>
        <v/>
      </c>
    </row>
    <row r="93" customFormat="false" ht="15" hidden="false" customHeight="false" outlineLevel="0" collapsed="false">
      <c r="A93" s="34"/>
      <c r="B93" s="9"/>
      <c r="C93" s="34"/>
      <c r="D93" s="34"/>
      <c r="E93" s="34"/>
      <c r="F93" s="35"/>
      <c r="G93" s="9"/>
      <c r="H93" s="9"/>
      <c r="I93" s="34"/>
      <c r="J93" s="30" t="str">
        <f aca="false">IF(F93="","",G93-B93)</f>
        <v/>
      </c>
      <c r="K93" s="31" t="str">
        <f aca="false">IF(F93="","",IF(H93&lt;&gt;"",H93,MAX('Vade Sapması'!$D$3,G93)))</f>
        <v/>
      </c>
      <c r="L93" s="30" t="str">
        <f aca="false">IF(F93="","",K93-B93)</f>
        <v/>
      </c>
      <c r="M93" s="30" t="str">
        <f aca="false">IF(F93="","",L93-J93)</f>
        <v/>
      </c>
      <c r="N93" s="32" t="str">
        <f aca="false">IF(F93="","",IF(H93&lt;&gt;"","Kapandı",IF('Vade Sapması'!$D$3&gt;G93,"Açık · vadesi geçti","Açık · vadesi gelmedi")))</f>
        <v/>
      </c>
      <c r="O93" s="30" t="str">
        <f aca="false">IF(F93="","",IF(AND(H93="",'Vade Sapması'!$D$3&gt;G93),'Vade Sapması'!$D$3-G93,0))</f>
        <v/>
      </c>
      <c r="P93" s="33" t="str">
        <f aca="false">IF(F93="","",F93*J93)</f>
        <v/>
      </c>
      <c r="Q93" s="33" t="str">
        <f aca="false">IF(F93="","",F93*L93)</f>
        <v/>
      </c>
      <c r="R93" s="33" t="str">
        <f aca="false">IF(F93="","",IF(H93="",F93,0))</f>
        <v/>
      </c>
      <c r="S93" s="32" t="str">
        <f aca="false">IF(F93="","",IF(N(O93)=0,"",IF(O93&lt;=30,"1-30",IF(O93&lt;=60,"31-60",IF(O93&lt;=90,"61-90","90+")))))</f>
        <v/>
      </c>
      <c r="T93" s="32" t="str">
        <f aca="false">IF(F93="","",IF(E93="","Diğer",E93))</f>
        <v/>
      </c>
      <c r="U93" s="32" t="str">
        <f aca="false">IF(OR(F93="",C93=""),"",IF(COUNTIF($C$2:C93,C93)=1,MAX($U$1:U92)+1,""))</f>
        <v/>
      </c>
    </row>
    <row r="94" customFormat="false" ht="15" hidden="false" customHeight="false" outlineLevel="0" collapsed="false">
      <c r="A94" s="34"/>
      <c r="B94" s="9"/>
      <c r="C94" s="34"/>
      <c r="D94" s="34"/>
      <c r="E94" s="34"/>
      <c r="F94" s="35"/>
      <c r="G94" s="9"/>
      <c r="H94" s="9"/>
      <c r="I94" s="34"/>
      <c r="J94" s="30" t="str">
        <f aca="false">IF(F94="","",G94-B94)</f>
        <v/>
      </c>
      <c r="K94" s="31" t="str">
        <f aca="false">IF(F94="","",IF(H94&lt;&gt;"",H94,MAX('Vade Sapması'!$D$3,G94)))</f>
        <v/>
      </c>
      <c r="L94" s="30" t="str">
        <f aca="false">IF(F94="","",K94-B94)</f>
        <v/>
      </c>
      <c r="M94" s="30" t="str">
        <f aca="false">IF(F94="","",L94-J94)</f>
        <v/>
      </c>
      <c r="N94" s="32" t="str">
        <f aca="false">IF(F94="","",IF(H94&lt;&gt;"","Kapandı",IF('Vade Sapması'!$D$3&gt;G94,"Açık · vadesi geçti","Açık · vadesi gelmedi")))</f>
        <v/>
      </c>
      <c r="O94" s="30" t="str">
        <f aca="false">IF(F94="","",IF(AND(H94="",'Vade Sapması'!$D$3&gt;G94),'Vade Sapması'!$D$3-G94,0))</f>
        <v/>
      </c>
      <c r="P94" s="33" t="str">
        <f aca="false">IF(F94="","",F94*J94)</f>
        <v/>
      </c>
      <c r="Q94" s="33" t="str">
        <f aca="false">IF(F94="","",F94*L94)</f>
        <v/>
      </c>
      <c r="R94" s="33" t="str">
        <f aca="false">IF(F94="","",IF(H94="",F94,0))</f>
        <v/>
      </c>
      <c r="S94" s="32" t="str">
        <f aca="false">IF(F94="","",IF(N(O94)=0,"",IF(O94&lt;=30,"1-30",IF(O94&lt;=60,"31-60",IF(O94&lt;=90,"61-90","90+")))))</f>
        <v/>
      </c>
      <c r="T94" s="32" t="str">
        <f aca="false">IF(F94="","",IF(E94="","Diğer",E94))</f>
        <v/>
      </c>
      <c r="U94" s="32" t="str">
        <f aca="false">IF(OR(F94="",C94=""),"",IF(COUNTIF($C$2:C94,C94)=1,MAX($U$1:U93)+1,""))</f>
        <v/>
      </c>
    </row>
    <row r="95" customFormat="false" ht="15" hidden="false" customHeight="false" outlineLevel="0" collapsed="false">
      <c r="A95" s="34"/>
      <c r="B95" s="9"/>
      <c r="C95" s="34"/>
      <c r="D95" s="34"/>
      <c r="E95" s="34"/>
      <c r="F95" s="35"/>
      <c r="G95" s="9"/>
      <c r="H95" s="9"/>
      <c r="I95" s="34"/>
      <c r="J95" s="30" t="str">
        <f aca="false">IF(F95="","",G95-B95)</f>
        <v/>
      </c>
      <c r="K95" s="31" t="str">
        <f aca="false">IF(F95="","",IF(H95&lt;&gt;"",H95,MAX('Vade Sapması'!$D$3,G95)))</f>
        <v/>
      </c>
      <c r="L95" s="30" t="str">
        <f aca="false">IF(F95="","",K95-B95)</f>
        <v/>
      </c>
      <c r="M95" s="30" t="str">
        <f aca="false">IF(F95="","",L95-J95)</f>
        <v/>
      </c>
      <c r="N95" s="32" t="str">
        <f aca="false">IF(F95="","",IF(H95&lt;&gt;"","Kapandı",IF('Vade Sapması'!$D$3&gt;G95,"Açık · vadesi geçti","Açık · vadesi gelmedi")))</f>
        <v/>
      </c>
      <c r="O95" s="30" t="str">
        <f aca="false">IF(F95="","",IF(AND(H95="",'Vade Sapması'!$D$3&gt;G95),'Vade Sapması'!$D$3-G95,0))</f>
        <v/>
      </c>
      <c r="P95" s="33" t="str">
        <f aca="false">IF(F95="","",F95*J95)</f>
        <v/>
      </c>
      <c r="Q95" s="33" t="str">
        <f aca="false">IF(F95="","",F95*L95)</f>
        <v/>
      </c>
      <c r="R95" s="33" t="str">
        <f aca="false">IF(F95="","",IF(H95="",F95,0))</f>
        <v/>
      </c>
      <c r="S95" s="32" t="str">
        <f aca="false">IF(F95="","",IF(N(O95)=0,"",IF(O95&lt;=30,"1-30",IF(O95&lt;=60,"31-60",IF(O95&lt;=90,"61-90","90+")))))</f>
        <v/>
      </c>
      <c r="T95" s="32" t="str">
        <f aca="false">IF(F95="","",IF(E95="","Diğer",E95))</f>
        <v/>
      </c>
      <c r="U95" s="32" t="str">
        <f aca="false">IF(OR(F95="",C95=""),"",IF(COUNTIF($C$2:C95,C95)=1,MAX($U$1:U94)+1,""))</f>
        <v/>
      </c>
    </row>
    <row r="96" customFormat="false" ht="15" hidden="false" customHeight="false" outlineLevel="0" collapsed="false">
      <c r="A96" s="34"/>
      <c r="B96" s="9"/>
      <c r="C96" s="34"/>
      <c r="D96" s="34"/>
      <c r="E96" s="34"/>
      <c r="F96" s="35"/>
      <c r="G96" s="9"/>
      <c r="H96" s="9"/>
      <c r="I96" s="34"/>
      <c r="J96" s="30" t="str">
        <f aca="false">IF(F96="","",G96-B96)</f>
        <v/>
      </c>
      <c r="K96" s="31" t="str">
        <f aca="false">IF(F96="","",IF(H96&lt;&gt;"",H96,MAX('Vade Sapması'!$D$3,G96)))</f>
        <v/>
      </c>
      <c r="L96" s="30" t="str">
        <f aca="false">IF(F96="","",K96-B96)</f>
        <v/>
      </c>
      <c r="M96" s="30" t="str">
        <f aca="false">IF(F96="","",L96-J96)</f>
        <v/>
      </c>
      <c r="N96" s="32" t="str">
        <f aca="false">IF(F96="","",IF(H96&lt;&gt;"","Kapandı",IF('Vade Sapması'!$D$3&gt;G96,"Açık · vadesi geçti","Açık · vadesi gelmedi")))</f>
        <v/>
      </c>
      <c r="O96" s="30" t="str">
        <f aca="false">IF(F96="","",IF(AND(H96="",'Vade Sapması'!$D$3&gt;G96),'Vade Sapması'!$D$3-G96,0))</f>
        <v/>
      </c>
      <c r="P96" s="33" t="str">
        <f aca="false">IF(F96="","",F96*J96)</f>
        <v/>
      </c>
      <c r="Q96" s="33" t="str">
        <f aca="false">IF(F96="","",F96*L96)</f>
        <v/>
      </c>
      <c r="R96" s="33" t="str">
        <f aca="false">IF(F96="","",IF(H96="",F96,0))</f>
        <v/>
      </c>
      <c r="S96" s="32" t="str">
        <f aca="false">IF(F96="","",IF(N(O96)=0,"",IF(O96&lt;=30,"1-30",IF(O96&lt;=60,"31-60",IF(O96&lt;=90,"61-90","90+")))))</f>
        <v/>
      </c>
      <c r="T96" s="32" t="str">
        <f aca="false">IF(F96="","",IF(E96="","Diğer",E96))</f>
        <v/>
      </c>
      <c r="U96" s="32" t="str">
        <f aca="false">IF(OR(F96="",C96=""),"",IF(COUNTIF($C$2:C96,C96)=1,MAX($U$1:U95)+1,""))</f>
        <v/>
      </c>
    </row>
    <row r="97" customFormat="false" ht="15" hidden="false" customHeight="false" outlineLevel="0" collapsed="false">
      <c r="A97" s="34"/>
      <c r="B97" s="9"/>
      <c r="C97" s="34"/>
      <c r="D97" s="34"/>
      <c r="E97" s="34"/>
      <c r="F97" s="35"/>
      <c r="G97" s="9"/>
      <c r="H97" s="9"/>
      <c r="I97" s="34"/>
      <c r="J97" s="30" t="str">
        <f aca="false">IF(F97="","",G97-B97)</f>
        <v/>
      </c>
      <c r="K97" s="31" t="str">
        <f aca="false">IF(F97="","",IF(H97&lt;&gt;"",H97,MAX('Vade Sapması'!$D$3,G97)))</f>
        <v/>
      </c>
      <c r="L97" s="30" t="str">
        <f aca="false">IF(F97="","",K97-B97)</f>
        <v/>
      </c>
      <c r="M97" s="30" t="str">
        <f aca="false">IF(F97="","",L97-J97)</f>
        <v/>
      </c>
      <c r="N97" s="32" t="str">
        <f aca="false">IF(F97="","",IF(H97&lt;&gt;"","Kapandı",IF('Vade Sapması'!$D$3&gt;G97,"Açık · vadesi geçti","Açık · vadesi gelmedi")))</f>
        <v/>
      </c>
      <c r="O97" s="30" t="str">
        <f aca="false">IF(F97="","",IF(AND(H97="",'Vade Sapması'!$D$3&gt;G97),'Vade Sapması'!$D$3-G97,0))</f>
        <v/>
      </c>
      <c r="P97" s="33" t="str">
        <f aca="false">IF(F97="","",F97*J97)</f>
        <v/>
      </c>
      <c r="Q97" s="33" t="str">
        <f aca="false">IF(F97="","",F97*L97)</f>
        <v/>
      </c>
      <c r="R97" s="33" t="str">
        <f aca="false">IF(F97="","",IF(H97="",F97,0))</f>
        <v/>
      </c>
      <c r="S97" s="32" t="str">
        <f aca="false">IF(F97="","",IF(N(O97)=0,"",IF(O97&lt;=30,"1-30",IF(O97&lt;=60,"31-60",IF(O97&lt;=90,"61-90","90+")))))</f>
        <v/>
      </c>
      <c r="T97" s="32" t="str">
        <f aca="false">IF(F97="","",IF(E97="","Diğer",E97))</f>
        <v/>
      </c>
      <c r="U97" s="32" t="str">
        <f aca="false">IF(OR(F97="",C97=""),"",IF(COUNTIF($C$2:C97,C97)=1,MAX($U$1:U96)+1,""))</f>
        <v/>
      </c>
    </row>
    <row r="98" customFormat="false" ht="15" hidden="false" customHeight="false" outlineLevel="0" collapsed="false">
      <c r="A98" s="34"/>
      <c r="B98" s="9"/>
      <c r="C98" s="34"/>
      <c r="D98" s="34"/>
      <c r="E98" s="34"/>
      <c r="F98" s="35"/>
      <c r="G98" s="9"/>
      <c r="H98" s="9"/>
      <c r="I98" s="34"/>
      <c r="J98" s="30" t="str">
        <f aca="false">IF(F98="","",G98-B98)</f>
        <v/>
      </c>
      <c r="K98" s="31" t="str">
        <f aca="false">IF(F98="","",IF(H98&lt;&gt;"",H98,MAX('Vade Sapması'!$D$3,G98)))</f>
        <v/>
      </c>
      <c r="L98" s="30" t="str">
        <f aca="false">IF(F98="","",K98-B98)</f>
        <v/>
      </c>
      <c r="M98" s="30" t="str">
        <f aca="false">IF(F98="","",L98-J98)</f>
        <v/>
      </c>
      <c r="N98" s="32" t="str">
        <f aca="false">IF(F98="","",IF(H98&lt;&gt;"","Kapandı",IF('Vade Sapması'!$D$3&gt;G98,"Açık · vadesi geçti","Açık · vadesi gelmedi")))</f>
        <v/>
      </c>
      <c r="O98" s="30" t="str">
        <f aca="false">IF(F98="","",IF(AND(H98="",'Vade Sapması'!$D$3&gt;G98),'Vade Sapması'!$D$3-G98,0))</f>
        <v/>
      </c>
      <c r="P98" s="33" t="str">
        <f aca="false">IF(F98="","",F98*J98)</f>
        <v/>
      </c>
      <c r="Q98" s="33" t="str">
        <f aca="false">IF(F98="","",F98*L98)</f>
        <v/>
      </c>
      <c r="R98" s="33" t="str">
        <f aca="false">IF(F98="","",IF(H98="",F98,0))</f>
        <v/>
      </c>
      <c r="S98" s="32" t="str">
        <f aca="false">IF(F98="","",IF(N(O98)=0,"",IF(O98&lt;=30,"1-30",IF(O98&lt;=60,"31-60",IF(O98&lt;=90,"61-90","90+")))))</f>
        <v/>
      </c>
      <c r="T98" s="32" t="str">
        <f aca="false">IF(F98="","",IF(E98="","Diğer",E98))</f>
        <v/>
      </c>
      <c r="U98" s="32" t="str">
        <f aca="false">IF(OR(F98="",C98=""),"",IF(COUNTIF($C$2:C98,C98)=1,MAX($U$1:U97)+1,""))</f>
        <v/>
      </c>
    </row>
    <row r="99" customFormat="false" ht="15" hidden="false" customHeight="false" outlineLevel="0" collapsed="false">
      <c r="A99" s="34"/>
      <c r="B99" s="9"/>
      <c r="C99" s="34"/>
      <c r="D99" s="34"/>
      <c r="E99" s="34"/>
      <c r="F99" s="35"/>
      <c r="G99" s="9"/>
      <c r="H99" s="9"/>
      <c r="I99" s="34"/>
      <c r="J99" s="30" t="str">
        <f aca="false">IF(F99="","",G99-B99)</f>
        <v/>
      </c>
      <c r="K99" s="31" t="str">
        <f aca="false">IF(F99="","",IF(H99&lt;&gt;"",H99,MAX('Vade Sapması'!$D$3,G99)))</f>
        <v/>
      </c>
      <c r="L99" s="30" t="str">
        <f aca="false">IF(F99="","",K99-B99)</f>
        <v/>
      </c>
      <c r="M99" s="30" t="str">
        <f aca="false">IF(F99="","",L99-J99)</f>
        <v/>
      </c>
      <c r="N99" s="32" t="str">
        <f aca="false">IF(F99="","",IF(H99&lt;&gt;"","Kapandı",IF('Vade Sapması'!$D$3&gt;G99,"Açık · vadesi geçti","Açık · vadesi gelmedi")))</f>
        <v/>
      </c>
      <c r="O99" s="30" t="str">
        <f aca="false">IF(F99="","",IF(AND(H99="",'Vade Sapması'!$D$3&gt;G99),'Vade Sapması'!$D$3-G99,0))</f>
        <v/>
      </c>
      <c r="P99" s="33" t="str">
        <f aca="false">IF(F99="","",F99*J99)</f>
        <v/>
      </c>
      <c r="Q99" s="33" t="str">
        <f aca="false">IF(F99="","",F99*L99)</f>
        <v/>
      </c>
      <c r="R99" s="33" t="str">
        <f aca="false">IF(F99="","",IF(H99="",F99,0))</f>
        <v/>
      </c>
      <c r="S99" s="32" t="str">
        <f aca="false">IF(F99="","",IF(N(O99)=0,"",IF(O99&lt;=30,"1-30",IF(O99&lt;=60,"31-60",IF(O99&lt;=90,"61-90","90+")))))</f>
        <v/>
      </c>
      <c r="T99" s="32" t="str">
        <f aca="false">IF(F99="","",IF(E99="","Diğer",E99))</f>
        <v/>
      </c>
      <c r="U99" s="32" t="str">
        <f aca="false">IF(OR(F99="",C99=""),"",IF(COUNTIF($C$2:C99,C99)=1,MAX($U$1:U98)+1,""))</f>
        <v/>
      </c>
    </row>
    <row r="100" customFormat="false" ht="15" hidden="false" customHeight="false" outlineLevel="0" collapsed="false">
      <c r="A100" s="34"/>
      <c r="B100" s="9"/>
      <c r="C100" s="34"/>
      <c r="D100" s="34"/>
      <c r="E100" s="34"/>
      <c r="F100" s="35"/>
      <c r="G100" s="9"/>
      <c r="H100" s="9"/>
      <c r="I100" s="34"/>
      <c r="J100" s="30" t="str">
        <f aca="false">IF(F100="","",G100-B100)</f>
        <v/>
      </c>
      <c r="K100" s="31" t="str">
        <f aca="false">IF(F100="","",IF(H100&lt;&gt;"",H100,MAX('Vade Sapması'!$D$3,G100)))</f>
        <v/>
      </c>
      <c r="L100" s="30" t="str">
        <f aca="false">IF(F100="","",K100-B100)</f>
        <v/>
      </c>
      <c r="M100" s="30" t="str">
        <f aca="false">IF(F100="","",L100-J100)</f>
        <v/>
      </c>
      <c r="N100" s="32" t="str">
        <f aca="false">IF(F100="","",IF(H100&lt;&gt;"","Kapandı",IF('Vade Sapması'!$D$3&gt;G100,"Açık · vadesi geçti","Açık · vadesi gelmedi")))</f>
        <v/>
      </c>
      <c r="O100" s="30" t="str">
        <f aca="false">IF(F100="","",IF(AND(H100="",'Vade Sapması'!$D$3&gt;G100),'Vade Sapması'!$D$3-G100,0))</f>
        <v/>
      </c>
      <c r="P100" s="33" t="str">
        <f aca="false">IF(F100="","",F100*J100)</f>
        <v/>
      </c>
      <c r="Q100" s="33" t="str">
        <f aca="false">IF(F100="","",F100*L100)</f>
        <v/>
      </c>
      <c r="R100" s="33" t="str">
        <f aca="false">IF(F100="","",IF(H100="",F100,0))</f>
        <v/>
      </c>
      <c r="S100" s="32" t="str">
        <f aca="false">IF(F100="","",IF(N(O100)=0,"",IF(O100&lt;=30,"1-30",IF(O100&lt;=60,"31-60",IF(O100&lt;=90,"61-90","90+")))))</f>
        <v/>
      </c>
      <c r="T100" s="32" t="str">
        <f aca="false">IF(F100="","",IF(E100="","Diğer",E100))</f>
        <v/>
      </c>
      <c r="U100" s="32" t="str">
        <f aca="false">IF(OR(F100="",C100=""),"",IF(COUNTIF($C$2:C100,C100)=1,MAX($U$1:U99)+1,""))</f>
        <v/>
      </c>
    </row>
    <row r="101" customFormat="false" ht="15" hidden="false" customHeight="false" outlineLevel="0" collapsed="false">
      <c r="A101" s="34"/>
      <c r="B101" s="9"/>
      <c r="C101" s="34"/>
      <c r="D101" s="34"/>
      <c r="E101" s="34"/>
      <c r="F101" s="35"/>
      <c r="G101" s="9"/>
      <c r="H101" s="9"/>
      <c r="I101" s="34"/>
      <c r="J101" s="30" t="str">
        <f aca="false">IF(F101="","",G101-B101)</f>
        <v/>
      </c>
      <c r="K101" s="31" t="str">
        <f aca="false">IF(F101="","",IF(H101&lt;&gt;"",H101,MAX('Vade Sapması'!$D$3,G101)))</f>
        <v/>
      </c>
      <c r="L101" s="30" t="str">
        <f aca="false">IF(F101="","",K101-B101)</f>
        <v/>
      </c>
      <c r="M101" s="30" t="str">
        <f aca="false">IF(F101="","",L101-J101)</f>
        <v/>
      </c>
      <c r="N101" s="32" t="str">
        <f aca="false">IF(F101="","",IF(H101&lt;&gt;"","Kapandı",IF('Vade Sapması'!$D$3&gt;G101,"Açık · vadesi geçti","Açık · vadesi gelmedi")))</f>
        <v/>
      </c>
      <c r="O101" s="30" t="str">
        <f aca="false">IF(F101="","",IF(AND(H101="",'Vade Sapması'!$D$3&gt;G101),'Vade Sapması'!$D$3-G101,0))</f>
        <v/>
      </c>
      <c r="P101" s="33" t="str">
        <f aca="false">IF(F101="","",F101*J101)</f>
        <v/>
      </c>
      <c r="Q101" s="33" t="str">
        <f aca="false">IF(F101="","",F101*L101)</f>
        <v/>
      </c>
      <c r="R101" s="33" t="str">
        <f aca="false">IF(F101="","",IF(H101="",F101,0))</f>
        <v/>
      </c>
      <c r="S101" s="32" t="str">
        <f aca="false">IF(F101="","",IF(N(O101)=0,"",IF(O101&lt;=30,"1-30",IF(O101&lt;=60,"31-60",IF(O101&lt;=90,"61-90","90+")))))</f>
        <v/>
      </c>
      <c r="T101" s="32" t="str">
        <f aca="false">IF(F101="","",IF(E101="","Diğer",E101))</f>
        <v/>
      </c>
      <c r="U101" s="32" t="str">
        <f aca="false">IF(OR(F101="",C101=""),"",IF(COUNTIF($C$2:C101,C101)=1,MAX($U$1:U100)+1,""))</f>
        <v/>
      </c>
    </row>
    <row r="102" customFormat="false" ht="15" hidden="false" customHeight="false" outlineLevel="0" collapsed="false">
      <c r="A102" s="34"/>
      <c r="B102" s="9"/>
      <c r="C102" s="34"/>
      <c r="D102" s="34"/>
      <c r="E102" s="34"/>
      <c r="F102" s="35"/>
      <c r="G102" s="9"/>
      <c r="H102" s="9"/>
      <c r="I102" s="34"/>
      <c r="J102" s="30" t="str">
        <f aca="false">IF(F102="","",G102-B102)</f>
        <v/>
      </c>
      <c r="K102" s="31" t="str">
        <f aca="false">IF(F102="","",IF(H102&lt;&gt;"",H102,MAX('Vade Sapması'!$D$3,G102)))</f>
        <v/>
      </c>
      <c r="L102" s="30" t="str">
        <f aca="false">IF(F102="","",K102-B102)</f>
        <v/>
      </c>
      <c r="M102" s="30" t="str">
        <f aca="false">IF(F102="","",L102-J102)</f>
        <v/>
      </c>
      <c r="N102" s="32" t="str">
        <f aca="false">IF(F102="","",IF(H102&lt;&gt;"","Kapandı",IF('Vade Sapması'!$D$3&gt;G102,"Açık · vadesi geçti","Açık · vadesi gelmedi")))</f>
        <v/>
      </c>
      <c r="O102" s="30" t="str">
        <f aca="false">IF(F102="","",IF(AND(H102="",'Vade Sapması'!$D$3&gt;G102),'Vade Sapması'!$D$3-G102,0))</f>
        <v/>
      </c>
      <c r="P102" s="33" t="str">
        <f aca="false">IF(F102="","",F102*J102)</f>
        <v/>
      </c>
      <c r="Q102" s="33" t="str">
        <f aca="false">IF(F102="","",F102*L102)</f>
        <v/>
      </c>
      <c r="R102" s="33" t="str">
        <f aca="false">IF(F102="","",IF(H102="",F102,0))</f>
        <v/>
      </c>
      <c r="S102" s="32" t="str">
        <f aca="false">IF(F102="","",IF(N(O102)=0,"",IF(O102&lt;=30,"1-30",IF(O102&lt;=60,"31-60",IF(O102&lt;=90,"61-90","90+")))))</f>
        <v/>
      </c>
      <c r="T102" s="32" t="str">
        <f aca="false">IF(F102="","",IF(E102="","Diğer",E102))</f>
        <v/>
      </c>
      <c r="U102" s="32" t="str">
        <f aca="false">IF(OR(F102="",C102=""),"",IF(COUNTIF($C$2:C102,C102)=1,MAX($U$1:U101)+1,""))</f>
        <v/>
      </c>
    </row>
    <row r="103" customFormat="false" ht="15" hidden="false" customHeight="false" outlineLevel="0" collapsed="false">
      <c r="A103" s="34"/>
      <c r="B103" s="9"/>
      <c r="C103" s="34"/>
      <c r="D103" s="34"/>
      <c r="E103" s="34"/>
      <c r="F103" s="35"/>
      <c r="G103" s="9"/>
      <c r="H103" s="9"/>
      <c r="I103" s="34"/>
      <c r="J103" s="30" t="str">
        <f aca="false">IF(F103="","",G103-B103)</f>
        <v/>
      </c>
      <c r="K103" s="31" t="str">
        <f aca="false">IF(F103="","",IF(H103&lt;&gt;"",H103,MAX('Vade Sapması'!$D$3,G103)))</f>
        <v/>
      </c>
      <c r="L103" s="30" t="str">
        <f aca="false">IF(F103="","",K103-B103)</f>
        <v/>
      </c>
      <c r="M103" s="30" t="str">
        <f aca="false">IF(F103="","",L103-J103)</f>
        <v/>
      </c>
      <c r="N103" s="32" t="str">
        <f aca="false">IF(F103="","",IF(H103&lt;&gt;"","Kapandı",IF('Vade Sapması'!$D$3&gt;G103,"Açık · vadesi geçti","Açık · vadesi gelmedi")))</f>
        <v/>
      </c>
      <c r="O103" s="30" t="str">
        <f aca="false">IF(F103="","",IF(AND(H103="",'Vade Sapması'!$D$3&gt;G103),'Vade Sapması'!$D$3-G103,0))</f>
        <v/>
      </c>
      <c r="P103" s="33" t="str">
        <f aca="false">IF(F103="","",F103*J103)</f>
        <v/>
      </c>
      <c r="Q103" s="33" t="str">
        <f aca="false">IF(F103="","",F103*L103)</f>
        <v/>
      </c>
      <c r="R103" s="33" t="str">
        <f aca="false">IF(F103="","",IF(H103="",F103,0))</f>
        <v/>
      </c>
      <c r="S103" s="32" t="str">
        <f aca="false">IF(F103="","",IF(N(O103)=0,"",IF(O103&lt;=30,"1-30",IF(O103&lt;=60,"31-60",IF(O103&lt;=90,"61-90","90+")))))</f>
        <v/>
      </c>
      <c r="T103" s="32" t="str">
        <f aca="false">IF(F103="","",IF(E103="","Diğer",E103))</f>
        <v/>
      </c>
      <c r="U103" s="32" t="str">
        <f aca="false">IF(OR(F103="",C103=""),"",IF(COUNTIF($C$2:C103,C103)=1,MAX($U$1:U102)+1,""))</f>
        <v/>
      </c>
    </row>
    <row r="104" customFormat="false" ht="15" hidden="false" customHeight="false" outlineLevel="0" collapsed="false">
      <c r="A104" s="34"/>
      <c r="B104" s="9"/>
      <c r="C104" s="34"/>
      <c r="D104" s="34"/>
      <c r="E104" s="34"/>
      <c r="F104" s="35"/>
      <c r="G104" s="9"/>
      <c r="H104" s="9"/>
      <c r="I104" s="34"/>
      <c r="J104" s="30" t="str">
        <f aca="false">IF(F104="","",G104-B104)</f>
        <v/>
      </c>
      <c r="K104" s="31" t="str">
        <f aca="false">IF(F104="","",IF(H104&lt;&gt;"",H104,MAX('Vade Sapması'!$D$3,G104)))</f>
        <v/>
      </c>
      <c r="L104" s="30" t="str">
        <f aca="false">IF(F104="","",K104-B104)</f>
        <v/>
      </c>
      <c r="M104" s="30" t="str">
        <f aca="false">IF(F104="","",L104-J104)</f>
        <v/>
      </c>
      <c r="N104" s="32" t="str">
        <f aca="false">IF(F104="","",IF(H104&lt;&gt;"","Kapandı",IF('Vade Sapması'!$D$3&gt;G104,"Açık · vadesi geçti","Açık · vadesi gelmedi")))</f>
        <v/>
      </c>
      <c r="O104" s="30" t="str">
        <f aca="false">IF(F104="","",IF(AND(H104="",'Vade Sapması'!$D$3&gt;G104),'Vade Sapması'!$D$3-G104,0))</f>
        <v/>
      </c>
      <c r="P104" s="33" t="str">
        <f aca="false">IF(F104="","",F104*J104)</f>
        <v/>
      </c>
      <c r="Q104" s="33" t="str">
        <f aca="false">IF(F104="","",F104*L104)</f>
        <v/>
      </c>
      <c r="R104" s="33" t="str">
        <f aca="false">IF(F104="","",IF(H104="",F104,0))</f>
        <v/>
      </c>
      <c r="S104" s="32" t="str">
        <f aca="false">IF(F104="","",IF(N(O104)=0,"",IF(O104&lt;=30,"1-30",IF(O104&lt;=60,"31-60",IF(O104&lt;=90,"61-90","90+")))))</f>
        <v/>
      </c>
      <c r="T104" s="32" t="str">
        <f aca="false">IF(F104="","",IF(E104="","Diğer",E104))</f>
        <v/>
      </c>
      <c r="U104" s="32" t="str">
        <f aca="false">IF(OR(F104="",C104=""),"",IF(COUNTIF($C$2:C104,C104)=1,MAX($U$1:U103)+1,""))</f>
        <v/>
      </c>
    </row>
    <row r="105" customFormat="false" ht="15" hidden="false" customHeight="false" outlineLevel="0" collapsed="false">
      <c r="A105" s="34"/>
      <c r="B105" s="9"/>
      <c r="C105" s="34"/>
      <c r="D105" s="34"/>
      <c r="E105" s="34"/>
      <c r="F105" s="35"/>
      <c r="G105" s="9"/>
      <c r="H105" s="9"/>
      <c r="I105" s="34"/>
      <c r="J105" s="30" t="str">
        <f aca="false">IF(F105="","",G105-B105)</f>
        <v/>
      </c>
      <c r="K105" s="31" t="str">
        <f aca="false">IF(F105="","",IF(H105&lt;&gt;"",H105,MAX('Vade Sapması'!$D$3,G105)))</f>
        <v/>
      </c>
      <c r="L105" s="30" t="str">
        <f aca="false">IF(F105="","",K105-B105)</f>
        <v/>
      </c>
      <c r="M105" s="30" t="str">
        <f aca="false">IF(F105="","",L105-J105)</f>
        <v/>
      </c>
      <c r="N105" s="32" t="str">
        <f aca="false">IF(F105="","",IF(H105&lt;&gt;"","Kapandı",IF('Vade Sapması'!$D$3&gt;G105,"Açık · vadesi geçti","Açık · vadesi gelmedi")))</f>
        <v/>
      </c>
      <c r="O105" s="30" t="str">
        <f aca="false">IF(F105="","",IF(AND(H105="",'Vade Sapması'!$D$3&gt;G105),'Vade Sapması'!$D$3-G105,0))</f>
        <v/>
      </c>
      <c r="P105" s="33" t="str">
        <f aca="false">IF(F105="","",F105*J105)</f>
        <v/>
      </c>
      <c r="Q105" s="33" t="str">
        <f aca="false">IF(F105="","",F105*L105)</f>
        <v/>
      </c>
      <c r="R105" s="33" t="str">
        <f aca="false">IF(F105="","",IF(H105="",F105,0))</f>
        <v/>
      </c>
      <c r="S105" s="32" t="str">
        <f aca="false">IF(F105="","",IF(N(O105)=0,"",IF(O105&lt;=30,"1-30",IF(O105&lt;=60,"31-60",IF(O105&lt;=90,"61-90","90+")))))</f>
        <v/>
      </c>
      <c r="T105" s="32" t="str">
        <f aca="false">IF(F105="","",IF(E105="","Diğer",E105))</f>
        <v/>
      </c>
      <c r="U105" s="32" t="str">
        <f aca="false">IF(OR(F105="",C105=""),"",IF(COUNTIF($C$2:C105,C105)=1,MAX($U$1:U104)+1,""))</f>
        <v/>
      </c>
    </row>
    <row r="106" customFormat="false" ht="15" hidden="false" customHeight="false" outlineLevel="0" collapsed="false">
      <c r="A106" s="34"/>
      <c r="B106" s="9"/>
      <c r="C106" s="34"/>
      <c r="D106" s="34"/>
      <c r="E106" s="34"/>
      <c r="F106" s="35"/>
      <c r="G106" s="9"/>
      <c r="H106" s="9"/>
      <c r="I106" s="34"/>
      <c r="J106" s="30" t="str">
        <f aca="false">IF(F106="","",G106-B106)</f>
        <v/>
      </c>
      <c r="K106" s="31" t="str">
        <f aca="false">IF(F106="","",IF(H106&lt;&gt;"",H106,MAX('Vade Sapması'!$D$3,G106)))</f>
        <v/>
      </c>
      <c r="L106" s="30" t="str">
        <f aca="false">IF(F106="","",K106-B106)</f>
        <v/>
      </c>
      <c r="M106" s="30" t="str">
        <f aca="false">IF(F106="","",L106-J106)</f>
        <v/>
      </c>
      <c r="N106" s="32" t="str">
        <f aca="false">IF(F106="","",IF(H106&lt;&gt;"","Kapandı",IF('Vade Sapması'!$D$3&gt;G106,"Açık · vadesi geçti","Açık · vadesi gelmedi")))</f>
        <v/>
      </c>
      <c r="O106" s="30" t="str">
        <f aca="false">IF(F106="","",IF(AND(H106="",'Vade Sapması'!$D$3&gt;G106),'Vade Sapması'!$D$3-G106,0))</f>
        <v/>
      </c>
      <c r="P106" s="33" t="str">
        <f aca="false">IF(F106="","",F106*J106)</f>
        <v/>
      </c>
      <c r="Q106" s="33" t="str">
        <f aca="false">IF(F106="","",F106*L106)</f>
        <v/>
      </c>
      <c r="R106" s="33" t="str">
        <f aca="false">IF(F106="","",IF(H106="",F106,0))</f>
        <v/>
      </c>
      <c r="S106" s="32" t="str">
        <f aca="false">IF(F106="","",IF(N(O106)=0,"",IF(O106&lt;=30,"1-30",IF(O106&lt;=60,"31-60",IF(O106&lt;=90,"61-90","90+")))))</f>
        <v/>
      </c>
      <c r="T106" s="32" t="str">
        <f aca="false">IF(F106="","",IF(E106="","Diğer",E106))</f>
        <v/>
      </c>
      <c r="U106" s="32" t="str">
        <f aca="false">IF(OR(F106="",C106=""),"",IF(COUNTIF($C$2:C106,C106)=1,MAX($U$1:U105)+1,""))</f>
        <v/>
      </c>
    </row>
    <row r="107" customFormat="false" ht="15" hidden="false" customHeight="false" outlineLevel="0" collapsed="false">
      <c r="A107" s="34"/>
      <c r="B107" s="9"/>
      <c r="C107" s="34"/>
      <c r="D107" s="34"/>
      <c r="E107" s="34"/>
      <c r="F107" s="35"/>
      <c r="G107" s="9"/>
      <c r="H107" s="9"/>
      <c r="I107" s="34"/>
      <c r="J107" s="30" t="str">
        <f aca="false">IF(F107="","",G107-B107)</f>
        <v/>
      </c>
      <c r="K107" s="31" t="str">
        <f aca="false">IF(F107="","",IF(H107&lt;&gt;"",H107,MAX('Vade Sapması'!$D$3,G107)))</f>
        <v/>
      </c>
      <c r="L107" s="30" t="str">
        <f aca="false">IF(F107="","",K107-B107)</f>
        <v/>
      </c>
      <c r="M107" s="30" t="str">
        <f aca="false">IF(F107="","",L107-J107)</f>
        <v/>
      </c>
      <c r="N107" s="32" t="str">
        <f aca="false">IF(F107="","",IF(H107&lt;&gt;"","Kapandı",IF('Vade Sapması'!$D$3&gt;G107,"Açık · vadesi geçti","Açık · vadesi gelmedi")))</f>
        <v/>
      </c>
      <c r="O107" s="30" t="str">
        <f aca="false">IF(F107="","",IF(AND(H107="",'Vade Sapması'!$D$3&gt;G107),'Vade Sapması'!$D$3-G107,0))</f>
        <v/>
      </c>
      <c r="P107" s="33" t="str">
        <f aca="false">IF(F107="","",F107*J107)</f>
        <v/>
      </c>
      <c r="Q107" s="33" t="str">
        <f aca="false">IF(F107="","",F107*L107)</f>
        <v/>
      </c>
      <c r="R107" s="33" t="str">
        <f aca="false">IF(F107="","",IF(H107="",F107,0))</f>
        <v/>
      </c>
      <c r="S107" s="32" t="str">
        <f aca="false">IF(F107="","",IF(N(O107)=0,"",IF(O107&lt;=30,"1-30",IF(O107&lt;=60,"31-60",IF(O107&lt;=90,"61-90","90+")))))</f>
        <v/>
      </c>
      <c r="T107" s="32" t="str">
        <f aca="false">IF(F107="","",IF(E107="","Diğer",E107))</f>
        <v/>
      </c>
      <c r="U107" s="32" t="str">
        <f aca="false">IF(OR(F107="",C107=""),"",IF(COUNTIF($C$2:C107,C107)=1,MAX($U$1:U106)+1,""))</f>
        <v/>
      </c>
    </row>
    <row r="108" customFormat="false" ht="15" hidden="false" customHeight="false" outlineLevel="0" collapsed="false">
      <c r="A108" s="34"/>
      <c r="B108" s="9"/>
      <c r="C108" s="34"/>
      <c r="D108" s="34"/>
      <c r="E108" s="34"/>
      <c r="F108" s="35"/>
      <c r="G108" s="9"/>
      <c r="H108" s="9"/>
      <c r="I108" s="34"/>
      <c r="J108" s="30" t="str">
        <f aca="false">IF(F108="","",G108-B108)</f>
        <v/>
      </c>
      <c r="K108" s="31" t="str">
        <f aca="false">IF(F108="","",IF(H108&lt;&gt;"",H108,MAX('Vade Sapması'!$D$3,G108)))</f>
        <v/>
      </c>
      <c r="L108" s="30" t="str">
        <f aca="false">IF(F108="","",K108-B108)</f>
        <v/>
      </c>
      <c r="M108" s="30" t="str">
        <f aca="false">IF(F108="","",L108-J108)</f>
        <v/>
      </c>
      <c r="N108" s="32" t="str">
        <f aca="false">IF(F108="","",IF(H108&lt;&gt;"","Kapandı",IF('Vade Sapması'!$D$3&gt;G108,"Açık · vadesi geçti","Açık · vadesi gelmedi")))</f>
        <v/>
      </c>
      <c r="O108" s="30" t="str">
        <f aca="false">IF(F108="","",IF(AND(H108="",'Vade Sapması'!$D$3&gt;G108),'Vade Sapması'!$D$3-G108,0))</f>
        <v/>
      </c>
      <c r="P108" s="33" t="str">
        <f aca="false">IF(F108="","",F108*J108)</f>
        <v/>
      </c>
      <c r="Q108" s="33" t="str">
        <f aca="false">IF(F108="","",F108*L108)</f>
        <v/>
      </c>
      <c r="R108" s="33" t="str">
        <f aca="false">IF(F108="","",IF(H108="",F108,0))</f>
        <v/>
      </c>
      <c r="S108" s="32" t="str">
        <f aca="false">IF(F108="","",IF(N(O108)=0,"",IF(O108&lt;=30,"1-30",IF(O108&lt;=60,"31-60",IF(O108&lt;=90,"61-90","90+")))))</f>
        <v/>
      </c>
      <c r="T108" s="32" t="str">
        <f aca="false">IF(F108="","",IF(E108="","Diğer",E108))</f>
        <v/>
      </c>
      <c r="U108" s="32" t="str">
        <f aca="false">IF(OR(F108="",C108=""),"",IF(COUNTIF($C$2:C108,C108)=1,MAX($U$1:U107)+1,""))</f>
        <v/>
      </c>
    </row>
    <row r="109" customFormat="false" ht="15" hidden="false" customHeight="false" outlineLevel="0" collapsed="false">
      <c r="A109" s="34"/>
      <c r="B109" s="9"/>
      <c r="C109" s="34"/>
      <c r="D109" s="34"/>
      <c r="E109" s="34"/>
      <c r="F109" s="35"/>
      <c r="G109" s="9"/>
      <c r="H109" s="9"/>
      <c r="I109" s="34"/>
      <c r="J109" s="30" t="str">
        <f aca="false">IF(F109="","",G109-B109)</f>
        <v/>
      </c>
      <c r="K109" s="31" t="str">
        <f aca="false">IF(F109="","",IF(H109&lt;&gt;"",H109,MAX('Vade Sapması'!$D$3,G109)))</f>
        <v/>
      </c>
      <c r="L109" s="30" t="str">
        <f aca="false">IF(F109="","",K109-B109)</f>
        <v/>
      </c>
      <c r="M109" s="30" t="str">
        <f aca="false">IF(F109="","",L109-J109)</f>
        <v/>
      </c>
      <c r="N109" s="32" t="str">
        <f aca="false">IF(F109="","",IF(H109&lt;&gt;"","Kapandı",IF('Vade Sapması'!$D$3&gt;G109,"Açık · vadesi geçti","Açık · vadesi gelmedi")))</f>
        <v/>
      </c>
      <c r="O109" s="30" t="str">
        <f aca="false">IF(F109="","",IF(AND(H109="",'Vade Sapması'!$D$3&gt;G109),'Vade Sapması'!$D$3-G109,0))</f>
        <v/>
      </c>
      <c r="P109" s="33" t="str">
        <f aca="false">IF(F109="","",F109*J109)</f>
        <v/>
      </c>
      <c r="Q109" s="33" t="str">
        <f aca="false">IF(F109="","",F109*L109)</f>
        <v/>
      </c>
      <c r="R109" s="33" t="str">
        <f aca="false">IF(F109="","",IF(H109="",F109,0))</f>
        <v/>
      </c>
      <c r="S109" s="32" t="str">
        <f aca="false">IF(F109="","",IF(N(O109)=0,"",IF(O109&lt;=30,"1-30",IF(O109&lt;=60,"31-60",IF(O109&lt;=90,"61-90","90+")))))</f>
        <v/>
      </c>
      <c r="T109" s="32" t="str">
        <f aca="false">IF(F109="","",IF(E109="","Diğer",E109))</f>
        <v/>
      </c>
      <c r="U109" s="32" t="str">
        <f aca="false">IF(OR(F109="",C109=""),"",IF(COUNTIF($C$2:C109,C109)=1,MAX($U$1:U108)+1,""))</f>
        <v/>
      </c>
    </row>
    <row r="110" customFormat="false" ht="15" hidden="false" customHeight="false" outlineLevel="0" collapsed="false">
      <c r="A110" s="34"/>
      <c r="B110" s="9"/>
      <c r="C110" s="34"/>
      <c r="D110" s="34"/>
      <c r="E110" s="34"/>
      <c r="F110" s="35"/>
      <c r="G110" s="9"/>
      <c r="H110" s="9"/>
      <c r="I110" s="34"/>
      <c r="J110" s="30" t="str">
        <f aca="false">IF(F110="","",G110-B110)</f>
        <v/>
      </c>
      <c r="K110" s="31" t="str">
        <f aca="false">IF(F110="","",IF(H110&lt;&gt;"",H110,MAX('Vade Sapması'!$D$3,G110)))</f>
        <v/>
      </c>
      <c r="L110" s="30" t="str">
        <f aca="false">IF(F110="","",K110-B110)</f>
        <v/>
      </c>
      <c r="M110" s="30" t="str">
        <f aca="false">IF(F110="","",L110-J110)</f>
        <v/>
      </c>
      <c r="N110" s="32" t="str">
        <f aca="false">IF(F110="","",IF(H110&lt;&gt;"","Kapandı",IF('Vade Sapması'!$D$3&gt;G110,"Açık · vadesi geçti","Açık · vadesi gelmedi")))</f>
        <v/>
      </c>
      <c r="O110" s="30" t="str">
        <f aca="false">IF(F110="","",IF(AND(H110="",'Vade Sapması'!$D$3&gt;G110),'Vade Sapması'!$D$3-G110,0))</f>
        <v/>
      </c>
      <c r="P110" s="33" t="str">
        <f aca="false">IF(F110="","",F110*J110)</f>
        <v/>
      </c>
      <c r="Q110" s="33" t="str">
        <f aca="false">IF(F110="","",F110*L110)</f>
        <v/>
      </c>
      <c r="R110" s="33" t="str">
        <f aca="false">IF(F110="","",IF(H110="",F110,0))</f>
        <v/>
      </c>
      <c r="S110" s="32" t="str">
        <f aca="false">IF(F110="","",IF(N(O110)=0,"",IF(O110&lt;=30,"1-30",IF(O110&lt;=60,"31-60",IF(O110&lt;=90,"61-90","90+")))))</f>
        <v/>
      </c>
      <c r="T110" s="32" t="str">
        <f aca="false">IF(F110="","",IF(E110="","Diğer",E110))</f>
        <v/>
      </c>
      <c r="U110" s="32" t="str">
        <f aca="false">IF(OR(F110="",C110=""),"",IF(COUNTIF($C$2:C110,C110)=1,MAX($U$1:U109)+1,""))</f>
        <v/>
      </c>
    </row>
    <row r="111" customFormat="false" ht="15" hidden="false" customHeight="false" outlineLevel="0" collapsed="false">
      <c r="A111" s="34"/>
      <c r="B111" s="9"/>
      <c r="C111" s="34"/>
      <c r="D111" s="34"/>
      <c r="E111" s="34"/>
      <c r="F111" s="35"/>
      <c r="G111" s="9"/>
      <c r="H111" s="9"/>
      <c r="I111" s="34"/>
      <c r="J111" s="30" t="str">
        <f aca="false">IF(F111="","",G111-B111)</f>
        <v/>
      </c>
      <c r="K111" s="31" t="str">
        <f aca="false">IF(F111="","",IF(H111&lt;&gt;"",H111,MAX('Vade Sapması'!$D$3,G111)))</f>
        <v/>
      </c>
      <c r="L111" s="30" t="str">
        <f aca="false">IF(F111="","",K111-B111)</f>
        <v/>
      </c>
      <c r="M111" s="30" t="str">
        <f aca="false">IF(F111="","",L111-J111)</f>
        <v/>
      </c>
      <c r="N111" s="32" t="str">
        <f aca="false">IF(F111="","",IF(H111&lt;&gt;"","Kapandı",IF('Vade Sapması'!$D$3&gt;G111,"Açık · vadesi geçti","Açık · vadesi gelmedi")))</f>
        <v/>
      </c>
      <c r="O111" s="30" t="str">
        <f aca="false">IF(F111="","",IF(AND(H111="",'Vade Sapması'!$D$3&gt;G111),'Vade Sapması'!$D$3-G111,0))</f>
        <v/>
      </c>
      <c r="P111" s="33" t="str">
        <f aca="false">IF(F111="","",F111*J111)</f>
        <v/>
      </c>
      <c r="Q111" s="33" t="str">
        <f aca="false">IF(F111="","",F111*L111)</f>
        <v/>
      </c>
      <c r="R111" s="33" t="str">
        <f aca="false">IF(F111="","",IF(H111="",F111,0))</f>
        <v/>
      </c>
      <c r="S111" s="32" t="str">
        <f aca="false">IF(F111="","",IF(N(O111)=0,"",IF(O111&lt;=30,"1-30",IF(O111&lt;=60,"31-60",IF(O111&lt;=90,"61-90","90+")))))</f>
        <v/>
      </c>
      <c r="T111" s="32" t="str">
        <f aca="false">IF(F111="","",IF(E111="","Diğer",E111))</f>
        <v/>
      </c>
      <c r="U111" s="32" t="str">
        <f aca="false">IF(OR(F111="",C111=""),"",IF(COUNTIF($C$2:C111,C111)=1,MAX($U$1:U110)+1,""))</f>
        <v/>
      </c>
    </row>
    <row r="112" customFormat="false" ht="15" hidden="false" customHeight="false" outlineLevel="0" collapsed="false">
      <c r="A112" s="34"/>
      <c r="B112" s="9"/>
      <c r="C112" s="34"/>
      <c r="D112" s="34"/>
      <c r="E112" s="34"/>
      <c r="F112" s="35"/>
      <c r="G112" s="9"/>
      <c r="H112" s="9"/>
      <c r="I112" s="34"/>
      <c r="J112" s="30" t="str">
        <f aca="false">IF(F112="","",G112-B112)</f>
        <v/>
      </c>
      <c r="K112" s="31" t="str">
        <f aca="false">IF(F112="","",IF(H112&lt;&gt;"",H112,MAX('Vade Sapması'!$D$3,G112)))</f>
        <v/>
      </c>
      <c r="L112" s="30" t="str">
        <f aca="false">IF(F112="","",K112-B112)</f>
        <v/>
      </c>
      <c r="M112" s="30" t="str">
        <f aca="false">IF(F112="","",L112-J112)</f>
        <v/>
      </c>
      <c r="N112" s="32" t="str">
        <f aca="false">IF(F112="","",IF(H112&lt;&gt;"","Kapandı",IF('Vade Sapması'!$D$3&gt;G112,"Açık · vadesi geçti","Açık · vadesi gelmedi")))</f>
        <v/>
      </c>
      <c r="O112" s="30" t="str">
        <f aca="false">IF(F112="","",IF(AND(H112="",'Vade Sapması'!$D$3&gt;G112),'Vade Sapması'!$D$3-G112,0))</f>
        <v/>
      </c>
      <c r="P112" s="33" t="str">
        <f aca="false">IF(F112="","",F112*J112)</f>
        <v/>
      </c>
      <c r="Q112" s="33" t="str">
        <f aca="false">IF(F112="","",F112*L112)</f>
        <v/>
      </c>
      <c r="R112" s="33" t="str">
        <f aca="false">IF(F112="","",IF(H112="",F112,0))</f>
        <v/>
      </c>
      <c r="S112" s="32" t="str">
        <f aca="false">IF(F112="","",IF(N(O112)=0,"",IF(O112&lt;=30,"1-30",IF(O112&lt;=60,"31-60",IF(O112&lt;=90,"61-90","90+")))))</f>
        <v/>
      </c>
      <c r="T112" s="32" t="str">
        <f aca="false">IF(F112="","",IF(E112="","Diğer",E112))</f>
        <v/>
      </c>
      <c r="U112" s="32" t="str">
        <f aca="false">IF(OR(F112="",C112=""),"",IF(COUNTIF($C$2:C112,C112)=1,MAX($U$1:U111)+1,""))</f>
        <v/>
      </c>
    </row>
    <row r="113" customFormat="false" ht="15" hidden="false" customHeight="false" outlineLevel="0" collapsed="false">
      <c r="A113" s="34"/>
      <c r="B113" s="9"/>
      <c r="C113" s="34"/>
      <c r="D113" s="34"/>
      <c r="E113" s="34"/>
      <c r="F113" s="35"/>
      <c r="G113" s="9"/>
      <c r="H113" s="9"/>
      <c r="I113" s="34"/>
      <c r="J113" s="30" t="str">
        <f aca="false">IF(F113="","",G113-B113)</f>
        <v/>
      </c>
      <c r="K113" s="31" t="str">
        <f aca="false">IF(F113="","",IF(H113&lt;&gt;"",H113,MAX('Vade Sapması'!$D$3,G113)))</f>
        <v/>
      </c>
      <c r="L113" s="30" t="str">
        <f aca="false">IF(F113="","",K113-B113)</f>
        <v/>
      </c>
      <c r="M113" s="30" t="str">
        <f aca="false">IF(F113="","",L113-J113)</f>
        <v/>
      </c>
      <c r="N113" s="32" t="str">
        <f aca="false">IF(F113="","",IF(H113&lt;&gt;"","Kapandı",IF('Vade Sapması'!$D$3&gt;G113,"Açık · vadesi geçti","Açık · vadesi gelmedi")))</f>
        <v/>
      </c>
      <c r="O113" s="30" t="str">
        <f aca="false">IF(F113="","",IF(AND(H113="",'Vade Sapması'!$D$3&gt;G113),'Vade Sapması'!$D$3-G113,0))</f>
        <v/>
      </c>
      <c r="P113" s="33" t="str">
        <f aca="false">IF(F113="","",F113*J113)</f>
        <v/>
      </c>
      <c r="Q113" s="33" t="str">
        <f aca="false">IF(F113="","",F113*L113)</f>
        <v/>
      </c>
      <c r="R113" s="33" t="str">
        <f aca="false">IF(F113="","",IF(H113="",F113,0))</f>
        <v/>
      </c>
      <c r="S113" s="32" t="str">
        <f aca="false">IF(F113="","",IF(N(O113)=0,"",IF(O113&lt;=30,"1-30",IF(O113&lt;=60,"31-60",IF(O113&lt;=90,"61-90","90+")))))</f>
        <v/>
      </c>
      <c r="T113" s="32" t="str">
        <f aca="false">IF(F113="","",IF(E113="","Diğer",E113))</f>
        <v/>
      </c>
      <c r="U113" s="32" t="str">
        <f aca="false">IF(OR(F113="",C113=""),"",IF(COUNTIF($C$2:C113,C113)=1,MAX($U$1:U112)+1,""))</f>
        <v/>
      </c>
    </row>
    <row r="114" customFormat="false" ht="15" hidden="false" customHeight="false" outlineLevel="0" collapsed="false">
      <c r="A114" s="34"/>
      <c r="B114" s="9"/>
      <c r="C114" s="34"/>
      <c r="D114" s="34"/>
      <c r="E114" s="34"/>
      <c r="F114" s="35"/>
      <c r="G114" s="9"/>
      <c r="H114" s="9"/>
      <c r="I114" s="34"/>
      <c r="J114" s="30" t="str">
        <f aca="false">IF(F114="","",G114-B114)</f>
        <v/>
      </c>
      <c r="K114" s="31" t="str">
        <f aca="false">IF(F114="","",IF(H114&lt;&gt;"",H114,MAX('Vade Sapması'!$D$3,G114)))</f>
        <v/>
      </c>
      <c r="L114" s="30" t="str">
        <f aca="false">IF(F114="","",K114-B114)</f>
        <v/>
      </c>
      <c r="M114" s="30" t="str">
        <f aca="false">IF(F114="","",L114-J114)</f>
        <v/>
      </c>
      <c r="N114" s="32" t="str">
        <f aca="false">IF(F114="","",IF(H114&lt;&gt;"","Kapandı",IF('Vade Sapması'!$D$3&gt;G114,"Açık · vadesi geçti","Açık · vadesi gelmedi")))</f>
        <v/>
      </c>
      <c r="O114" s="30" t="str">
        <f aca="false">IF(F114="","",IF(AND(H114="",'Vade Sapması'!$D$3&gt;G114),'Vade Sapması'!$D$3-G114,0))</f>
        <v/>
      </c>
      <c r="P114" s="33" t="str">
        <f aca="false">IF(F114="","",F114*J114)</f>
        <v/>
      </c>
      <c r="Q114" s="33" t="str">
        <f aca="false">IF(F114="","",F114*L114)</f>
        <v/>
      </c>
      <c r="R114" s="33" t="str">
        <f aca="false">IF(F114="","",IF(H114="",F114,0))</f>
        <v/>
      </c>
      <c r="S114" s="32" t="str">
        <f aca="false">IF(F114="","",IF(N(O114)=0,"",IF(O114&lt;=30,"1-30",IF(O114&lt;=60,"31-60",IF(O114&lt;=90,"61-90","90+")))))</f>
        <v/>
      </c>
      <c r="T114" s="32" t="str">
        <f aca="false">IF(F114="","",IF(E114="","Diğer",E114))</f>
        <v/>
      </c>
      <c r="U114" s="32" t="str">
        <f aca="false">IF(OR(F114="",C114=""),"",IF(COUNTIF($C$2:C114,C114)=1,MAX($U$1:U113)+1,""))</f>
        <v/>
      </c>
    </row>
    <row r="115" customFormat="false" ht="15" hidden="false" customHeight="false" outlineLevel="0" collapsed="false">
      <c r="A115" s="34"/>
      <c r="B115" s="9"/>
      <c r="C115" s="34"/>
      <c r="D115" s="34"/>
      <c r="E115" s="34"/>
      <c r="F115" s="35"/>
      <c r="G115" s="9"/>
      <c r="H115" s="9"/>
      <c r="I115" s="34"/>
      <c r="J115" s="30" t="str">
        <f aca="false">IF(F115="","",G115-B115)</f>
        <v/>
      </c>
      <c r="K115" s="31" t="str">
        <f aca="false">IF(F115="","",IF(H115&lt;&gt;"",H115,MAX('Vade Sapması'!$D$3,G115)))</f>
        <v/>
      </c>
      <c r="L115" s="30" t="str">
        <f aca="false">IF(F115="","",K115-B115)</f>
        <v/>
      </c>
      <c r="M115" s="30" t="str">
        <f aca="false">IF(F115="","",L115-J115)</f>
        <v/>
      </c>
      <c r="N115" s="32" t="str">
        <f aca="false">IF(F115="","",IF(H115&lt;&gt;"","Kapandı",IF('Vade Sapması'!$D$3&gt;G115,"Açık · vadesi geçti","Açık · vadesi gelmedi")))</f>
        <v/>
      </c>
      <c r="O115" s="30" t="str">
        <f aca="false">IF(F115="","",IF(AND(H115="",'Vade Sapması'!$D$3&gt;G115),'Vade Sapması'!$D$3-G115,0))</f>
        <v/>
      </c>
      <c r="P115" s="33" t="str">
        <f aca="false">IF(F115="","",F115*J115)</f>
        <v/>
      </c>
      <c r="Q115" s="33" t="str">
        <f aca="false">IF(F115="","",F115*L115)</f>
        <v/>
      </c>
      <c r="R115" s="33" t="str">
        <f aca="false">IF(F115="","",IF(H115="",F115,0))</f>
        <v/>
      </c>
      <c r="S115" s="32" t="str">
        <f aca="false">IF(F115="","",IF(N(O115)=0,"",IF(O115&lt;=30,"1-30",IF(O115&lt;=60,"31-60",IF(O115&lt;=90,"61-90","90+")))))</f>
        <v/>
      </c>
      <c r="T115" s="32" t="str">
        <f aca="false">IF(F115="","",IF(E115="","Diğer",E115))</f>
        <v/>
      </c>
      <c r="U115" s="32" t="str">
        <f aca="false">IF(OR(F115="",C115=""),"",IF(COUNTIF($C$2:C115,C115)=1,MAX($U$1:U114)+1,""))</f>
        <v/>
      </c>
    </row>
    <row r="116" customFormat="false" ht="15" hidden="false" customHeight="false" outlineLevel="0" collapsed="false">
      <c r="A116" s="34"/>
      <c r="B116" s="9"/>
      <c r="C116" s="34"/>
      <c r="D116" s="34"/>
      <c r="E116" s="34"/>
      <c r="F116" s="35"/>
      <c r="G116" s="9"/>
      <c r="H116" s="9"/>
      <c r="I116" s="34"/>
      <c r="J116" s="30" t="str">
        <f aca="false">IF(F116="","",G116-B116)</f>
        <v/>
      </c>
      <c r="K116" s="31" t="str">
        <f aca="false">IF(F116="","",IF(H116&lt;&gt;"",H116,MAX('Vade Sapması'!$D$3,G116)))</f>
        <v/>
      </c>
      <c r="L116" s="30" t="str">
        <f aca="false">IF(F116="","",K116-B116)</f>
        <v/>
      </c>
      <c r="M116" s="30" t="str">
        <f aca="false">IF(F116="","",L116-J116)</f>
        <v/>
      </c>
      <c r="N116" s="32" t="str">
        <f aca="false">IF(F116="","",IF(H116&lt;&gt;"","Kapandı",IF('Vade Sapması'!$D$3&gt;G116,"Açık · vadesi geçti","Açık · vadesi gelmedi")))</f>
        <v/>
      </c>
      <c r="O116" s="30" t="str">
        <f aca="false">IF(F116="","",IF(AND(H116="",'Vade Sapması'!$D$3&gt;G116),'Vade Sapması'!$D$3-G116,0))</f>
        <v/>
      </c>
      <c r="P116" s="33" t="str">
        <f aca="false">IF(F116="","",F116*J116)</f>
        <v/>
      </c>
      <c r="Q116" s="33" t="str">
        <f aca="false">IF(F116="","",F116*L116)</f>
        <v/>
      </c>
      <c r="R116" s="33" t="str">
        <f aca="false">IF(F116="","",IF(H116="",F116,0))</f>
        <v/>
      </c>
      <c r="S116" s="32" t="str">
        <f aca="false">IF(F116="","",IF(N(O116)=0,"",IF(O116&lt;=30,"1-30",IF(O116&lt;=60,"31-60",IF(O116&lt;=90,"61-90","90+")))))</f>
        <v/>
      </c>
      <c r="T116" s="32" t="str">
        <f aca="false">IF(F116="","",IF(E116="","Diğer",E116))</f>
        <v/>
      </c>
      <c r="U116" s="32" t="str">
        <f aca="false">IF(OR(F116="",C116=""),"",IF(COUNTIF($C$2:C116,C116)=1,MAX($U$1:U115)+1,""))</f>
        <v/>
      </c>
    </row>
    <row r="117" customFormat="false" ht="15" hidden="false" customHeight="false" outlineLevel="0" collapsed="false">
      <c r="A117" s="34"/>
      <c r="B117" s="9"/>
      <c r="C117" s="34"/>
      <c r="D117" s="34"/>
      <c r="E117" s="34"/>
      <c r="F117" s="35"/>
      <c r="G117" s="9"/>
      <c r="H117" s="9"/>
      <c r="I117" s="34"/>
      <c r="J117" s="30" t="str">
        <f aca="false">IF(F117="","",G117-B117)</f>
        <v/>
      </c>
      <c r="K117" s="31" t="str">
        <f aca="false">IF(F117="","",IF(H117&lt;&gt;"",H117,MAX('Vade Sapması'!$D$3,G117)))</f>
        <v/>
      </c>
      <c r="L117" s="30" t="str">
        <f aca="false">IF(F117="","",K117-B117)</f>
        <v/>
      </c>
      <c r="M117" s="30" t="str">
        <f aca="false">IF(F117="","",L117-J117)</f>
        <v/>
      </c>
      <c r="N117" s="32" t="str">
        <f aca="false">IF(F117="","",IF(H117&lt;&gt;"","Kapandı",IF('Vade Sapması'!$D$3&gt;G117,"Açık · vadesi geçti","Açık · vadesi gelmedi")))</f>
        <v/>
      </c>
      <c r="O117" s="30" t="str">
        <f aca="false">IF(F117="","",IF(AND(H117="",'Vade Sapması'!$D$3&gt;G117),'Vade Sapması'!$D$3-G117,0))</f>
        <v/>
      </c>
      <c r="P117" s="33" t="str">
        <f aca="false">IF(F117="","",F117*J117)</f>
        <v/>
      </c>
      <c r="Q117" s="33" t="str">
        <f aca="false">IF(F117="","",F117*L117)</f>
        <v/>
      </c>
      <c r="R117" s="33" t="str">
        <f aca="false">IF(F117="","",IF(H117="",F117,0))</f>
        <v/>
      </c>
      <c r="S117" s="32" t="str">
        <f aca="false">IF(F117="","",IF(N(O117)=0,"",IF(O117&lt;=30,"1-30",IF(O117&lt;=60,"31-60",IF(O117&lt;=90,"61-90","90+")))))</f>
        <v/>
      </c>
      <c r="T117" s="32" t="str">
        <f aca="false">IF(F117="","",IF(E117="","Diğer",E117))</f>
        <v/>
      </c>
      <c r="U117" s="32" t="str">
        <f aca="false">IF(OR(F117="",C117=""),"",IF(COUNTIF($C$2:C117,C117)=1,MAX($U$1:U116)+1,""))</f>
        <v/>
      </c>
    </row>
    <row r="118" customFormat="false" ht="15" hidden="false" customHeight="false" outlineLevel="0" collapsed="false">
      <c r="A118" s="34"/>
      <c r="B118" s="9"/>
      <c r="C118" s="34"/>
      <c r="D118" s="34"/>
      <c r="E118" s="34"/>
      <c r="F118" s="35"/>
      <c r="G118" s="9"/>
      <c r="H118" s="9"/>
      <c r="I118" s="34"/>
      <c r="J118" s="30" t="str">
        <f aca="false">IF(F118="","",G118-B118)</f>
        <v/>
      </c>
      <c r="K118" s="31" t="str">
        <f aca="false">IF(F118="","",IF(H118&lt;&gt;"",H118,MAX('Vade Sapması'!$D$3,G118)))</f>
        <v/>
      </c>
      <c r="L118" s="30" t="str">
        <f aca="false">IF(F118="","",K118-B118)</f>
        <v/>
      </c>
      <c r="M118" s="30" t="str">
        <f aca="false">IF(F118="","",L118-J118)</f>
        <v/>
      </c>
      <c r="N118" s="32" t="str">
        <f aca="false">IF(F118="","",IF(H118&lt;&gt;"","Kapandı",IF('Vade Sapması'!$D$3&gt;G118,"Açık · vadesi geçti","Açık · vadesi gelmedi")))</f>
        <v/>
      </c>
      <c r="O118" s="30" t="str">
        <f aca="false">IF(F118="","",IF(AND(H118="",'Vade Sapması'!$D$3&gt;G118),'Vade Sapması'!$D$3-G118,0))</f>
        <v/>
      </c>
      <c r="P118" s="33" t="str">
        <f aca="false">IF(F118="","",F118*J118)</f>
        <v/>
      </c>
      <c r="Q118" s="33" t="str">
        <f aca="false">IF(F118="","",F118*L118)</f>
        <v/>
      </c>
      <c r="R118" s="33" t="str">
        <f aca="false">IF(F118="","",IF(H118="",F118,0))</f>
        <v/>
      </c>
      <c r="S118" s="32" t="str">
        <f aca="false">IF(F118="","",IF(N(O118)=0,"",IF(O118&lt;=30,"1-30",IF(O118&lt;=60,"31-60",IF(O118&lt;=90,"61-90","90+")))))</f>
        <v/>
      </c>
      <c r="T118" s="32" t="str">
        <f aca="false">IF(F118="","",IF(E118="","Diğer",E118))</f>
        <v/>
      </c>
      <c r="U118" s="32" t="str">
        <f aca="false">IF(OR(F118="",C118=""),"",IF(COUNTIF($C$2:C118,C118)=1,MAX($U$1:U117)+1,""))</f>
        <v/>
      </c>
    </row>
    <row r="119" customFormat="false" ht="15" hidden="false" customHeight="false" outlineLevel="0" collapsed="false">
      <c r="A119" s="34"/>
      <c r="B119" s="9"/>
      <c r="C119" s="34"/>
      <c r="D119" s="34"/>
      <c r="E119" s="34"/>
      <c r="F119" s="35"/>
      <c r="G119" s="9"/>
      <c r="H119" s="9"/>
      <c r="I119" s="34"/>
      <c r="J119" s="30" t="str">
        <f aca="false">IF(F119="","",G119-B119)</f>
        <v/>
      </c>
      <c r="K119" s="31" t="str">
        <f aca="false">IF(F119="","",IF(H119&lt;&gt;"",H119,MAX('Vade Sapması'!$D$3,G119)))</f>
        <v/>
      </c>
      <c r="L119" s="30" t="str">
        <f aca="false">IF(F119="","",K119-B119)</f>
        <v/>
      </c>
      <c r="M119" s="30" t="str">
        <f aca="false">IF(F119="","",L119-J119)</f>
        <v/>
      </c>
      <c r="N119" s="32" t="str">
        <f aca="false">IF(F119="","",IF(H119&lt;&gt;"","Kapandı",IF('Vade Sapması'!$D$3&gt;G119,"Açık · vadesi geçti","Açık · vadesi gelmedi")))</f>
        <v/>
      </c>
      <c r="O119" s="30" t="str">
        <f aca="false">IF(F119="","",IF(AND(H119="",'Vade Sapması'!$D$3&gt;G119),'Vade Sapması'!$D$3-G119,0))</f>
        <v/>
      </c>
      <c r="P119" s="33" t="str">
        <f aca="false">IF(F119="","",F119*J119)</f>
        <v/>
      </c>
      <c r="Q119" s="33" t="str">
        <f aca="false">IF(F119="","",F119*L119)</f>
        <v/>
      </c>
      <c r="R119" s="33" t="str">
        <f aca="false">IF(F119="","",IF(H119="",F119,0))</f>
        <v/>
      </c>
      <c r="S119" s="32" t="str">
        <f aca="false">IF(F119="","",IF(N(O119)=0,"",IF(O119&lt;=30,"1-30",IF(O119&lt;=60,"31-60",IF(O119&lt;=90,"61-90","90+")))))</f>
        <v/>
      </c>
      <c r="T119" s="32" t="str">
        <f aca="false">IF(F119="","",IF(E119="","Diğer",E119))</f>
        <v/>
      </c>
      <c r="U119" s="32" t="str">
        <f aca="false">IF(OR(F119="",C119=""),"",IF(COUNTIF($C$2:C119,C119)=1,MAX($U$1:U118)+1,""))</f>
        <v/>
      </c>
    </row>
    <row r="120" customFormat="false" ht="15" hidden="false" customHeight="false" outlineLevel="0" collapsed="false">
      <c r="A120" s="34"/>
      <c r="B120" s="9"/>
      <c r="C120" s="34"/>
      <c r="D120" s="34"/>
      <c r="E120" s="34"/>
      <c r="F120" s="35"/>
      <c r="G120" s="9"/>
      <c r="H120" s="9"/>
      <c r="I120" s="34"/>
      <c r="J120" s="30" t="str">
        <f aca="false">IF(F120="","",G120-B120)</f>
        <v/>
      </c>
      <c r="K120" s="31" t="str">
        <f aca="false">IF(F120="","",IF(H120&lt;&gt;"",H120,MAX('Vade Sapması'!$D$3,G120)))</f>
        <v/>
      </c>
      <c r="L120" s="30" t="str">
        <f aca="false">IF(F120="","",K120-B120)</f>
        <v/>
      </c>
      <c r="M120" s="30" t="str">
        <f aca="false">IF(F120="","",L120-J120)</f>
        <v/>
      </c>
      <c r="N120" s="32" t="str">
        <f aca="false">IF(F120="","",IF(H120&lt;&gt;"","Kapandı",IF('Vade Sapması'!$D$3&gt;G120,"Açık · vadesi geçti","Açık · vadesi gelmedi")))</f>
        <v/>
      </c>
      <c r="O120" s="30" t="str">
        <f aca="false">IF(F120="","",IF(AND(H120="",'Vade Sapması'!$D$3&gt;G120),'Vade Sapması'!$D$3-G120,0))</f>
        <v/>
      </c>
      <c r="P120" s="33" t="str">
        <f aca="false">IF(F120="","",F120*J120)</f>
        <v/>
      </c>
      <c r="Q120" s="33" t="str">
        <f aca="false">IF(F120="","",F120*L120)</f>
        <v/>
      </c>
      <c r="R120" s="33" t="str">
        <f aca="false">IF(F120="","",IF(H120="",F120,0))</f>
        <v/>
      </c>
      <c r="S120" s="32" t="str">
        <f aca="false">IF(F120="","",IF(N(O120)=0,"",IF(O120&lt;=30,"1-30",IF(O120&lt;=60,"31-60",IF(O120&lt;=90,"61-90","90+")))))</f>
        <v/>
      </c>
      <c r="T120" s="32" t="str">
        <f aca="false">IF(F120="","",IF(E120="","Diğer",E120))</f>
        <v/>
      </c>
      <c r="U120" s="32" t="str">
        <f aca="false">IF(OR(F120="",C120=""),"",IF(COUNTIF($C$2:C120,C120)=1,MAX($U$1:U119)+1,""))</f>
        <v/>
      </c>
    </row>
    <row r="121" customFormat="false" ht="15" hidden="false" customHeight="false" outlineLevel="0" collapsed="false">
      <c r="A121" s="34"/>
      <c r="B121" s="9"/>
      <c r="C121" s="34"/>
      <c r="D121" s="34"/>
      <c r="E121" s="34"/>
      <c r="F121" s="35"/>
      <c r="G121" s="9"/>
      <c r="H121" s="9"/>
      <c r="I121" s="34"/>
      <c r="J121" s="30" t="str">
        <f aca="false">IF(F121="","",G121-B121)</f>
        <v/>
      </c>
      <c r="K121" s="31" t="str">
        <f aca="false">IF(F121="","",IF(H121&lt;&gt;"",H121,MAX('Vade Sapması'!$D$3,G121)))</f>
        <v/>
      </c>
      <c r="L121" s="30" t="str">
        <f aca="false">IF(F121="","",K121-B121)</f>
        <v/>
      </c>
      <c r="M121" s="30" t="str">
        <f aca="false">IF(F121="","",L121-J121)</f>
        <v/>
      </c>
      <c r="N121" s="32" t="str">
        <f aca="false">IF(F121="","",IF(H121&lt;&gt;"","Kapandı",IF('Vade Sapması'!$D$3&gt;G121,"Açık · vadesi geçti","Açık · vadesi gelmedi")))</f>
        <v/>
      </c>
      <c r="O121" s="30" t="str">
        <f aca="false">IF(F121="","",IF(AND(H121="",'Vade Sapması'!$D$3&gt;G121),'Vade Sapması'!$D$3-G121,0))</f>
        <v/>
      </c>
      <c r="P121" s="33" t="str">
        <f aca="false">IF(F121="","",F121*J121)</f>
        <v/>
      </c>
      <c r="Q121" s="33" t="str">
        <f aca="false">IF(F121="","",F121*L121)</f>
        <v/>
      </c>
      <c r="R121" s="33" t="str">
        <f aca="false">IF(F121="","",IF(H121="",F121,0))</f>
        <v/>
      </c>
      <c r="S121" s="32" t="str">
        <f aca="false">IF(F121="","",IF(N(O121)=0,"",IF(O121&lt;=30,"1-30",IF(O121&lt;=60,"31-60",IF(O121&lt;=90,"61-90","90+")))))</f>
        <v/>
      </c>
      <c r="T121" s="32" t="str">
        <f aca="false">IF(F121="","",IF(E121="","Diğer",E121))</f>
        <v/>
      </c>
      <c r="U121" s="32" t="str">
        <f aca="false">IF(OR(F121="",C121=""),"",IF(COUNTIF($C$2:C121,C121)=1,MAX($U$1:U120)+1,""))</f>
        <v/>
      </c>
    </row>
    <row r="122" customFormat="false" ht="15" hidden="false" customHeight="false" outlineLevel="0" collapsed="false">
      <c r="A122" s="34"/>
      <c r="B122" s="9"/>
      <c r="C122" s="34"/>
      <c r="D122" s="34"/>
      <c r="E122" s="34"/>
      <c r="F122" s="35"/>
      <c r="G122" s="9"/>
      <c r="H122" s="9"/>
      <c r="I122" s="34"/>
      <c r="J122" s="30" t="str">
        <f aca="false">IF(F122="","",G122-B122)</f>
        <v/>
      </c>
      <c r="K122" s="31" t="str">
        <f aca="false">IF(F122="","",IF(H122&lt;&gt;"",H122,MAX('Vade Sapması'!$D$3,G122)))</f>
        <v/>
      </c>
      <c r="L122" s="30" t="str">
        <f aca="false">IF(F122="","",K122-B122)</f>
        <v/>
      </c>
      <c r="M122" s="30" t="str">
        <f aca="false">IF(F122="","",L122-J122)</f>
        <v/>
      </c>
      <c r="N122" s="32" t="str">
        <f aca="false">IF(F122="","",IF(H122&lt;&gt;"","Kapandı",IF('Vade Sapması'!$D$3&gt;G122,"Açık · vadesi geçti","Açık · vadesi gelmedi")))</f>
        <v/>
      </c>
      <c r="O122" s="30" t="str">
        <f aca="false">IF(F122="","",IF(AND(H122="",'Vade Sapması'!$D$3&gt;G122),'Vade Sapması'!$D$3-G122,0))</f>
        <v/>
      </c>
      <c r="P122" s="33" t="str">
        <f aca="false">IF(F122="","",F122*J122)</f>
        <v/>
      </c>
      <c r="Q122" s="33" t="str">
        <f aca="false">IF(F122="","",F122*L122)</f>
        <v/>
      </c>
      <c r="R122" s="33" t="str">
        <f aca="false">IF(F122="","",IF(H122="",F122,0))</f>
        <v/>
      </c>
      <c r="S122" s="32" t="str">
        <f aca="false">IF(F122="","",IF(N(O122)=0,"",IF(O122&lt;=30,"1-30",IF(O122&lt;=60,"31-60",IF(O122&lt;=90,"61-90","90+")))))</f>
        <v/>
      </c>
      <c r="T122" s="32" t="str">
        <f aca="false">IF(F122="","",IF(E122="","Diğer",E122))</f>
        <v/>
      </c>
      <c r="U122" s="32" t="str">
        <f aca="false">IF(OR(F122="",C122=""),"",IF(COUNTIF($C$2:C122,C122)=1,MAX($U$1:U121)+1,""))</f>
        <v/>
      </c>
    </row>
    <row r="123" customFormat="false" ht="15" hidden="false" customHeight="false" outlineLevel="0" collapsed="false">
      <c r="A123" s="34"/>
      <c r="B123" s="9"/>
      <c r="C123" s="34"/>
      <c r="D123" s="34"/>
      <c r="E123" s="34"/>
      <c r="F123" s="35"/>
      <c r="G123" s="9"/>
      <c r="H123" s="9"/>
      <c r="I123" s="34"/>
      <c r="J123" s="30" t="str">
        <f aca="false">IF(F123="","",G123-B123)</f>
        <v/>
      </c>
      <c r="K123" s="31" t="str">
        <f aca="false">IF(F123="","",IF(H123&lt;&gt;"",H123,MAX('Vade Sapması'!$D$3,G123)))</f>
        <v/>
      </c>
      <c r="L123" s="30" t="str">
        <f aca="false">IF(F123="","",K123-B123)</f>
        <v/>
      </c>
      <c r="M123" s="30" t="str">
        <f aca="false">IF(F123="","",L123-J123)</f>
        <v/>
      </c>
      <c r="N123" s="32" t="str">
        <f aca="false">IF(F123="","",IF(H123&lt;&gt;"","Kapandı",IF('Vade Sapması'!$D$3&gt;G123,"Açık · vadesi geçti","Açık · vadesi gelmedi")))</f>
        <v/>
      </c>
      <c r="O123" s="30" t="str">
        <f aca="false">IF(F123="","",IF(AND(H123="",'Vade Sapması'!$D$3&gt;G123),'Vade Sapması'!$D$3-G123,0))</f>
        <v/>
      </c>
      <c r="P123" s="33" t="str">
        <f aca="false">IF(F123="","",F123*J123)</f>
        <v/>
      </c>
      <c r="Q123" s="33" t="str">
        <f aca="false">IF(F123="","",F123*L123)</f>
        <v/>
      </c>
      <c r="R123" s="33" t="str">
        <f aca="false">IF(F123="","",IF(H123="",F123,0))</f>
        <v/>
      </c>
      <c r="S123" s="32" t="str">
        <f aca="false">IF(F123="","",IF(N(O123)=0,"",IF(O123&lt;=30,"1-30",IF(O123&lt;=60,"31-60",IF(O123&lt;=90,"61-90","90+")))))</f>
        <v/>
      </c>
      <c r="T123" s="32" t="str">
        <f aca="false">IF(F123="","",IF(E123="","Diğer",E123))</f>
        <v/>
      </c>
      <c r="U123" s="32" t="str">
        <f aca="false">IF(OR(F123="",C123=""),"",IF(COUNTIF($C$2:C123,C123)=1,MAX($U$1:U122)+1,""))</f>
        <v/>
      </c>
    </row>
    <row r="124" customFormat="false" ht="15" hidden="false" customHeight="false" outlineLevel="0" collapsed="false">
      <c r="A124" s="34"/>
      <c r="B124" s="9"/>
      <c r="C124" s="34"/>
      <c r="D124" s="34"/>
      <c r="E124" s="34"/>
      <c r="F124" s="35"/>
      <c r="G124" s="9"/>
      <c r="H124" s="9"/>
      <c r="I124" s="34"/>
      <c r="J124" s="30" t="str">
        <f aca="false">IF(F124="","",G124-B124)</f>
        <v/>
      </c>
      <c r="K124" s="31" t="str">
        <f aca="false">IF(F124="","",IF(H124&lt;&gt;"",H124,MAX('Vade Sapması'!$D$3,G124)))</f>
        <v/>
      </c>
      <c r="L124" s="30" t="str">
        <f aca="false">IF(F124="","",K124-B124)</f>
        <v/>
      </c>
      <c r="M124" s="30" t="str">
        <f aca="false">IF(F124="","",L124-J124)</f>
        <v/>
      </c>
      <c r="N124" s="32" t="str">
        <f aca="false">IF(F124="","",IF(H124&lt;&gt;"","Kapandı",IF('Vade Sapması'!$D$3&gt;G124,"Açık · vadesi geçti","Açık · vadesi gelmedi")))</f>
        <v/>
      </c>
      <c r="O124" s="30" t="str">
        <f aca="false">IF(F124="","",IF(AND(H124="",'Vade Sapması'!$D$3&gt;G124),'Vade Sapması'!$D$3-G124,0))</f>
        <v/>
      </c>
      <c r="P124" s="33" t="str">
        <f aca="false">IF(F124="","",F124*J124)</f>
        <v/>
      </c>
      <c r="Q124" s="33" t="str">
        <f aca="false">IF(F124="","",F124*L124)</f>
        <v/>
      </c>
      <c r="R124" s="33" t="str">
        <f aca="false">IF(F124="","",IF(H124="",F124,0))</f>
        <v/>
      </c>
      <c r="S124" s="32" t="str">
        <f aca="false">IF(F124="","",IF(N(O124)=0,"",IF(O124&lt;=30,"1-30",IF(O124&lt;=60,"31-60",IF(O124&lt;=90,"61-90","90+")))))</f>
        <v/>
      </c>
      <c r="T124" s="32" t="str">
        <f aca="false">IF(F124="","",IF(E124="","Diğer",E124))</f>
        <v/>
      </c>
      <c r="U124" s="32" t="str">
        <f aca="false">IF(OR(F124="",C124=""),"",IF(COUNTIF($C$2:C124,C124)=1,MAX($U$1:U123)+1,""))</f>
        <v/>
      </c>
    </row>
    <row r="125" customFormat="false" ht="15" hidden="false" customHeight="false" outlineLevel="0" collapsed="false">
      <c r="A125" s="34"/>
      <c r="B125" s="9"/>
      <c r="C125" s="34"/>
      <c r="D125" s="34"/>
      <c r="E125" s="34"/>
      <c r="F125" s="35"/>
      <c r="G125" s="9"/>
      <c r="H125" s="9"/>
      <c r="I125" s="34"/>
      <c r="J125" s="30" t="str">
        <f aca="false">IF(F125="","",G125-B125)</f>
        <v/>
      </c>
      <c r="K125" s="31" t="str">
        <f aca="false">IF(F125="","",IF(H125&lt;&gt;"",H125,MAX('Vade Sapması'!$D$3,G125)))</f>
        <v/>
      </c>
      <c r="L125" s="30" t="str">
        <f aca="false">IF(F125="","",K125-B125)</f>
        <v/>
      </c>
      <c r="M125" s="30" t="str">
        <f aca="false">IF(F125="","",L125-J125)</f>
        <v/>
      </c>
      <c r="N125" s="32" t="str">
        <f aca="false">IF(F125="","",IF(H125&lt;&gt;"","Kapandı",IF('Vade Sapması'!$D$3&gt;G125,"Açık · vadesi geçti","Açık · vadesi gelmedi")))</f>
        <v/>
      </c>
      <c r="O125" s="30" t="str">
        <f aca="false">IF(F125="","",IF(AND(H125="",'Vade Sapması'!$D$3&gt;G125),'Vade Sapması'!$D$3-G125,0))</f>
        <v/>
      </c>
      <c r="P125" s="33" t="str">
        <f aca="false">IF(F125="","",F125*J125)</f>
        <v/>
      </c>
      <c r="Q125" s="33" t="str">
        <f aca="false">IF(F125="","",F125*L125)</f>
        <v/>
      </c>
      <c r="R125" s="33" t="str">
        <f aca="false">IF(F125="","",IF(H125="",F125,0))</f>
        <v/>
      </c>
      <c r="S125" s="32" t="str">
        <f aca="false">IF(F125="","",IF(N(O125)=0,"",IF(O125&lt;=30,"1-30",IF(O125&lt;=60,"31-60",IF(O125&lt;=90,"61-90","90+")))))</f>
        <v/>
      </c>
      <c r="T125" s="32" t="str">
        <f aca="false">IF(F125="","",IF(E125="","Diğer",E125))</f>
        <v/>
      </c>
      <c r="U125" s="32" t="str">
        <f aca="false">IF(OR(F125="",C125=""),"",IF(COUNTIF($C$2:C125,C125)=1,MAX($U$1:U124)+1,""))</f>
        <v/>
      </c>
    </row>
    <row r="126" customFormat="false" ht="15" hidden="false" customHeight="false" outlineLevel="0" collapsed="false">
      <c r="A126" s="34"/>
      <c r="B126" s="9"/>
      <c r="C126" s="34"/>
      <c r="D126" s="34"/>
      <c r="E126" s="34"/>
      <c r="F126" s="35"/>
      <c r="G126" s="9"/>
      <c r="H126" s="9"/>
      <c r="I126" s="34"/>
      <c r="J126" s="30" t="str">
        <f aca="false">IF(F126="","",G126-B126)</f>
        <v/>
      </c>
      <c r="K126" s="31" t="str">
        <f aca="false">IF(F126="","",IF(H126&lt;&gt;"",H126,MAX('Vade Sapması'!$D$3,G126)))</f>
        <v/>
      </c>
      <c r="L126" s="30" t="str">
        <f aca="false">IF(F126="","",K126-B126)</f>
        <v/>
      </c>
      <c r="M126" s="30" t="str">
        <f aca="false">IF(F126="","",L126-J126)</f>
        <v/>
      </c>
      <c r="N126" s="32" t="str">
        <f aca="false">IF(F126="","",IF(H126&lt;&gt;"","Kapandı",IF('Vade Sapması'!$D$3&gt;G126,"Açık · vadesi geçti","Açık · vadesi gelmedi")))</f>
        <v/>
      </c>
      <c r="O126" s="30" t="str">
        <f aca="false">IF(F126="","",IF(AND(H126="",'Vade Sapması'!$D$3&gt;G126),'Vade Sapması'!$D$3-G126,0))</f>
        <v/>
      </c>
      <c r="P126" s="33" t="str">
        <f aca="false">IF(F126="","",F126*J126)</f>
        <v/>
      </c>
      <c r="Q126" s="33" t="str">
        <f aca="false">IF(F126="","",F126*L126)</f>
        <v/>
      </c>
      <c r="R126" s="33" t="str">
        <f aca="false">IF(F126="","",IF(H126="",F126,0))</f>
        <v/>
      </c>
      <c r="S126" s="32" t="str">
        <f aca="false">IF(F126="","",IF(N(O126)=0,"",IF(O126&lt;=30,"1-30",IF(O126&lt;=60,"31-60",IF(O126&lt;=90,"61-90","90+")))))</f>
        <v/>
      </c>
      <c r="T126" s="32" t="str">
        <f aca="false">IF(F126="","",IF(E126="","Diğer",E126))</f>
        <v/>
      </c>
      <c r="U126" s="32" t="str">
        <f aca="false">IF(OR(F126="",C126=""),"",IF(COUNTIF($C$2:C126,C126)=1,MAX($U$1:U125)+1,""))</f>
        <v/>
      </c>
    </row>
    <row r="127" customFormat="false" ht="15" hidden="false" customHeight="false" outlineLevel="0" collapsed="false">
      <c r="A127" s="34"/>
      <c r="B127" s="9"/>
      <c r="C127" s="34"/>
      <c r="D127" s="34"/>
      <c r="E127" s="34"/>
      <c r="F127" s="35"/>
      <c r="G127" s="9"/>
      <c r="H127" s="9"/>
      <c r="I127" s="34"/>
      <c r="J127" s="30" t="str">
        <f aca="false">IF(F127="","",G127-B127)</f>
        <v/>
      </c>
      <c r="K127" s="31" t="str">
        <f aca="false">IF(F127="","",IF(H127&lt;&gt;"",H127,MAX('Vade Sapması'!$D$3,G127)))</f>
        <v/>
      </c>
      <c r="L127" s="30" t="str">
        <f aca="false">IF(F127="","",K127-B127)</f>
        <v/>
      </c>
      <c r="M127" s="30" t="str">
        <f aca="false">IF(F127="","",L127-J127)</f>
        <v/>
      </c>
      <c r="N127" s="32" t="str">
        <f aca="false">IF(F127="","",IF(H127&lt;&gt;"","Kapandı",IF('Vade Sapması'!$D$3&gt;G127,"Açık · vadesi geçti","Açık · vadesi gelmedi")))</f>
        <v/>
      </c>
      <c r="O127" s="30" t="str">
        <f aca="false">IF(F127="","",IF(AND(H127="",'Vade Sapması'!$D$3&gt;G127),'Vade Sapması'!$D$3-G127,0))</f>
        <v/>
      </c>
      <c r="P127" s="33" t="str">
        <f aca="false">IF(F127="","",F127*J127)</f>
        <v/>
      </c>
      <c r="Q127" s="33" t="str">
        <f aca="false">IF(F127="","",F127*L127)</f>
        <v/>
      </c>
      <c r="R127" s="33" t="str">
        <f aca="false">IF(F127="","",IF(H127="",F127,0))</f>
        <v/>
      </c>
      <c r="S127" s="32" t="str">
        <f aca="false">IF(F127="","",IF(N(O127)=0,"",IF(O127&lt;=30,"1-30",IF(O127&lt;=60,"31-60",IF(O127&lt;=90,"61-90","90+")))))</f>
        <v/>
      </c>
      <c r="T127" s="32" t="str">
        <f aca="false">IF(F127="","",IF(E127="","Diğer",E127))</f>
        <v/>
      </c>
      <c r="U127" s="32" t="str">
        <f aca="false">IF(OR(F127="",C127=""),"",IF(COUNTIF($C$2:C127,C127)=1,MAX($U$1:U126)+1,""))</f>
        <v/>
      </c>
    </row>
    <row r="128" customFormat="false" ht="15" hidden="false" customHeight="false" outlineLevel="0" collapsed="false">
      <c r="A128" s="34"/>
      <c r="B128" s="9"/>
      <c r="C128" s="34"/>
      <c r="D128" s="34"/>
      <c r="E128" s="34"/>
      <c r="F128" s="35"/>
      <c r="G128" s="9"/>
      <c r="H128" s="9"/>
      <c r="I128" s="34"/>
      <c r="J128" s="30" t="str">
        <f aca="false">IF(F128="","",G128-B128)</f>
        <v/>
      </c>
      <c r="K128" s="31" t="str">
        <f aca="false">IF(F128="","",IF(H128&lt;&gt;"",H128,MAX('Vade Sapması'!$D$3,G128)))</f>
        <v/>
      </c>
      <c r="L128" s="30" t="str">
        <f aca="false">IF(F128="","",K128-B128)</f>
        <v/>
      </c>
      <c r="M128" s="30" t="str">
        <f aca="false">IF(F128="","",L128-J128)</f>
        <v/>
      </c>
      <c r="N128" s="32" t="str">
        <f aca="false">IF(F128="","",IF(H128&lt;&gt;"","Kapandı",IF('Vade Sapması'!$D$3&gt;G128,"Açık · vadesi geçti","Açık · vadesi gelmedi")))</f>
        <v/>
      </c>
      <c r="O128" s="30" t="str">
        <f aca="false">IF(F128="","",IF(AND(H128="",'Vade Sapması'!$D$3&gt;G128),'Vade Sapması'!$D$3-G128,0))</f>
        <v/>
      </c>
      <c r="P128" s="33" t="str">
        <f aca="false">IF(F128="","",F128*J128)</f>
        <v/>
      </c>
      <c r="Q128" s="33" t="str">
        <f aca="false">IF(F128="","",F128*L128)</f>
        <v/>
      </c>
      <c r="R128" s="33" t="str">
        <f aca="false">IF(F128="","",IF(H128="",F128,0))</f>
        <v/>
      </c>
      <c r="S128" s="32" t="str">
        <f aca="false">IF(F128="","",IF(N(O128)=0,"",IF(O128&lt;=30,"1-30",IF(O128&lt;=60,"31-60",IF(O128&lt;=90,"61-90","90+")))))</f>
        <v/>
      </c>
      <c r="T128" s="32" t="str">
        <f aca="false">IF(F128="","",IF(E128="","Diğer",E128))</f>
        <v/>
      </c>
      <c r="U128" s="32" t="str">
        <f aca="false">IF(OR(F128="",C128=""),"",IF(COUNTIF($C$2:C128,C128)=1,MAX($U$1:U127)+1,""))</f>
        <v/>
      </c>
    </row>
    <row r="129" customFormat="false" ht="15" hidden="false" customHeight="false" outlineLevel="0" collapsed="false">
      <c r="A129" s="34"/>
      <c r="B129" s="9"/>
      <c r="C129" s="34"/>
      <c r="D129" s="34"/>
      <c r="E129" s="34"/>
      <c r="F129" s="35"/>
      <c r="G129" s="9"/>
      <c r="H129" s="9"/>
      <c r="I129" s="34"/>
      <c r="J129" s="30" t="str">
        <f aca="false">IF(F129="","",G129-B129)</f>
        <v/>
      </c>
      <c r="K129" s="31" t="str">
        <f aca="false">IF(F129="","",IF(H129&lt;&gt;"",H129,MAX('Vade Sapması'!$D$3,G129)))</f>
        <v/>
      </c>
      <c r="L129" s="30" t="str">
        <f aca="false">IF(F129="","",K129-B129)</f>
        <v/>
      </c>
      <c r="M129" s="30" t="str">
        <f aca="false">IF(F129="","",L129-J129)</f>
        <v/>
      </c>
      <c r="N129" s="32" t="str">
        <f aca="false">IF(F129="","",IF(H129&lt;&gt;"","Kapandı",IF('Vade Sapması'!$D$3&gt;G129,"Açık · vadesi geçti","Açık · vadesi gelmedi")))</f>
        <v/>
      </c>
      <c r="O129" s="30" t="str">
        <f aca="false">IF(F129="","",IF(AND(H129="",'Vade Sapması'!$D$3&gt;G129),'Vade Sapması'!$D$3-G129,0))</f>
        <v/>
      </c>
      <c r="P129" s="33" t="str">
        <f aca="false">IF(F129="","",F129*J129)</f>
        <v/>
      </c>
      <c r="Q129" s="33" t="str">
        <f aca="false">IF(F129="","",F129*L129)</f>
        <v/>
      </c>
      <c r="R129" s="33" t="str">
        <f aca="false">IF(F129="","",IF(H129="",F129,0))</f>
        <v/>
      </c>
      <c r="S129" s="32" t="str">
        <f aca="false">IF(F129="","",IF(N(O129)=0,"",IF(O129&lt;=30,"1-30",IF(O129&lt;=60,"31-60",IF(O129&lt;=90,"61-90","90+")))))</f>
        <v/>
      </c>
      <c r="T129" s="32" t="str">
        <f aca="false">IF(F129="","",IF(E129="","Diğer",E129))</f>
        <v/>
      </c>
      <c r="U129" s="32" t="str">
        <f aca="false">IF(OR(F129="",C129=""),"",IF(COUNTIF($C$2:C129,C129)=1,MAX($U$1:U128)+1,""))</f>
        <v/>
      </c>
    </row>
    <row r="130" customFormat="false" ht="15" hidden="false" customHeight="false" outlineLevel="0" collapsed="false">
      <c r="A130" s="34"/>
      <c r="B130" s="9"/>
      <c r="C130" s="34"/>
      <c r="D130" s="34"/>
      <c r="E130" s="34"/>
      <c r="F130" s="35"/>
      <c r="G130" s="9"/>
      <c r="H130" s="9"/>
      <c r="I130" s="34"/>
      <c r="J130" s="30" t="str">
        <f aca="false">IF(F130="","",G130-B130)</f>
        <v/>
      </c>
      <c r="K130" s="31" t="str">
        <f aca="false">IF(F130="","",IF(H130&lt;&gt;"",H130,MAX('Vade Sapması'!$D$3,G130)))</f>
        <v/>
      </c>
      <c r="L130" s="30" t="str">
        <f aca="false">IF(F130="","",K130-B130)</f>
        <v/>
      </c>
      <c r="M130" s="30" t="str">
        <f aca="false">IF(F130="","",L130-J130)</f>
        <v/>
      </c>
      <c r="N130" s="32" t="str">
        <f aca="false">IF(F130="","",IF(H130&lt;&gt;"","Kapandı",IF('Vade Sapması'!$D$3&gt;G130,"Açık · vadesi geçti","Açık · vadesi gelmedi")))</f>
        <v/>
      </c>
      <c r="O130" s="30" t="str">
        <f aca="false">IF(F130="","",IF(AND(H130="",'Vade Sapması'!$D$3&gt;G130),'Vade Sapması'!$D$3-G130,0))</f>
        <v/>
      </c>
      <c r="P130" s="33" t="str">
        <f aca="false">IF(F130="","",F130*J130)</f>
        <v/>
      </c>
      <c r="Q130" s="33" t="str">
        <f aca="false">IF(F130="","",F130*L130)</f>
        <v/>
      </c>
      <c r="R130" s="33" t="str">
        <f aca="false">IF(F130="","",IF(H130="",F130,0))</f>
        <v/>
      </c>
      <c r="S130" s="32" t="str">
        <f aca="false">IF(F130="","",IF(N(O130)=0,"",IF(O130&lt;=30,"1-30",IF(O130&lt;=60,"31-60",IF(O130&lt;=90,"61-90","90+")))))</f>
        <v/>
      </c>
      <c r="T130" s="32" t="str">
        <f aca="false">IF(F130="","",IF(E130="","Diğer",E130))</f>
        <v/>
      </c>
      <c r="U130" s="32" t="str">
        <f aca="false">IF(OR(F130="",C130=""),"",IF(COUNTIF($C$2:C130,C130)=1,MAX($U$1:U129)+1,""))</f>
        <v/>
      </c>
    </row>
    <row r="131" customFormat="false" ht="15" hidden="false" customHeight="false" outlineLevel="0" collapsed="false">
      <c r="A131" s="34"/>
      <c r="B131" s="9"/>
      <c r="C131" s="34"/>
      <c r="D131" s="34"/>
      <c r="E131" s="34"/>
      <c r="F131" s="35"/>
      <c r="G131" s="9"/>
      <c r="H131" s="9"/>
      <c r="I131" s="34"/>
      <c r="J131" s="30" t="str">
        <f aca="false">IF(F131="","",G131-B131)</f>
        <v/>
      </c>
      <c r="K131" s="31" t="str">
        <f aca="false">IF(F131="","",IF(H131&lt;&gt;"",H131,MAX('Vade Sapması'!$D$3,G131)))</f>
        <v/>
      </c>
      <c r="L131" s="30" t="str">
        <f aca="false">IF(F131="","",K131-B131)</f>
        <v/>
      </c>
      <c r="M131" s="30" t="str">
        <f aca="false">IF(F131="","",L131-J131)</f>
        <v/>
      </c>
      <c r="N131" s="32" t="str">
        <f aca="false">IF(F131="","",IF(H131&lt;&gt;"","Kapandı",IF('Vade Sapması'!$D$3&gt;G131,"Açık · vadesi geçti","Açık · vadesi gelmedi")))</f>
        <v/>
      </c>
      <c r="O131" s="30" t="str">
        <f aca="false">IF(F131="","",IF(AND(H131="",'Vade Sapması'!$D$3&gt;G131),'Vade Sapması'!$D$3-G131,0))</f>
        <v/>
      </c>
      <c r="P131" s="33" t="str">
        <f aca="false">IF(F131="","",F131*J131)</f>
        <v/>
      </c>
      <c r="Q131" s="33" t="str">
        <f aca="false">IF(F131="","",F131*L131)</f>
        <v/>
      </c>
      <c r="R131" s="33" t="str">
        <f aca="false">IF(F131="","",IF(H131="",F131,0))</f>
        <v/>
      </c>
      <c r="S131" s="32" t="str">
        <f aca="false">IF(F131="","",IF(N(O131)=0,"",IF(O131&lt;=30,"1-30",IF(O131&lt;=60,"31-60",IF(O131&lt;=90,"61-90","90+")))))</f>
        <v/>
      </c>
      <c r="T131" s="32" t="str">
        <f aca="false">IF(F131="","",IF(E131="","Diğer",E131))</f>
        <v/>
      </c>
      <c r="U131" s="32" t="str">
        <f aca="false">IF(OR(F131="",C131=""),"",IF(COUNTIF($C$2:C131,C131)=1,MAX($U$1:U130)+1,""))</f>
        <v/>
      </c>
    </row>
    <row r="132" customFormat="false" ht="15" hidden="false" customHeight="false" outlineLevel="0" collapsed="false">
      <c r="A132" s="34"/>
      <c r="B132" s="9"/>
      <c r="C132" s="34"/>
      <c r="D132" s="34"/>
      <c r="E132" s="34"/>
      <c r="F132" s="35"/>
      <c r="G132" s="9"/>
      <c r="H132" s="9"/>
      <c r="I132" s="34"/>
      <c r="J132" s="30" t="str">
        <f aca="false">IF(F132="","",G132-B132)</f>
        <v/>
      </c>
      <c r="K132" s="31" t="str">
        <f aca="false">IF(F132="","",IF(H132&lt;&gt;"",H132,MAX('Vade Sapması'!$D$3,G132)))</f>
        <v/>
      </c>
      <c r="L132" s="30" t="str">
        <f aca="false">IF(F132="","",K132-B132)</f>
        <v/>
      </c>
      <c r="M132" s="30" t="str">
        <f aca="false">IF(F132="","",L132-J132)</f>
        <v/>
      </c>
      <c r="N132" s="32" t="str">
        <f aca="false">IF(F132="","",IF(H132&lt;&gt;"","Kapandı",IF('Vade Sapması'!$D$3&gt;G132,"Açık · vadesi geçti","Açık · vadesi gelmedi")))</f>
        <v/>
      </c>
      <c r="O132" s="30" t="str">
        <f aca="false">IF(F132="","",IF(AND(H132="",'Vade Sapması'!$D$3&gt;G132),'Vade Sapması'!$D$3-G132,0))</f>
        <v/>
      </c>
      <c r="P132" s="33" t="str">
        <f aca="false">IF(F132="","",F132*J132)</f>
        <v/>
      </c>
      <c r="Q132" s="33" t="str">
        <f aca="false">IF(F132="","",F132*L132)</f>
        <v/>
      </c>
      <c r="R132" s="33" t="str">
        <f aca="false">IF(F132="","",IF(H132="",F132,0))</f>
        <v/>
      </c>
      <c r="S132" s="32" t="str">
        <f aca="false">IF(F132="","",IF(N(O132)=0,"",IF(O132&lt;=30,"1-30",IF(O132&lt;=60,"31-60",IF(O132&lt;=90,"61-90","90+")))))</f>
        <v/>
      </c>
      <c r="T132" s="32" t="str">
        <f aca="false">IF(F132="","",IF(E132="","Diğer",E132))</f>
        <v/>
      </c>
      <c r="U132" s="32" t="str">
        <f aca="false">IF(OR(F132="",C132=""),"",IF(COUNTIF($C$2:C132,C132)=1,MAX($U$1:U131)+1,""))</f>
        <v/>
      </c>
    </row>
    <row r="133" customFormat="false" ht="15" hidden="false" customHeight="false" outlineLevel="0" collapsed="false">
      <c r="A133" s="34"/>
      <c r="B133" s="9"/>
      <c r="C133" s="34"/>
      <c r="D133" s="34"/>
      <c r="E133" s="34"/>
      <c r="F133" s="35"/>
      <c r="G133" s="9"/>
      <c r="H133" s="9"/>
      <c r="I133" s="34"/>
      <c r="J133" s="30" t="str">
        <f aca="false">IF(F133="","",G133-B133)</f>
        <v/>
      </c>
      <c r="K133" s="31" t="str">
        <f aca="false">IF(F133="","",IF(H133&lt;&gt;"",H133,MAX('Vade Sapması'!$D$3,G133)))</f>
        <v/>
      </c>
      <c r="L133" s="30" t="str">
        <f aca="false">IF(F133="","",K133-B133)</f>
        <v/>
      </c>
      <c r="M133" s="30" t="str">
        <f aca="false">IF(F133="","",L133-J133)</f>
        <v/>
      </c>
      <c r="N133" s="32" t="str">
        <f aca="false">IF(F133="","",IF(H133&lt;&gt;"","Kapandı",IF('Vade Sapması'!$D$3&gt;G133,"Açık · vadesi geçti","Açık · vadesi gelmedi")))</f>
        <v/>
      </c>
      <c r="O133" s="30" t="str">
        <f aca="false">IF(F133="","",IF(AND(H133="",'Vade Sapması'!$D$3&gt;G133),'Vade Sapması'!$D$3-G133,0))</f>
        <v/>
      </c>
      <c r="P133" s="33" t="str">
        <f aca="false">IF(F133="","",F133*J133)</f>
        <v/>
      </c>
      <c r="Q133" s="33" t="str">
        <f aca="false">IF(F133="","",F133*L133)</f>
        <v/>
      </c>
      <c r="R133" s="33" t="str">
        <f aca="false">IF(F133="","",IF(H133="",F133,0))</f>
        <v/>
      </c>
      <c r="S133" s="32" t="str">
        <f aca="false">IF(F133="","",IF(N(O133)=0,"",IF(O133&lt;=30,"1-30",IF(O133&lt;=60,"31-60",IF(O133&lt;=90,"61-90","90+")))))</f>
        <v/>
      </c>
      <c r="T133" s="32" t="str">
        <f aca="false">IF(F133="","",IF(E133="","Diğer",E133))</f>
        <v/>
      </c>
      <c r="U133" s="32" t="str">
        <f aca="false">IF(OR(F133="",C133=""),"",IF(COUNTIF($C$2:C133,C133)=1,MAX($U$1:U132)+1,""))</f>
        <v/>
      </c>
    </row>
    <row r="134" customFormat="false" ht="15" hidden="false" customHeight="false" outlineLevel="0" collapsed="false">
      <c r="A134" s="34"/>
      <c r="B134" s="9"/>
      <c r="C134" s="34"/>
      <c r="D134" s="34"/>
      <c r="E134" s="34"/>
      <c r="F134" s="35"/>
      <c r="G134" s="9"/>
      <c r="H134" s="9"/>
      <c r="I134" s="34"/>
      <c r="J134" s="30" t="str">
        <f aca="false">IF(F134="","",G134-B134)</f>
        <v/>
      </c>
      <c r="K134" s="31" t="str">
        <f aca="false">IF(F134="","",IF(H134&lt;&gt;"",H134,MAX('Vade Sapması'!$D$3,G134)))</f>
        <v/>
      </c>
      <c r="L134" s="30" t="str">
        <f aca="false">IF(F134="","",K134-B134)</f>
        <v/>
      </c>
      <c r="M134" s="30" t="str">
        <f aca="false">IF(F134="","",L134-J134)</f>
        <v/>
      </c>
      <c r="N134" s="32" t="str">
        <f aca="false">IF(F134="","",IF(H134&lt;&gt;"","Kapandı",IF('Vade Sapması'!$D$3&gt;G134,"Açık · vadesi geçti","Açık · vadesi gelmedi")))</f>
        <v/>
      </c>
      <c r="O134" s="30" t="str">
        <f aca="false">IF(F134="","",IF(AND(H134="",'Vade Sapması'!$D$3&gt;G134),'Vade Sapması'!$D$3-G134,0))</f>
        <v/>
      </c>
      <c r="P134" s="33" t="str">
        <f aca="false">IF(F134="","",F134*J134)</f>
        <v/>
      </c>
      <c r="Q134" s="33" t="str">
        <f aca="false">IF(F134="","",F134*L134)</f>
        <v/>
      </c>
      <c r="R134" s="33" t="str">
        <f aca="false">IF(F134="","",IF(H134="",F134,0))</f>
        <v/>
      </c>
      <c r="S134" s="32" t="str">
        <f aca="false">IF(F134="","",IF(N(O134)=0,"",IF(O134&lt;=30,"1-30",IF(O134&lt;=60,"31-60",IF(O134&lt;=90,"61-90","90+")))))</f>
        <v/>
      </c>
      <c r="T134" s="32" t="str">
        <f aca="false">IF(F134="","",IF(E134="","Diğer",E134))</f>
        <v/>
      </c>
      <c r="U134" s="32" t="str">
        <f aca="false">IF(OR(F134="",C134=""),"",IF(COUNTIF($C$2:C134,C134)=1,MAX($U$1:U133)+1,""))</f>
        <v/>
      </c>
    </row>
    <row r="135" customFormat="false" ht="15" hidden="false" customHeight="false" outlineLevel="0" collapsed="false">
      <c r="A135" s="34"/>
      <c r="B135" s="9"/>
      <c r="C135" s="34"/>
      <c r="D135" s="34"/>
      <c r="E135" s="34"/>
      <c r="F135" s="35"/>
      <c r="G135" s="9"/>
      <c r="H135" s="9"/>
      <c r="I135" s="34"/>
      <c r="J135" s="30" t="str">
        <f aca="false">IF(F135="","",G135-B135)</f>
        <v/>
      </c>
      <c r="K135" s="31" t="str">
        <f aca="false">IF(F135="","",IF(H135&lt;&gt;"",H135,MAX('Vade Sapması'!$D$3,G135)))</f>
        <v/>
      </c>
      <c r="L135" s="30" t="str">
        <f aca="false">IF(F135="","",K135-B135)</f>
        <v/>
      </c>
      <c r="M135" s="30" t="str">
        <f aca="false">IF(F135="","",L135-J135)</f>
        <v/>
      </c>
      <c r="N135" s="32" t="str">
        <f aca="false">IF(F135="","",IF(H135&lt;&gt;"","Kapandı",IF('Vade Sapması'!$D$3&gt;G135,"Açık · vadesi geçti","Açık · vadesi gelmedi")))</f>
        <v/>
      </c>
      <c r="O135" s="30" t="str">
        <f aca="false">IF(F135="","",IF(AND(H135="",'Vade Sapması'!$D$3&gt;G135),'Vade Sapması'!$D$3-G135,0))</f>
        <v/>
      </c>
      <c r="P135" s="33" t="str">
        <f aca="false">IF(F135="","",F135*J135)</f>
        <v/>
      </c>
      <c r="Q135" s="33" t="str">
        <f aca="false">IF(F135="","",F135*L135)</f>
        <v/>
      </c>
      <c r="R135" s="33" t="str">
        <f aca="false">IF(F135="","",IF(H135="",F135,0))</f>
        <v/>
      </c>
      <c r="S135" s="32" t="str">
        <f aca="false">IF(F135="","",IF(N(O135)=0,"",IF(O135&lt;=30,"1-30",IF(O135&lt;=60,"31-60",IF(O135&lt;=90,"61-90","90+")))))</f>
        <v/>
      </c>
      <c r="T135" s="32" t="str">
        <f aca="false">IF(F135="","",IF(E135="","Diğer",E135))</f>
        <v/>
      </c>
      <c r="U135" s="32" t="str">
        <f aca="false">IF(OR(F135="",C135=""),"",IF(COUNTIF($C$2:C135,C135)=1,MAX($U$1:U134)+1,""))</f>
        <v/>
      </c>
    </row>
    <row r="136" customFormat="false" ht="15" hidden="false" customHeight="false" outlineLevel="0" collapsed="false">
      <c r="A136" s="34"/>
      <c r="B136" s="9"/>
      <c r="C136" s="34"/>
      <c r="D136" s="34"/>
      <c r="E136" s="34"/>
      <c r="F136" s="35"/>
      <c r="G136" s="9"/>
      <c r="H136" s="9"/>
      <c r="I136" s="34"/>
      <c r="J136" s="30" t="str">
        <f aca="false">IF(F136="","",G136-B136)</f>
        <v/>
      </c>
      <c r="K136" s="31" t="str">
        <f aca="false">IF(F136="","",IF(H136&lt;&gt;"",H136,MAX('Vade Sapması'!$D$3,G136)))</f>
        <v/>
      </c>
      <c r="L136" s="30" t="str">
        <f aca="false">IF(F136="","",K136-B136)</f>
        <v/>
      </c>
      <c r="M136" s="30" t="str">
        <f aca="false">IF(F136="","",L136-J136)</f>
        <v/>
      </c>
      <c r="N136" s="32" t="str">
        <f aca="false">IF(F136="","",IF(H136&lt;&gt;"","Kapandı",IF('Vade Sapması'!$D$3&gt;G136,"Açık · vadesi geçti","Açık · vadesi gelmedi")))</f>
        <v/>
      </c>
      <c r="O136" s="30" t="str">
        <f aca="false">IF(F136="","",IF(AND(H136="",'Vade Sapması'!$D$3&gt;G136),'Vade Sapması'!$D$3-G136,0))</f>
        <v/>
      </c>
      <c r="P136" s="33" t="str">
        <f aca="false">IF(F136="","",F136*J136)</f>
        <v/>
      </c>
      <c r="Q136" s="33" t="str">
        <f aca="false">IF(F136="","",F136*L136)</f>
        <v/>
      </c>
      <c r="R136" s="33" t="str">
        <f aca="false">IF(F136="","",IF(H136="",F136,0))</f>
        <v/>
      </c>
      <c r="S136" s="32" t="str">
        <f aca="false">IF(F136="","",IF(N(O136)=0,"",IF(O136&lt;=30,"1-30",IF(O136&lt;=60,"31-60",IF(O136&lt;=90,"61-90","90+")))))</f>
        <v/>
      </c>
      <c r="T136" s="32" t="str">
        <f aca="false">IF(F136="","",IF(E136="","Diğer",E136))</f>
        <v/>
      </c>
      <c r="U136" s="32" t="str">
        <f aca="false">IF(OR(F136="",C136=""),"",IF(COUNTIF($C$2:C136,C136)=1,MAX($U$1:U135)+1,""))</f>
        <v/>
      </c>
    </row>
    <row r="137" customFormat="false" ht="15" hidden="false" customHeight="false" outlineLevel="0" collapsed="false">
      <c r="A137" s="34"/>
      <c r="B137" s="9"/>
      <c r="C137" s="34"/>
      <c r="D137" s="34"/>
      <c r="E137" s="34"/>
      <c r="F137" s="35"/>
      <c r="G137" s="9"/>
      <c r="H137" s="9"/>
      <c r="I137" s="34"/>
      <c r="J137" s="30" t="str">
        <f aca="false">IF(F137="","",G137-B137)</f>
        <v/>
      </c>
      <c r="K137" s="31" t="str">
        <f aca="false">IF(F137="","",IF(H137&lt;&gt;"",H137,MAX('Vade Sapması'!$D$3,G137)))</f>
        <v/>
      </c>
      <c r="L137" s="30" t="str">
        <f aca="false">IF(F137="","",K137-B137)</f>
        <v/>
      </c>
      <c r="M137" s="30" t="str">
        <f aca="false">IF(F137="","",L137-J137)</f>
        <v/>
      </c>
      <c r="N137" s="32" t="str">
        <f aca="false">IF(F137="","",IF(H137&lt;&gt;"","Kapandı",IF('Vade Sapması'!$D$3&gt;G137,"Açık · vadesi geçti","Açık · vadesi gelmedi")))</f>
        <v/>
      </c>
      <c r="O137" s="30" t="str">
        <f aca="false">IF(F137="","",IF(AND(H137="",'Vade Sapması'!$D$3&gt;G137),'Vade Sapması'!$D$3-G137,0))</f>
        <v/>
      </c>
      <c r="P137" s="33" t="str">
        <f aca="false">IF(F137="","",F137*J137)</f>
        <v/>
      </c>
      <c r="Q137" s="33" t="str">
        <f aca="false">IF(F137="","",F137*L137)</f>
        <v/>
      </c>
      <c r="R137" s="33" t="str">
        <f aca="false">IF(F137="","",IF(H137="",F137,0))</f>
        <v/>
      </c>
      <c r="S137" s="32" t="str">
        <f aca="false">IF(F137="","",IF(N(O137)=0,"",IF(O137&lt;=30,"1-30",IF(O137&lt;=60,"31-60",IF(O137&lt;=90,"61-90","90+")))))</f>
        <v/>
      </c>
      <c r="T137" s="32" t="str">
        <f aca="false">IF(F137="","",IF(E137="","Diğer",E137))</f>
        <v/>
      </c>
      <c r="U137" s="32" t="str">
        <f aca="false">IF(OR(F137="",C137=""),"",IF(COUNTIF($C$2:C137,C137)=1,MAX($U$1:U136)+1,""))</f>
        <v/>
      </c>
    </row>
    <row r="138" customFormat="false" ht="15" hidden="false" customHeight="false" outlineLevel="0" collapsed="false">
      <c r="A138" s="34"/>
      <c r="B138" s="9"/>
      <c r="C138" s="34"/>
      <c r="D138" s="34"/>
      <c r="E138" s="34"/>
      <c r="F138" s="35"/>
      <c r="G138" s="9"/>
      <c r="H138" s="9"/>
      <c r="I138" s="34"/>
      <c r="J138" s="30" t="str">
        <f aca="false">IF(F138="","",G138-B138)</f>
        <v/>
      </c>
      <c r="K138" s="31" t="str">
        <f aca="false">IF(F138="","",IF(H138&lt;&gt;"",H138,MAX('Vade Sapması'!$D$3,G138)))</f>
        <v/>
      </c>
      <c r="L138" s="30" t="str">
        <f aca="false">IF(F138="","",K138-B138)</f>
        <v/>
      </c>
      <c r="M138" s="30" t="str">
        <f aca="false">IF(F138="","",L138-J138)</f>
        <v/>
      </c>
      <c r="N138" s="32" t="str">
        <f aca="false">IF(F138="","",IF(H138&lt;&gt;"","Kapandı",IF('Vade Sapması'!$D$3&gt;G138,"Açık · vadesi geçti","Açık · vadesi gelmedi")))</f>
        <v/>
      </c>
      <c r="O138" s="30" t="str">
        <f aca="false">IF(F138="","",IF(AND(H138="",'Vade Sapması'!$D$3&gt;G138),'Vade Sapması'!$D$3-G138,0))</f>
        <v/>
      </c>
      <c r="P138" s="33" t="str">
        <f aca="false">IF(F138="","",F138*J138)</f>
        <v/>
      </c>
      <c r="Q138" s="33" t="str">
        <f aca="false">IF(F138="","",F138*L138)</f>
        <v/>
      </c>
      <c r="R138" s="33" t="str">
        <f aca="false">IF(F138="","",IF(H138="",F138,0))</f>
        <v/>
      </c>
      <c r="S138" s="32" t="str">
        <f aca="false">IF(F138="","",IF(N(O138)=0,"",IF(O138&lt;=30,"1-30",IF(O138&lt;=60,"31-60",IF(O138&lt;=90,"61-90","90+")))))</f>
        <v/>
      </c>
      <c r="T138" s="32" t="str">
        <f aca="false">IF(F138="","",IF(E138="","Diğer",E138))</f>
        <v/>
      </c>
      <c r="U138" s="32" t="str">
        <f aca="false">IF(OR(F138="",C138=""),"",IF(COUNTIF($C$2:C138,C138)=1,MAX($U$1:U137)+1,""))</f>
        <v/>
      </c>
    </row>
    <row r="139" customFormat="false" ht="15" hidden="false" customHeight="false" outlineLevel="0" collapsed="false">
      <c r="A139" s="34"/>
      <c r="B139" s="9"/>
      <c r="C139" s="34"/>
      <c r="D139" s="34"/>
      <c r="E139" s="34"/>
      <c r="F139" s="35"/>
      <c r="G139" s="9"/>
      <c r="H139" s="9"/>
      <c r="I139" s="34"/>
      <c r="J139" s="30" t="str">
        <f aca="false">IF(F139="","",G139-B139)</f>
        <v/>
      </c>
      <c r="K139" s="31" t="str">
        <f aca="false">IF(F139="","",IF(H139&lt;&gt;"",H139,MAX('Vade Sapması'!$D$3,G139)))</f>
        <v/>
      </c>
      <c r="L139" s="30" t="str">
        <f aca="false">IF(F139="","",K139-B139)</f>
        <v/>
      </c>
      <c r="M139" s="30" t="str">
        <f aca="false">IF(F139="","",L139-J139)</f>
        <v/>
      </c>
      <c r="N139" s="32" t="str">
        <f aca="false">IF(F139="","",IF(H139&lt;&gt;"","Kapandı",IF('Vade Sapması'!$D$3&gt;G139,"Açık · vadesi geçti","Açık · vadesi gelmedi")))</f>
        <v/>
      </c>
      <c r="O139" s="30" t="str">
        <f aca="false">IF(F139="","",IF(AND(H139="",'Vade Sapması'!$D$3&gt;G139),'Vade Sapması'!$D$3-G139,0))</f>
        <v/>
      </c>
      <c r="P139" s="33" t="str">
        <f aca="false">IF(F139="","",F139*J139)</f>
        <v/>
      </c>
      <c r="Q139" s="33" t="str">
        <f aca="false">IF(F139="","",F139*L139)</f>
        <v/>
      </c>
      <c r="R139" s="33" t="str">
        <f aca="false">IF(F139="","",IF(H139="",F139,0))</f>
        <v/>
      </c>
      <c r="S139" s="32" t="str">
        <f aca="false">IF(F139="","",IF(N(O139)=0,"",IF(O139&lt;=30,"1-30",IF(O139&lt;=60,"31-60",IF(O139&lt;=90,"61-90","90+")))))</f>
        <v/>
      </c>
      <c r="T139" s="32" t="str">
        <f aca="false">IF(F139="","",IF(E139="","Diğer",E139))</f>
        <v/>
      </c>
      <c r="U139" s="32" t="str">
        <f aca="false">IF(OR(F139="",C139=""),"",IF(COUNTIF($C$2:C139,C139)=1,MAX($U$1:U138)+1,""))</f>
        <v/>
      </c>
    </row>
    <row r="140" customFormat="false" ht="15" hidden="false" customHeight="false" outlineLevel="0" collapsed="false">
      <c r="A140" s="34"/>
      <c r="B140" s="9"/>
      <c r="C140" s="34"/>
      <c r="D140" s="34"/>
      <c r="E140" s="34"/>
      <c r="F140" s="35"/>
      <c r="G140" s="9"/>
      <c r="H140" s="9"/>
      <c r="I140" s="34"/>
      <c r="J140" s="30" t="str">
        <f aca="false">IF(F140="","",G140-B140)</f>
        <v/>
      </c>
      <c r="K140" s="31" t="str">
        <f aca="false">IF(F140="","",IF(H140&lt;&gt;"",H140,MAX('Vade Sapması'!$D$3,G140)))</f>
        <v/>
      </c>
      <c r="L140" s="30" t="str">
        <f aca="false">IF(F140="","",K140-B140)</f>
        <v/>
      </c>
      <c r="M140" s="30" t="str">
        <f aca="false">IF(F140="","",L140-J140)</f>
        <v/>
      </c>
      <c r="N140" s="32" t="str">
        <f aca="false">IF(F140="","",IF(H140&lt;&gt;"","Kapandı",IF('Vade Sapması'!$D$3&gt;G140,"Açık · vadesi geçti","Açık · vadesi gelmedi")))</f>
        <v/>
      </c>
      <c r="O140" s="30" t="str">
        <f aca="false">IF(F140="","",IF(AND(H140="",'Vade Sapması'!$D$3&gt;G140),'Vade Sapması'!$D$3-G140,0))</f>
        <v/>
      </c>
      <c r="P140" s="33" t="str">
        <f aca="false">IF(F140="","",F140*J140)</f>
        <v/>
      </c>
      <c r="Q140" s="33" t="str">
        <f aca="false">IF(F140="","",F140*L140)</f>
        <v/>
      </c>
      <c r="R140" s="33" t="str">
        <f aca="false">IF(F140="","",IF(H140="",F140,0))</f>
        <v/>
      </c>
      <c r="S140" s="32" t="str">
        <f aca="false">IF(F140="","",IF(N(O140)=0,"",IF(O140&lt;=30,"1-30",IF(O140&lt;=60,"31-60",IF(O140&lt;=90,"61-90","90+")))))</f>
        <v/>
      </c>
      <c r="T140" s="32" t="str">
        <f aca="false">IF(F140="","",IF(E140="","Diğer",E140))</f>
        <v/>
      </c>
      <c r="U140" s="32" t="str">
        <f aca="false">IF(OR(F140="",C140=""),"",IF(COUNTIF($C$2:C140,C140)=1,MAX($U$1:U139)+1,""))</f>
        <v/>
      </c>
    </row>
    <row r="141" customFormat="false" ht="15" hidden="false" customHeight="false" outlineLevel="0" collapsed="false">
      <c r="A141" s="34"/>
      <c r="B141" s="9"/>
      <c r="C141" s="34"/>
      <c r="D141" s="34"/>
      <c r="E141" s="34"/>
      <c r="F141" s="35"/>
      <c r="G141" s="9"/>
      <c r="H141" s="9"/>
      <c r="I141" s="34"/>
      <c r="J141" s="30" t="str">
        <f aca="false">IF(F141="","",G141-B141)</f>
        <v/>
      </c>
      <c r="K141" s="31" t="str">
        <f aca="false">IF(F141="","",IF(H141&lt;&gt;"",H141,MAX('Vade Sapması'!$D$3,G141)))</f>
        <v/>
      </c>
      <c r="L141" s="30" t="str">
        <f aca="false">IF(F141="","",K141-B141)</f>
        <v/>
      </c>
      <c r="M141" s="30" t="str">
        <f aca="false">IF(F141="","",L141-J141)</f>
        <v/>
      </c>
      <c r="N141" s="32" t="str">
        <f aca="false">IF(F141="","",IF(H141&lt;&gt;"","Kapandı",IF('Vade Sapması'!$D$3&gt;G141,"Açık · vadesi geçti","Açık · vadesi gelmedi")))</f>
        <v/>
      </c>
      <c r="O141" s="30" t="str">
        <f aca="false">IF(F141="","",IF(AND(H141="",'Vade Sapması'!$D$3&gt;G141),'Vade Sapması'!$D$3-G141,0))</f>
        <v/>
      </c>
      <c r="P141" s="33" t="str">
        <f aca="false">IF(F141="","",F141*J141)</f>
        <v/>
      </c>
      <c r="Q141" s="33" t="str">
        <f aca="false">IF(F141="","",F141*L141)</f>
        <v/>
      </c>
      <c r="R141" s="33" t="str">
        <f aca="false">IF(F141="","",IF(H141="",F141,0))</f>
        <v/>
      </c>
      <c r="S141" s="32" t="str">
        <f aca="false">IF(F141="","",IF(N(O141)=0,"",IF(O141&lt;=30,"1-30",IF(O141&lt;=60,"31-60",IF(O141&lt;=90,"61-90","90+")))))</f>
        <v/>
      </c>
      <c r="T141" s="32" t="str">
        <f aca="false">IF(F141="","",IF(E141="","Diğer",E141))</f>
        <v/>
      </c>
      <c r="U141" s="32" t="str">
        <f aca="false">IF(OR(F141="",C141=""),"",IF(COUNTIF($C$2:C141,C141)=1,MAX($U$1:U140)+1,""))</f>
        <v/>
      </c>
    </row>
    <row r="142" customFormat="false" ht="15" hidden="false" customHeight="false" outlineLevel="0" collapsed="false">
      <c r="A142" s="34"/>
      <c r="B142" s="9"/>
      <c r="C142" s="34"/>
      <c r="D142" s="34"/>
      <c r="E142" s="34"/>
      <c r="F142" s="35"/>
      <c r="G142" s="9"/>
      <c r="H142" s="9"/>
      <c r="I142" s="34"/>
      <c r="J142" s="30" t="str">
        <f aca="false">IF(F142="","",G142-B142)</f>
        <v/>
      </c>
      <c r="K142" s="31" t="str">
        <f aca="false">IF(F142="","",IF(H142&lt;&gt;"",H142,MAX('Vade Sapması'!$D$3,G142)))</f>
        <v/>
      </c>
      <c r="L142" s="30" t="str">
        <f aca="false">IF(F142="","",K142-B142)</f>
        <v/>
      </c>
      <c r="M142" s="30" t="str">
        <f aca="false">IF(F142="","",L142-J142)</f>
        <v/>
      </c>
      <c r="N142" s="32" t="str">
        <f aca="false">IF(F142="","",IF(H142&lt;&gt;"","Kapandı",IF('Vade Sapması'!$D$3&gt;G142,"Açık · vadesi geçti","Açık · vadesi gelmedi")))</f>
        <v/>
      </c>
      <c r="O142" s="30" t="str">
        <f aca="false">IF(F142="","",IF(AND(H142="",'Vade Sapması'!$D$3&gt;G142),'Vade Sapması'!$D$3-G142,0))</f>
        <v/>
      </c>
      <c r="P142" s="33" t="str">
        <f aca="false">IF(F142="","",F142*J142)</f>
        <v/>
      </c>
      <c r="Q142" s="33" t="str">
        <f aca="false">IF(F142="","",F142*L142)</f>
        <v/>
      </c>
      <c r="R142" s="33" t="str">
        <f aca="false">IF(F142="","",IF(H142="",F142,0))</f>
        <v/>
      </c>
      <c r="S142" s="32" t="str">
        <f aca="false">IF(F142="","",IF(N(O142)=0,"",IF(O142&lt;=30,"1-30",IF(O142&lt;=60,"31-60",IF(O142&lt;=90,"61-90","90+")))))</f>
        <v/>
      </c>
      <c r="T142" s="32" t="str">
        <f aca="false">IF(F142="","",IF(E142="","Diğer",E142))</f>
        <v/>
      </c>
      <c r="U142" s="32" t="str">
        <f aca="false">IF(OR(F142="",C142=""),"",IF(COUNTIF($C$2:C142,C142)=1,MAX($U$1:U141)+1,""))</f>
        <v/>
      </c>
    </row>
    <row r="143" customFormat="false" ht="15" hidden="false" customHeight="false" outlineLevel="0" collapsed="false">
      <c r="A143" s="34"/>
      <c r="B143" s="9"/>
      <c r="C143" s="34"/>
      <c r="D143" s="34"/>
      <c r="E143" s="34"/>
      <c r="F143" s="35"/>
      <c r="G143" s="9"/>
      <c r="H143" s="9"/>
      <c r="I143" s="34"/>
      <c r="J143" s="30" t="str">
        <f aca="false">IF(F143="","",G143-B143)</f>
        <v/>
      </c>
      <c r="K143" s="31" t="str">
        <f aca="false">IF(F143="","",IF(H143&lt;&gt;"",H143,MAX('Vade Sapması'!$D$3,G143)))</f>
        <v/>
      </c>
      <c r="L143" s="30" t="str">
        <f aca="false">IF(F143="","",K143-B143)</f>
        <v/>
      </c>
      <c r="M143" s="30" t="str">
        <f aca="false">IF(F143="","",L143-J143)</f>
        <v/>
      </c>
      <c r="N143" s="32" t="str">
        <f aca="false">IF(F143="","",IF(H143&lt;&gt;"","Kapandı",IF('Vade Sapması'!$D$3&gt;G143,"Açık · vadesi geçti","Açık · vadesi gelmedi")))</f>
        <v/>
      </c>
      <c r="O143" s="30" t="str">
        <f aca="false">IF(F143="","",IF(AND(H143="",'Vade Sapması'!$D$3&gt;G143),'Vade Sapması'!$D$3-G143,0))</f>
        <v/>
      </c>
      <c r="P143" s="33" t="str">
        <f aca="false">IF(F143="","",F143*J143)</f>
        <v/>
      </c>
      <c r="Q143" s="33" t="str">
        <f aca="false">IF(F143="","",F143*L143)</f>
        <v/>
      </c>
      <c r="R143" s="33" t="str">
        <f aca="false">IF(F143="","",IF(H143="",F143,0))</f>
        <v/>
      </c>
      <c r="S143" s="32" t="str">
        <f aca="false">IF(F143="","",IF(N(O143)=0,"",IF(O143&lt;=30,"1-30",IF(O143&lt;=60,"31-60",IF(O143&lt;=90,"61-90","90+")))))</f>
        <v/>
      </c>
      <c r="T143" s="32" t="str">
        <f aca="false">IF(F143="","",IF(E143="","Diğer",E143))</f>
        <v/>
      </c>
      <c r="U143" s="32" t="str">
        <f aca="false">IF(OR(F143="",C143=""),"",IF(COUNTIF($C$2:C143,C143)=1,MAX($U$1:U142)+1,""))</f>
        <v/>
      </c>
    </row>
    <row r="144" customFormat="false" ht="15" hidden="false" customHeight="false" outlineLevel="0" collapsed="false">
      <c r="A144" s="34"/>
      <c r="B144" s="9"/>
      <c r="C144" s="34"/>
      <c r="D144" s="34"/>
      <c r="E144" s="34"/>
      <c r="F144" s="35"/>
      <c r="G144" s="9"/>
      <c r="H144" s="9"/>
      <c r="I144" s="34"/>
      <c r="J144" s="30" t="str">
        <f aca="false">IF(F144="","",G144-B144)</f>
        <v/>
      </c>
      <c r="K144" s="31" t="str">
        <f aca="false">IF(F144="","",IF(H144&lt;&gt;"",H144,MAX('Vade Sapması'!$D$3,G144)))</f>
        <v/>
      </c>
      <c r="L144" s="30" t="str">
        <f aca="false">IF(F144="","",K144-B144)</f>
        <v/>
      </c>
      <c r="M144" s="30" t="str">
        <f aca="false">IF(F144="","",L144-J144)</f>
        <v/>
      </c>
      <c r="N144" s="32" t="str">
        <f aca="false">IF(F144="","",IF(H144&lt;&gt;"","Kapandı",IF('Vade Sapması'!$D$3&gt;G144,"Açık · vadesi geçti","Açık · vadesi gelmedi")))</f>
        <v/>
      </c>
      <c r="O144" s="30" t="str">
        <f aca="false">IF(F144="","",IF(AND(H144="",'Vade Sapması'!$D$3&gt;G144),'Vade Sapması'!$D$3-G144,0))</f>
        <v/>
      </c>
      <c r="P144" s="33" t="str">
        <f aca="false">IF(F144="","",F144*J144)</f>
        <v/>
      </c>
      <c r="Q144" s="33" t="str">
        <f aca="false">IF(F144="","",F144*L144)</f>
        <v/>
      </c>
      <c r="R144" s="33" t="str">
        <f aca="false">IF(F144="","",IF(H144="",F144,0))</f>
        <v/>
      </c>
      <c r="S144" s="32" t="str">
        <f aca="false">IF(F144="","",IF(N(O144)=0,"",IF(O144&lt;=30,"1-30",IF(O144&lt;=60,"31-60",IF(O144&lt;=90,"61-90","90+")))))</f>
        <v/>
      </c>
      <c r="T144" s="32" t="str">
        <f aca="false">IF(F144="","",IF(E144="","Diğer",E144))</f>
        <v/>
      </c>
      <c r="U144" s="32" t="str">
        <f aca="false">IF(OR(F144="",C144=""),"",IF(COUNTIF($C$2:C144,C144)=1,MAX($U$1:U143)+1,""))</f>
        <v/>
      </c>
    </row>
    <row r="145" customFormat="false" ht="15" hidden="false" customHeight="false" outlineLevel="0" collapsed="false">
      <c r="A145" s="34"/>
      <c r="B145" s="9"/>
      <c r="C145" s="34"/>
      <c r="D145" s="34"/>
      <c r="E145" s="34"/>
      <c r="F145" s="35"/>
      <c r="G145" s="9"/>
      <c r="H145" s="9"/>
      <c r="I145" s="34"/>
      <c r="J145" s="30" t="str">
        <f aca="false">IF(F145="","",G145-B145)</f>
        <v/>
      </c>
      <c r="K145" s="31" t="str">
        <f aca="false">IF(F145="","",IF(H145&lt;&gt;"",H145,MAX('Vade Sapması'!$D$3,G145)))</f>
        <v/>
      </c>
      <c r="L145" s="30" t="str">
        <f aca="false">IF(F145="","",K145-B145)</f>
        <v/>
      </c>
      <c r="M145" s="30" t="str">
        <f aca="false">IF(F145="","",L145-J145)</f>
        <v/>
      </c>
      <c r="N145" s="32" t="str">
        <f aca="false">IF(F145="","",IF(H145&lt;&gt;"","Kapandı",IF('Vade Sapması'!$D$3&gt;G145,"Açık · vadesi geçti","Açık · vadesi gelmedi")))</f>
        <v/>
      </c>
      <c r="O145" s="30" t="str">
        <f aca="false">IF(F145="","",IF(AND(H145="",'Vade Sapması'!$D$3&gt;G145),'Vade Sapması'!$D$3-G145,0))</f>
        <v/>
      </c>
      <c r="P145" s="33" t="str">
        <f aca="false">IF(F145="","",F145*J145)</f>
        <v/>
      </c>
      <c r="Q145" s="33" t="str">
        <f aca="false">IF(F145="","",F145*L145)</f>
        <v/>
      </c>
      <c r="R145" s="33" t="str">
        <f aca="false">IF(F145="","",IF(H145="",F145,0))</f>
        <v/>
      </c>
      <c r="S145" s="32" t="str">
        <f aca="false">IF(F145="","",IF(N(O145)=0,"",IF(O145&lt;=30,"1-30",IF(O145&lt;=60,"31-60",IF(O145&lt;=90,"61-90","90+")))))</f>
        <v/>
      </c>
      <c r="T145" s="32" t="str">
        <f aca="false">IF(F145="","",IF(E145="","Diğer",E145))</f>
        <v/>
      </c>
      <c r="U145" s="32" t="str">
        <f aca="false">IF(OR(F145="",C145=""),"",IF(COUNTIF($C$2:C145,C145)=1,MAX($U$1:U144)+1,""))</f>
        <v/>
      </c>
    </row>
    <row r="146" customFormat="false" ht="15" hidden="false" customHeight="false" outlineLevel="0" collapsed="false">
      <c r="A146" s="34"/>
      <c r="B146" s="9"/>
      <c r="C146" s="34"/>
      <c r="D146" s="34"/>
      <c r="E146" s="34"/>
      <c r="F146" s="35"/>
      <c r="G146" s="9"/>
      <c r="H146" s="9"/>
      <c r="I146" s="34"/>
      <c r="J146" s="30" t="str">
        <f aca="false">IF(F146="","",G146-B146)</f>
        <v/>
      </c>
      <c r="K146" s="31" t="str">
        <f aca="false">IF(F146="","",IF(H146&lt;&gt;"",H146,MAX('Vade Sapması'!$D$3,G146)))</f>
        <v/>
      </c>
      <c r="L146" s="30" t="str">
        <f aca="false">IF(F146="","",K146-B146)</f>
        <v/>
      </c>
      <c r="M146" s="30" t="str">
        <f aca="false">IF(F146="","",L146-J146)</f>
        <v/>
      </c>
      <c r="N146" s="32" t="str">
        <f aca="false">IF(F146="","",IF(H146&lt;&gt;"","Kapandı",IF('Vade Sapması'!$D$3&gt;G146,"Açık · vadesi geçti","Açık · vadesi gelmedi")))</f>
        <v/>
      </c>
      <c r="O146" s="30" t="str">
        <f aca="false">IF(F146="","",IF(AND(H146="",'Vade Sapması'!$D$3&gt;G146),'Vade Sapması'!$D$3-G146,0))</f>
        <v/>
      </c>
      <c r="P146" s="33" t="str">
        <f aca="false">IF(F146="","",F146*J146)</f>
        <v/>
      </c>
      <c r="Q146" s="33" t="str">
        <f aca="false">IF(F146="","",F146*L146)</f>
        <v/>
      </c>
      <c r="R146" s="33" t="str">
        <f aca="false">IF(F146="","",IF(H146="",F146,0))</f>
        <v/>
      </c>
      <c r="S146" s="32" t="str">
        <f aca="false">IF(F146="","",IF(N(O146)=0,"",IF(O146&lt;=30,"1-30",IF(O146&lt;=60,"31-60",IF(O146&lt;=90,"61-90","90+")))))</f>
        <v/>
      </c>
      <c r="T146" s="32" t="str">
        <f aca="false">IF(F146="","",IF(E146="","Diğer",E146))</f>
        <v/>
      </c>
      <c r="U146" s="32" t="str">
        <f aca="false">IF(OR(F146="",C146=""),"",IF(COUNTIF($C$2:C146,C146)=1,MAX($U$1:U145)+1,""))</f>
        <v/>
      </c>
    </row>
    <row r="147" customFormat="false" ht="15" hidden="false" customHeight="false" outlineLevel="0" collapsed="false">
      <c r="A147" s="34"/>
      <c r="B147" s="9"/>
      <c r="C147" s="34"/>
      <c r="D147" s="34"/>
      <c r="E147" s="34"/>
      <c r="F147" s="35"/>
      <c r="G147" s="9"/>
      <c r="H147" s="9"/>
      <c r="I147" s="34"/>
      <c r="J147" s="30" t="str">
        <f aca="false">IF(F147="","",G147-B147)</f>
        <v/>
      </c>
      <c r="K147" s="31" t="str">
        <f aca="false">IF(F147="","",IF(H147&lt;&gt;"",H147,MAX('Vade Sapması'!$D$3,G147)))</f>
        <v/>
      </c>
      <c r="L147" s="30" t="str">
        <f aca="false">IF(F147="","",K147-B147)</f>
        <v/>
      </c>
      <c r="M147" s="30" t="str">
        <f aca="false">IF(F147="","",L147-J147)</f>
        <v/>
      </c>
      <c r="N147" s="32" t="str">
        <f aca="false">IF(F147="","",IF(H147&lt;&gt;"","Kapandı",IF('Vade Sapması'!$D$3&gt;G147,"Açık · vadesi geçti","Açık · vadesi gelmedi")))</f>
        <v/>
      </c>
      <c r="O147" s="30" t="str">
        <f aca="false">IF(F147="","",IF(AND(H147="",'Vade Sapması'!$D$3&gt;G147),'Vade Sapması'!$D$3-G147,0))</f>
        <v/>
      </c>
      <c r="P147" s="33" t="str">
        <f aca="false">IF(F147="","",F147*J147)</f>
        <v/>
      </c>
      <c r="Q147" s="33" t="str">
        <f aca="false">IF(F147="","",F147*L147)</f>
        <v/>
      </c>
      <c r="R147" s="33" t="str">
        <f aca="false">IF(F147="","",IF(H147="",F147,0))</f>
        <v/>
      </c>
      <c r="S147" s="32" t="str">
        <f aca="false">IF(F147="","",IF(N(O147)=0,"",IF(O147&lt;=30,"1-30",IF(O147&lt;=60,"31-60",IF(O147&lt;=90,"61-90","90+")))))</f>
        <v/>
      </c>
      <c r="T147" s="32" t="str">
        <f aca="false">IF(F147="","",IF(E147="","Diğer",E147))</f>
        <v/>
      </c>
      <c r="U147" s="32" t="str">
        <f aca="false">IF(OR(F147="",C147=""),"",IF(COUNTIF($C$2:C147,C147)=1,MAX($U$1:U146)+1,""))</f>
        <v/>
      </c>
    </row>
    <row r="148" customFormat="false" ht="15" hidden="false" customHeight="false" outlineLevel="0" collapsed="false">
      <c r="A148" s="34"/>
      <c r="B148" s="9"/>
      <c r="C148" s="34"/>
      <c r="D148" s="34"/>
      <c r="E148" s="34"/>
      <c r="F148" s="35"/>
      <c r="G148" s="9"/>
      <c r="H148" s="9"/>
      <c r="I148" s="34"/>
      <c r="J148" s="30" t="str">
        <f aca="false">IF(F148="","",G148-B148)</f>
        <v/>
      </c>
      <c r="K148" s="31" t="str">
        <f aca="false">IF(F148="","",IF(H148&lt;&gt;"",H148,MAX('Vade Sapması'!$D$3,G148)))</f>
        <v/>
      </c>
      <c r="L148" s="30" t="str">
        <f aca="false">IF(F148="","",K148-B148)</f>
        <v/>
      </c>
      <c r="M148" s="30" t="str">
        <f aca="false">IF(F148="","",L148-J148)</f>
        <v/>
      </c>
      <c r="N148" s="32" t="str">
        <f aca="false">IF(F148="","",IF(H148&lt;&gt;"","Kapandı",IF('Vade Sapması'!$D$3&gt;G148,"Açık · vadesi geçti","Açık · vadesi gelmedi")))</f>
        <v/>
      </c>
      <c r="O148" s="30" t="str">
        <f aca="false">IF(F148="","",IF(AND(H148="",'Vade Sapması'!$D$3&gt;G148),'Vade Sapması'!$D$3-G148,0))</f>
        <v/>
      </c>
      <c r="P148" s="33" t="str">
        <f aca="false">IF(F148="","",F148*J148)</f>
        <v/>
      </c>
      <c r="Q148" s="33" t="str">
        <f aca="false">IF(F148="","",F148*L148)</f>
        <v/>
      </c>
      <c r="R148" s="33" t="str">
        <f aca="false">IF(F148="","",IF(H148="",F148,0))</f>
        <v/>
      </c>
      <c r="S148" s="32" t="str">
        <f aca="false">IF(F148="","",IF(N(O148)=0,"",IF(O148&lt;=30,"1-30",IF(O148&lt;=60,"31-60",IF(O148&lt;=90,"61-90","90+")))))</f>
        <v/>
      </c>
      <c r="T148" s="32" t="str">
        <f aca="false">IF(F148="","",IF(E148="","Diğer",E148))</f>
        <v/>
      </c>
      <c r="U148" s="32" t="str">
        <f aca="false">IF(OR(F148="",C148=""),"",IF(COUNTIF($C$2:C148,C148)=1,MAX($U$1:U147)+1,""))</f>
        <v/>
      </c>
    </row>
    <row r="149" customFormat="false" ht="15" hidden="false" customHeight="false" outlineLevel="0" collapsed="false">
      <c r="A149" s="34"/>
      <c r="B149" s="9"/>
      <c r="C149" s="34"/>
      <c r="D149" s="34"/>
      <c r="E149" s="34"/>
      <c r="F149" s="35"/>
      <c r="G149" s="9"/>
      <c r="H149" s="9"/>
      <c r="I149" s="34"/>
      <c r="J149" s="30" t="str">
        <f aca="false">IF(F149="","",G149-B149)</f>
        <v/>
      </c>
      <c r="K149" s="31" t="str">
        <f aca="false">IF(F149="","",IF(H149&lt;&gt;"",H149,MAX('Vade Sapması'!$D$3,G149)))</f>
        <v/>
      </c>
      <c r="L149" s="30" t="str">
        <f aca="false">IF(F149="","",K149-B149)</f>
        <v/>
      </c>
      <c r="M149" s="30" t="str">
        <f aca="false">IF(F149="","",L149-J149)</f>
        <v/>
      </c>
      <c r="N149" s="32" t="str">
        <f aca="false">IF(F149="","",IF(H149&lt;&gt;"","Kapandı",IF('Vade Sapması'!$D$3&gt;G149,"Açık · vadesi geçti","Açık · vadesi gelmedi")))</f>
        <v/>
      </c>
      <c r="O149" s="30" t="str">
        <f aca="false">IF(F149="","",IF(AND(H149="",'Vade Sapması'!$D$3&gt;G149),'Vade Sapması'!$D$3-G149,0))</f>
        <v/>
      </c>
      <c r="P149" s="33" t="str">
        <f aca="false">IF(F149="","",F149*J149)</f>
        <v/>
      </c>
      <c r="Q149" s="33" t="str">
        <f aca="false">IF(F149="","",F149*L149)</f>
        <v/>
      </c>
      <c r="R149" s="33" t="str">
        <f aca="false">IF(F149="","",IF(H149="",F149,0))</f>
        <v/>
      </c>
      <c r="S149" s="32" t="str">
        <f aca="false">IF(F149="","",IF(N(O149)=0,"",IF(O149&lt;=30,"1-30",IF(O149&lt;=60,"31-60",IF(O149&lt;=90,"61-90","90+")))))</f>
        <v/>
      </c>
      <c r="T149" s="32" t="str">
        <f aca="false">IF(F149="","",IF(E149="","Diğer",E149))</f>
        <v/>
      </c>
      <c r="U149" s="32" t="str">
        <f aca="false">IF(OR(F149="",C149=""),"",IF(COUNTIF($C$2:C149,C149)=1,MAX($U$1:U148)+1,""))</f>
        <v/>
      </c>
    </row>
    <row r="150" customFormat="false" ht="15" hidden="false" customHeight="false" outlineLevel="0" collapsed="false">
      <c r="A150" s="34"/>
      <c r="B150" s="9"/>
      <c r="C150" s="34"/>
      <c r="D150" s="34"/>
      <c r="E150" s="34"/>
      <c r="F150" s="35"/>
      <c r="G150" s="9"/>
      <c r="H150" s="9"/>
      <c r="I150" s="34"/>
      <c r="J150" s="30" t="str">
        <f aca="false">IF(F150="","",G150-B150)</f>
        <v/>
      </c>
      <c r="K150" s="31" t="str">
        <f aca="false">IF(F150="","",IF(H150&lt;&gt;"",H150,MAX('Vade Sapması'!$D$3,G150)))</f>
        <v/>
      </c>
      <c r="L150" s="30" t="str">
        <f aca="false">IF(F150="","",K150-B150)</f>
        <v/>
      </c>
      <c r="M150" s="30" t="str">
        <f aca="false">IF(F150="","",L150-J150)</f>
        <v/>
      </c>
      <c r="N150" s="32" t="str">
        <f aca="false">IF(F150="","",IF(H150&lt;&gt;"","Kapandı",IF('Vade Sapması'!$D$3&gt;G150,"Açık · vadesi geçti","Açık · vadesi gelmedi")))</f>
        <v/>
      </c>
      <c r="O150" s="30" t="str">
        <f aca="false">IF(F150="","",IF(AND(H150="",'Vade Sapması'!$D$3&gt;G150),'Vade Sapması'!$D$3-G150,0))</f>
        <v/>
      </c>
      <c r="P150" s="33" t="str">
        <f aca="false">IF(F150="","",F150*J150)</f>
        <v/>
      </c>
      <c r="Q150" s="33" t="str">
        <f aca="false">IF(F150="","",F150*L150)</f>
        <v/>
      </c>
      <c r="R150" s="33" t="str">
        <f aca="false">IF(F150="","",IF(H150="",F150,0))</f>
        <v/>
      </c>
      <c r="S150" s="32" t="str">
        <f aca="false">IF(F150="","",IF(N(O150)=0,"",IF(O150&lt;=30,"1-30",IF(O150&lt;=60,"31-60",IF(O150&lt;=90,"61-90","90+")))))</f>
        <v/>
      </c>
      <c r="T150" s="32" t="str">
        <f aca="false">IF(F150="","",IF(E150="","Diğer",E150))</f>
        <v/>
      </c>
      <c r="U150" s="32" t="str">
        <f aca="false">IF(OR(F150="",C150=""),"",IF(COUNTIF($C$2:C150,C150)=1,MAX($U$1:U149)+1,""))</f>
        <v/>
      </c>
    </row>
    <row r="151" customFormat="false" ht="15" hidden="false" customHeight="false" outlineLevel="0" collapsed="false">
      <c r="A151" s="34"/>
      <c r="B151" s="9"/>
      <c r="C151" s="34"/>
      <c r="D151" s="34"/>
      <c r="E151" s="34"/>
      <c r="F151" s="35"/>
      <c r="G151" s="9"/>
      <c r="H151" s="9"/>
      <c r="I151" s="34"/>
      <c r="J151" s="30" t="str">
        <f aca="false">IF(F151="","",G151-B151)</f>
        <v/>
      </c>
      <c r="K151" s="31" t="str">
        <f aca="false">IF(F151="","",IF(H151&lt;&gt;"",H151,MAX('Vade Sapması'!$D$3,G151)))</f>
        <v/>
      </c>
      <c r="L151" s="30" t="str">
        <f aca="false">IF(F151="","",K151-B151)</f>
        <v/>
      </c>
      <c r="M151" s="30" t="str">
        <f aca="false">IF(F151="","",L151-J151)</f>
        <v/>
      </c>
      <c r="N151" s="32" t="str">
        <f aca="false">IF(F151="","",IF(H151&lt;&gt;"","Kapandı",IF('Vade Sapması'!$D$3&gt;G151,"Açık · vadesi geçti","Açık · vadesi gelmedi")))</f>
        <v/>
      </c>
      <c r="O151" s="30" t="str">
        <f aca="false">IF(F151="","",IF(AND(H151="",'Vade Sapması'!$D$3&gt;G151),'Vade Sapması'!$D$3-G151,0))</f>
        <v/>
      </c>
      <c r="P151" s="33" t="str">
        <f aca="false">IF(F151="","",F151*J151)</f>
        <v/>
      </c>
      <c r="Q151" s="33" t="str">
        <f aca="false">IF(F151="","",F151*L151)</f>
        <v/>
      </c>
      <c r="R151" s="33" t="str">
        <f aca="false">IF(F151="","",IF(H151="",F151,0))</f>
        <v/>
      </c>
      <c r="S151" s="32" t="str">
        <f aca="false">IF(F151="","",IF(N(O151)=0,"",IF(O151&lt;=30,"1-30",IF(O151&lt;=60,"31-60",IF(O151&lt;=90,"61-90","90+")))))</f>
        <v/>
      </c>
      <c r="T151" s="32" t="str">
        <f aca="false">IF(F151="","",IF(E151="","Diğer",E151))</f>
        <v/>
      </c>
      <c r="U151" s="32" t="str">
        <f aca="false">IF(OR(F151="",C151=""),"",IF(COUNTIF($C$2:C151,C151)=1,MAX($U$1:U150)+1,""))</f>
        <v/>
      </c>
    </row>
    <row r="152" customFormat="false" ht="15" hidden="false" customHeight="false" outlineLevel="0" collapsed="false">
      <c r="A152" s="34"/>
      <c r="B152" s="9"/>
      <c r="C152" s="34"/>
      <c r="D152" s="34"/>
      <c r="E152" s="34"/>
      <c r="F152" s="35"/>
      <c r="G152" s="9"/>
      <c r="H152" s="9"/>
      <c r="I152" s="34"/>
      <c r="J152" s="30" t="str">
        <f aca="false">IF(F152="","",G152-B152)</f>
        <v/>
      </c>
      <c r="K152" s="31" t="str">
        <f aca="false">IF(F152="","",IF(H152&lt;&gt;"",H152,MAX('Vade Sapması'!$D$3,G152)))</f>
        <v/>
      </c>
      <c r="L152" s="30" t="str">
        <f aca="false">IF(F152="","",K152-B152)</f>
        <v/>
      </c>
      <c r="M152" s="30" t="str">
        <f aca="false">IF(F152="","",L152-J152)</f>
        <v/>
      </c>
      <c r="N152" s="32" t="str">
        <f aca="false">IF(F152="","",IF(H152&lt;&gt;"","Kapandı",IF('Vade Sapması'!$D$3&gt;G152,"Açık · vadesi geçti","Açık · vadesi gelmedi")))</f>
        <v/>
      </c>
      <c r="O152" s="30" t="str">
        <f aca="false">IF(F152="","",IF(AND(H152="",'Vade Sapması'!$D$3&gt;G152),'Vade Sapması'!$D$3-G152,0))</f>
        <v/>
      </c>
      <c r="P152" s="33" t="str">
        <f aca="false">IF(F152="","",F152*J152)</f>
        <v/>
      </c>
      <c r="Q152" s="33" t="str">
        <f aca="false">IF(F152="","",F152*L152)</f>
        <v/>
      </c>
      <c r="R152" s="33" t="str">
        <f aca="false">IF(F152="","",IF(H152="",F152,0))</f>
        <v/>
      </c>
      <c r="S152" s="32" t="str">
        <f aca="false">IF(F152="","",IF(N(O152)=0,"",IF(O152&lt;=30,"1-30",IF(O152&lt;=60,"31-60",IF(O152&lt;=90,"61-90","90+")))))</f>
        <v/>
      </c>
      <c r="T152" s="32" t="str">
        <f aca="false">IF(F152="","",IF(E152="","Diğer",E152))</f>
        <v/>
      </c>
      <c r="U152" s="32" t="str">
        <f aca="false">IF(OR(F152="",C152=""),"",IF(COUNTIF($C$2:C152,C152)=1,MAX($U$1:U151)+1,""))</f>
        <v/>
      </c>
    </row>
    <row r="153" customFormat="false" ht="15" hidden="false" customHeight="false" outlineLevel="0" collapsed="false">
      <c r="A153" s="34"/>
      <c r="B153" s="9"/>
      <c r="C153" s="34"/>
      <c r="D153" s="34"/>
      <c r="E153" s="34"/>
      <c r="F153" s="35"/>
      <c r="G153" s="9"/>
      <c r="H153" s="9"/>
      <c r="I153" s="34"/>
      <c r="J153" s="30" t="str">
        <f aca="false">IF(F153="","",G153-B153)</f>
        <v/>
      </c>
      <c r="K153" s="31" t="str">
        <f aca="false">IF(F153="","",IF(H153&lt;&gt;"",H153,MAX('Vade Sapması'!$D$3,G153)))</f>
        <v/>
      </c>
      <c r="L153" s="30" t="str">
        <f aca="false">IF(F153="","",K153-B153)</f>
        <v/>
      </c>
      <c r="M153" s="30" t="str">
        <f aca="false">IF(F153="","",L153-J153)</f>
        <v/>
      </c>
      <c r="N153" s="32" t="str">
        <f aca="false">IF(F153="","",IF(H153&lt;&gt;"","Kapandı",IF('Vade Sapması'!$D$3&gt;G153,"Açık · vadesi geçti","Açık · vadesi gelmedi")))</f>
        <v/>
      </c>
      <c r="O153" s="30" t="str">
        <f aca="false">IF(F153="","",IF(AND(H153="",'Vade Sapması'!$D$3&gt;G153),'Vade Sapması'!$D$3-G153,0))</f>
        <v/>
      </c>
      <c r="P153" s="33" t="str">
        <f aca="false">IF(F153="","",F153*J153)</f>
        <v/>
      </c>
      <c r="Q153" s="33" t="str">
        <f aca="false">IF(F153="","",F153*L153)</f>
        <v/>
      </c>
      <c r="R153" s="33" t="str">
        <f aca="false">IF(F153="","",IF(H153="",F153,0))</f>
        <v/>
      </c>
      <c r="S153" s="32" t="str">
        <f aca="false">IF(F153="","",IF(N(O153)=0,"",IF(O153&lt;=30,"1-30",IF(O153&lt;=60,"31-60",IF(O153&lt;=90,"61-90","90+")))))</f>
        <v/>
      </c>
      <c r="T153" s="32" t="str">
        <f aca="false">IF(F153="","",IF(E153="","Diğer",E153))</f>
        <v/>
      </c>
      <c r="U153" s="32" t="str">
        <f aca="false">IF(OR(F153="",C153=""),"",IF(COUNTIF($C$2:C153,C153)=1,MAX($U$1:U152)+1,""))</f>
        <v/>
      </c>
    </row>
    <row r="154" customFormat="false" ht="15" hidden="false" customHeight="false" outlineLevel="0" collapsed="false">
      <c r="A154" s="34"/>
      <c r="B154" s="9"/>
      <c r="C154" s="34"/>
      <c r="D154" s="34"/>
      <c r="E154" s="34"/>
      <c r="F154" s="35"/>
      <c r="G154" s="9"/>
      <c r="H154" s="9"/>
      <c r="I154" s="34"/>
      <c r="J154" s="30" t="str">
        <f aca="false">IF(F154="","",G154-B154)</f>
        <v/>
      </c>
      <c r="K154" s="31" t="str">
        <f aca="false">IF(F154="","",IF(H154&lt;&gt;"",H154,MAX('Vade Sapması'!$D$3,G154)))</f>
        <v/>
      </c>
      <c r="L154" s="30" t="str">
        <f aca="false">IF(F154="","",K154-B154)</f>
        <v/>
      </c>
      <c r="M154" s="30" t="str">
        <f aca="false">IF(F154="","",L154-J154)</f>
        <v/>
      </c>
      <c r="N154" s="32" t="str">
        <f aca="false">IF(F154="","",IF(H154&lt;&gt;"","Kapandı",IF('Vade Sapması'!$D$3&gt;G154,"Açık · vadesi geçti","Açık · vadesi gelmedi")))</f>
        <v/>
      </c>
      <c r="O154" s="30" t="str">
        <f aca="false">IF(F154="","",IF(AND(H154="",'Vade Sapması'!$D$3&gt;G154),'Vade Sapması'!$D$3-G154,0))</f>
        <v/>
      </c>
      <c r="P154" s="33" t="str">
        <f aca="false">IF(F154="","",F154*J154)</f>
        <v/>
      </c>
      <c r="Q154" s="33" t="str">
        <f aca="false">IF(F154="","",F154*L154)</f>
        <v/>
      </c>
      <c r="R154" s="33" t="str">
        <f aca="false">IF(F154="","",IF(H154="",F154,0))</f>
        <v/>
      </c>
      <c r="S154" s="32" t="str">
        <f aca="false">IF(F154="","",IF(N(O154)=0,"",IF(O154&lt;=30,"1-30",IF(O154&lt;=60,"31-60",IF(O154&lt;=90,"61-90","90+")))))</f>
        <v/>
      </c>
      <c r="T154" s="32" t="str">
        <f aca="false">IF(F154="","",IF(E154="","Diğer",E154))</f>
        <v/>
      </c>
      <c r="U154" s="32" t="str">
        <f aca="false">IF(OR(F154="",C154=""),"",IF(COUNTIF($C$2:C154,C154)=1,MAX($U$1:U153)+1,""))</f>
        <v/>
      </c>
    </row>
    <row r="155" customFormat="false" ht="15" hidden="false" customHeight="false" outlineLevel="0" collapsed="false">
      <c r="A155" s="34"/>
      <c r="B155" s="9"/>
      <c r="C155" s="34"/>
      <c r="D155" s="34"/>
      <c r="E155" s="34"/>
      <c r="F155" s="35"/>
      <c r="G155" s="9"/>
      <c r="H155" s="9"/>
      <c r="I155" s="34"/>
      <c r="J155" s="30" t="str">
        <f aca="false">IF(F155="","",G155-B155)</f>
        <v/>
      </c>
      <c r="K155" s="31" t="str">
        <f aca="false">IF(F155="","",IF(H155&lt;&gt;"",H155,MAX('Vade Sapması'!$D$3,G155)))</f>
        <v/>
      </c>
      <c r="L155" s="30" t="str">
        <f aca="false">IF(F155="","",K155-B155)</f>
        <v/>
      </c>
      <c r="M155" s="30" t="str">
        <f aca="false">IF(F155="","",L155-J155)</f>
        <v/>
      </c>
      <c r="N155" s="32" t="str">
        <f aca="false">IF(F155="","",IF(H155&lt;&gt;"","Kapandı",IF('Vade Sapması'!$D$3&gt;G155,"Açık · vadesi geçti","Açık · vadesi gelmedi")))</f>
        <v/>
      </c>
      <c r="O155" s="30" t="str">
        <f aca="false">IF(F155="","",IF(AND(H155="",'Vade Sapması'!$D$3&gt;G155),'Vade Sapması'!$D$3-G155,0))</f>
        <v/>
      </c>
      <c r="P155" s="33" t="str">
        <f aca="false">IF(F155="","",F155*J155)</f>
        <v/>
      </c>
      <c r="Q155" s="33" t="str">
        <f aca="false">IF(F155="","",F155*L155)</f>
        <v/>
      </c>
      <c r="R155" s="33" t="str">
        <f aca="false">IF(F155="","",IF(H155="",F155,0))</f>
        <v/>
      </c>
      <c r="S155" s="32" t="str">
        <f aca="false">IF(F155="","",IF(N(O155)=0,"",IF(O155&lt;=30,"1-30",IF(O155&lt;=60,"31-60",IF(O155&lt;=90,"61-90","90+")))))</f>
        <v/>
      </c>
      <c r="T155" s="32" t="str">
        <f aca="false">IF(F155="","",IF(E155="","Diğer",E155))</f>
        <v/>
      </c>
      <c r="U155" s="32" t="str">
        <f aca="false">IF(OR(F155="",C155=""),"",IF(COUNTIF($C$2:C155,C155)=1,MAX($U$1:U154)+1,""))</f>
        <v/>
      </c>
    </row>
    <row r="156" customFormat="false" ht="15" hidden="false" customHeight="false" outlineLevel="0" collapsed="false">
      <c r="A156" s="34"/>
      <c r="B156" s="9"/>
      <c r="C156" s="34"/>
      <c r="D156" s="34"/>
      <c r="E156" s="34"/>
      <c r="F156" s="35"/>
      <c r="G156" s="9"/>
      <c r="H156" s="9"/>
      <c r="I156" s="34"/>
      <c r="J156" s="30" t="str">
        <f aca="false">IF(F156="","",G156-B156)</f>
        <v/>
      </c>
      <c r="K156" s="31" t="str">
        <f aca="false">IF(F156="","",IF(H156&lt;&gt;"",H156,MAX('Vade Sapması'!$D$3,G156)))</f>
        <v/>
      </c>
      <c r="L156" s="30" t="str">
        <f aca="false">IF(F156="","",K156-B156)</f>
        <v/>
      </c>
      <c r="M156" s="30" t="str">
        <f aca="false">IF(F156="","",L156-J156)</f>
        <v/>
      </c>
      <c r="N156" s="32" t="str">
        <f aca="false">IF(F156="","",IF(H156&lt;&gt;"","Kapandı",IF('Vade Sapması'!$D$3&gt;G156,"Açık · vadesi geçti","Açık · vadesi gelmedi")))</f>
        <v/>
      </c>
      <c r="O156" s="30" t="str">
        <f aca="false">IF(F156="","",IF(AND(H156="",'Vade Sapması'!$D$3&gt;G156),'Vade Sapması'!$D$3-G156,0))</f>
        <v/>
      </c>
      <c r="P156" s="33" t="str">
        <f aca="false">IF(F156="","",F156*J156)</f>
        <v/>
      </c>
      <c r="Q156" s="33" t="str">
        <f aca="false">IF(F156="","",F156*L156)</f>
        <v/>
      </c>
      <c r="R156" s="33" t="str">
        <f aca="false">IF(F156="","",IF(H156="",F156,0))</f>
        <v/>
      </c>
      <c r="S156" s="32" t="str">
        <f aca="false">IF(F156="","",IF(N(O156)=0,"",IF(O156&lt;=30,"1-30",IF(O156&lt;=60,"31-60",IF(O156&lt;=90,"61-90","90+")))))</f>
        <v/>
      </c>
      <c r="T156" s="32" t="str">
        <f aca="false">IF(F156="","",IF(E156="","Diğer",E156))</f>
        <v/>
      </c>
      <c r="U156" s="32" t="str">
        <f aca="false">IF(OR(F156="",C156=""),"",IF(COUNTIF($C$2:C156,C156)=1,MAX($U$1:U155)+1,""))</f>
        <v/>
      </c>
    </row>
    <row r="157" customFormat="false" ht="15" hidden="false" customHeight="false" outlineLevel="0" collapsed="false">
      <c r="A157" s="34"/>
      <c r="B157" s="9"/>
      <c r="C157" s="34"/>
      <c r="D157" s="34"/>
      <c r="E157" s="34"/>
      <c r="F157" s="35"/>
      <c r="G157" s="9"/>
      <c r="H157" s="9"/>
      <c r="I157" s="34"/>
      <c r="J157" s="30" t="str">
        <f aca="false">IF(F157="","",G157-B157)</f>
        <v/>
      </c>
      <c r="K157" s="31" t="str">
        <f aca="false">IF(F157="","",IF(H157&lt;&gt;"",H157,MAX('Vade Sapması'!$D$3,G157)))</f>
        <v/>
      </c>
      <c r="L157" s="30" t="str">
        <f aca="false">IF(F157="","",K157-B157)</f>
        <v/>
      </c>
      <c r="M157" s="30" t="str">
        <f aca="false">IF(F157="","",L157-J157)</f>
        <v/>
      </c>
      <c r="N157" s="32" t="str">
        <f aca="false">IF(F157="","",IF(H157&lt;&gt;"","Kapandı",IF('Vade Sapması'!$D$3&gt;G157,"Açık · vadesi geçti","Açık · vadesi gelmedi")))</f>
        <v/>
      </c>
      <c r="O157" s="30" t="str">
        <f aca="false">IF(F157="","",IF(AND(H157="",'Vade Sapması'!$D$3&gt;G157),'Vade Sapması'!$D$3-G157,0))</f>
        <v/>
      </c>
      <c r="P157" s="33" t="str">
        <f aca="false">IF(F157="","",F157*J157)</f>
        <v/>
      </c>
      <c r="Q157" s="33" t="str">
        <f aca="false">IF(F157="","",F157*L157)</f>
        <v/>
      </c>
      <c r="R157" s="33" t="str">
        <f aca="false">IF(F157="","",IF(H157="",F157,0))</f>
        <v/>
      </c>
      <c r="S157" s="32" t="str">
        <f aca="false">IF(F157="","",IF(N(O157)=0,"",IF(O157&lt;=30,"1-30",IF(O157&lt;=60,"31-60",IF(O157&lt;=90,"61-90","90+")))))</f>
        <v/>
      </c>
      <c r="T157" s="32" t="str">
        <f aca="false">IF(F157="","",IF(E157="","Diğer",E157))</f>
        <v/>
      </c>
      <c r="U157" s="32" t="str">
        <f aca="false">IF(OR(F157="",C157=""),"",IF(COUNTIF($C$2:C157,C157)=1,MAX($U$1:U156)+1,""))</f>
        <v/>
      </c>
    </row>
    <row r="158" customFormat="false" ht="15" hidden="false" customHeight="false" outlineLevel="0" collapsed="false">
      <c r="A158" s="34"/>
      <c r="B158" s="9"/>
      <c r="C158" s="34"/>
      <c r="D158" s="34"/>
      <c r="E158" s="34"/>
      <c r="F158" s="35"/>
      <c r="G158" s="9"/>
      <c r="H158" s="9"/>
      <c r="I158" s="34"/>
      <c r="J158" s="30" t="str">
        <f aca="false">IF(F158="","",G158-B158)</f>
        <v/>
      </c>
      <c r="K158" s="31" t="str">
        <f aca="false">IF(F158="","",IF(H158&lt;&gt;"",H158,MAX('Vade Sapması'!$D$3,G158)))</f>
        <v/>
      </c>
      <c r="L158" s="30" t="str">
        <f aca="false">IF(F158="","",K158-B158)</f>
        <v/>
      </c>
      <c r="M158" s="30" t="str">
        <f aca="false">IF(F158="","",L158-J158)</f>
        <v/>
      </c>
      <c r="N158" s="32" t="str">
        <f aca="false">IF(F158="","",IF(H158&lt;&gt;"","Kapandı",IF('Vade Sapması'!$D$3&gt;G158,"Açık · vadesi geçti","Açık · vadesi gelmedi")))</f>
        <v/>
      </c>
      <c r="O158" s="30" t="str">
        <f aca="false">IF(F158="","",IF(AND(H158="",'Vade Sapması'!$D$3&gt;G158),'Vade Sapması'!$D$3-G158,0))</f>
        <v/>
      </c>
      <c r="P158" s="33" t="str">
        <f aca="false">IF(F158="","",F158*J158)</f>
        <v/>
      </c>
      <c r="Q158" s="33" t="str">
        <f aca="false">IF(F158="","",F158*L158)</f>
        <v/>
      </c>
      <c r="R158" s="33" t="str">
        <f aca="false">IF(F158="","",IF(H158="",F158,0))</f>
        <v/>
      </c>
      <c r="S158" s="32" t="str">
        <f aca="false">IF(F158="","",IF(N(O158)=0,"",IF(O158&lt;=30,"1-30",IF(O158&lt;=60,"31-60",IF(O158&lt;=90,"61-90","90+")))))</f>
        <v/>
      </c>
      <c r="T158" s="32" t="str">
        <f aca="false">IF(F158="","",IF(E158="","Diğer",E158))</f>
        <v/>
      </c>
      <c r="U158" s="32" t="str">
        <f aca="false">IF(OR(F158="",C158=""),"",IF(COUNTIF($C$2:C158,C158)=1,MAX($U$1:U157)+1,""))</f>
        <v/>
      </c>
    </row>
    <row r="159" customFormat="false" ht="15" hidden="false" customHeight="false" outlineLevel="0" collapsed="false">
      <c r="A159" s="34"/>
      <c r="B159" s="9"/>
      <c r="C159" s="34"/>
      <c r="D159" s="34"/>
      <c r="E159" s="34"/>
      <c r="F159" s="35"/>
      <c r="G159" s="9"/>
      <c r="H159" s="9"/>
      <c r="I159" s="34"/>
      <c r="J159" s="30" t="str">
        <f aca="false">IF(F159="","",G159-B159)</f>
        <v/>
      </c>
      <c r="K159" s="31" t="str">
        <f aca="false">IF(F159="","",IF(H159&lt;&gt;"",H159,MAX('Vade Sapması'!$D$3,G159)))</f>
        <v/>
      </c>
      <c r="L159" s="30" t="str">
        <f aca="false">IF(F159="","",K159-B159)</f>
        <v/>
      </c>
      <c r="M159" s="30" t="str">
        <f aca="false">IF(F159="","",L159-J159)</f>
        <v/>
      </c>
      <c r="N159" s="32" t="str">
        <f aca="false">IF(F159="","",IF(H159&lt;&gt;"","Kapandı",IF('Vade Sapması'!$D$3&gt;G159,"Açık · vadesi geçti","Açık · vadesi gelmedi")))</f>
        <v/>
      </c>
      <c r="O159" s="30" t="str">
        <f aca="false">IF(F159="","",IF(AND(H159="",'Vade Sapması'!$D$3&gt;G159),'Vade Sapması'!$D$3-G159,0))</f>
        <v/>
      </c>
      <c r="P159" s="33" t="str">
        <f aca="false">IF(F159="","",F159*J159)</f>
        <v/>
      </c>
      <c r="Q159" s="33" t="str">
        <f aca="false">IF(F159="","",F159*L159)</f>
        <v/>
      </c>
      <c r="R159" s="33" t="str">
        <f aca="false">IF(F159="","",IF(H159="",F159,0))</f>
        <v/>
      </c>
      <c r="S159" s="32" t="str">
        <f aca="false">IF(F159="","",IF(N(O159)=0,"",IF(O159&lt;=30,"1-30",IF(O159&lt;=60,"31-60",IF(O159&lt;=90,"61-90","90+")))))</f>
        <v/>
      </c>
      <c r="T159" s="32" t="str">
        <f aca="false">IF(F159="","",IF(E159="","Diğer",E159))</f>
        <v/>
      </c>
      <c r="U159" s="32" t="str">
        <f aca="false">IF(OR(F159="",C159=""),"",IF(COUNTIF($C$2:C159,C159)=1,MAX($U$1:U158)+1,""))</f>
        <v/>
      </c>
    </row>
    <row r="160" customFormat="false" ht="15" hidden="false" customHeight="false" outlineLevel="0" collapsed="false">
      <c r="A160" s="34"/>
      <c r="B160" s="9"/>
      <c r="C160" s="34"/>
      <c r="D160" s="34"/>
      <c r="E160" s="34"/>
      <c r="F160" s="35"/>
      <c r="G160" s="9"/>
      <c r="H160" s="9"/>
      <c r="I160" s="34"/>
      <c r="J160" s="30" t="str">
        <f aca="false">IF(F160="","",G160-B160)</f>
        <v/>
      </c>
      <c r="K160" s="31" t="str">
        <f aca="false">IF(F160="","",IF(H160&lt;&gt;"",H160,MAX('Vade Sapması'!$D$3,G160)))</f>
        <v/>
      </c>
      <c r="L160" s="30" t="str">
        <f aca="false">IF(F160="","",K160-B160)</f>
        <v/>
      </c>
      <c r="M160" s="30" t="str">
        <f aca="false">IF(F160="","",L160-J160)</f>
        <v/>
      </c>
      <c r="N160" s="32" t="str">
        <f aca="false">IF(F160="","",IF(H160&lt;&gt;"","Kapandı",IF('Vade Sapması'!$D$3&gt;G160,"Açık · vadesi geçti","Açık · vadesi gelmedi")))</f>
        <v/>
      </c>
      <c r="O160" s="30" t="str">
        <f aca="false">IF(F160="","",IF(AND(H160="",'Vade Sapması'!$D$3&gt;G160),'Vade Sapması'!$D$3-G160,0))</f>
        <v/>
      </c>
      <c r="P160" s="33" t="str">
        <f aca="false">IF(F160="","",F160*J160)</f>
        <v/>
      </c>
      <c r="Q160" s="33" t="str">
        <f aca="false">IF(F160="","",F160*L160)</f>
        <v/>
      </c>
      <c r="R160" s="33" t="str">
        <f aca="false">IF(F160="","",IF(H160="",F160,0))</f>
        <v/>
      </c>
      <c r="S160" s="32" t="str">
        <f aca="false">IF(F160="","",IF(N(O160)=0,"",IF(O160&lt;=30,"1-30",IF(O160&lt;=60,"31-60",IF(O160&lt;=90,"61-90","90+")))))</f>
        <v/>
      </c>
      <c r="T160" s="32" t="str">
        <f aca="false">IF(F160="","",IF(E160="","Diğer",E160))</f>
        <v/>
      </c>
      <c r="U160" s="32" t="str">
        <f aca="false">IF(OR(F160="",C160=""),"",IF(COUNTIF($C$2:C160,C160)=1,MAX($U$1:U159)+1,""))</f>
        <v/>
      </c>
    </row>
    <row r="161" customFormat="false" ht="15" hidden="false" customHeight="false" outlineLevel="0" collapsed="false">
      <c r="A161" s="34"/>
      <c r="B161" s="9"/>
      <c r="C161" s="34"/>
      <c r="D161" s="34"/>
      <c r="E161" s="34"/>
      <c r="F161" s="35"/>
      <c r="G161" s="9"/>
      <c r="H161" s="9"/>
      <c r="I161" s="34"/>
      <c r="J161" s="30" t="str">
        <f aca="false">IF(F161="","",G161-B161)</f>
        <v/>
      </c>
      <c r="K161" s="31" t="str">
        <f aca="false">IF(F161="","",IF(H161&lt;&gt;"",H161,MAX('Vade Sapması'!$D$3,G161)))</f>
        <v/>
      </c>
      <c r="L161" s="30" t="str">
        <f aca="false">IF(F161="","",K161-B161)</f>
        <v/>
      </c>
      <c r="M161" s="30" t="str">
        <f aca="false">IF(F161="","",L161-J161)</f>
        <v/>
      </c>
      <c r="N161" s="32" t="str">
        <f aca="false">IF(F161="","",IF(H161&lt;&gt;"","Kapandı",IF('Vade Sapması'!$D$3&gt;G161,"Açık · vadesi geçti","Açık · vadesi gelmedi")))</f>
        <v/>
      </c>
      <c r="O161" s="30" t="str">
        <f aca="false">IF(F161="","",IF(AND(H161="",'Vade Sapması'!$D$3&gt;G161),'Vade Sapması'!$D$3-G161,0))</f>
        <v/>
      </c>
      <c r="P161" s="33" t="str">
        <f aca="false">IF(F161="","",F161*J161)</f>
        <v/>
      </c>
      <c r="Q161" s="33" t="str">
        <f aca="false">IF(F161="","",F161*L161)</f>
        <v/>
      </c>
      <c r="R161" s="33" t="str">
        <f aca="false">IF(F161="","",IF(H161="",F161,0))</f>
        <v/>
      </c>
      <c r="S161" s="32" t="str">
        <f aca="false">IF(F161="","",IF(N(O161)=0,"",IF(O161&lt;=30,"1-30",IF(O161&lt;=60,"31-60",IF(O161&lt;=90,"61-90","90+")))))</f>
        <v/>
      </c>
      <c r="T161" s="32" t="str">
        <f aca="false">IF(F161="","",IF(E161="","Diğer",E161))</f>
        <v/>
      </c>
      <c r="U161" s="32" t="str">
        <f aca="false">IF(OR(F161="",C161=""),"",IF(COUNTIF($C$2:C161,C161)=1,MAX($U$1:U160)+1,""))</f>
        <v/>
      </c>
    </row>
    <row r="162" customFormat="false" ht="15" hidden="false" customHeight="false" outlineLevel="0" collapsed="false">
      <c r="A162" s="34"/>
      <c r="B162" s="9"/>
      <c r="C162" s="34"/>
      <c r="D162" s="34"/>
      <c r="E162" s="34"/>
      <c r="F162" s="35"/>
      <c r="G162" s="9"/>
      <c r="H162" s="9"/>
      <c r="I162" s="34"/>
      <c r="J162" s="30" t="str">
        <f aca="false">IF(F162="","",G162-B162)</f>
        <v/>
      </c>
      <c r="K162" s="31" t="str">
        <f aca="false">IF(F162="","",IF(H162&lt;&gt;"",H162,MAX('Vade Sapması'!$D$3,G162)))</f>
        <v/>
      </c>
      <c r="L162" s="30" t="str">
        <f aca="false">IF(F162="","",K162-B162)</f>
        <v/>
      </c>
      <c r="M162" s="30" t="str">
        <f aca="false">IF(F162="","",L162-J162)</f>
        <v/>
      </c>
      <c r="N162" s="32" t="str">
        <f aca="false">IF(F162="","",IF(H162&lt;&gt;"","Kapandı",IF('Vade Sapması'!$D$3&gt;G162,"Açık · vadesi geçti","Açık · vadesi gelmedi")))</f>
        <v/>
      </c>
      <c r="O162" s="30" t="str">
        <f aca="false">IF(F162="","",IF(AND(H162="",'Vade Sapması'!$D$3&gt;G162),'Vade Sapması'!$D$3-G162,0))</f>
        <v/>
      </c>
      <c r="P162" s="33" t="str">
        <f aca="false">IF(F162="","",F162*J162)</f>
        <v/>
      </c>
      <c r="Q162" s="33" t="str">
        <f aca="false">IF(F162="","",F162*L162)</f>
        <v/>
      </c>
      <c r="R162" s="33" t="str">
        <f aca="false">IF(F162="","",IF(H162="",F162,0))</f>
        <v/>
      </c>
      <c r="S162" s="32" t="str">
        <f aca="false">IF(F162="","",IF(N(O162)=0,"",IF(O162&lt;=30,"1-30",IF(O162&lt;=60,"31-60",IF(O162&lt;=90,"61-90","90+")))))</f>
        <v/>
      </c>
      <c r="T162" s="32" t="str">
        <f aca="false">IF(F162="","",IF(E162="","Diğer",E162))</f>
        <v/>
      </c>
      <c r="U162" s="32" t="str">
        <f aca="false">IF(OR(F162="",C162=""),"",IF(COUNTIF($C$2:C162,C162)=1,MAX($U$1:U161)+1,""))</f>
        <v/>
      </c>
    </row>
    <row r="163" customFormat="false" ht="15" hidden="false" customHeight="false" outlineLevel="0" collapsed="false">
      <c r="A163" s="34"/>
      <c r="B163" s="9"/>
      <c r="C163" s="34"/>
      <c r="D163" s="34"/>
      <c r="E163" s="34"/>
      <c r="F163" s="35"/>
      <c r="G163" s="9"/>
      <c r="H163" s="9"/>
      <c r="I163" s="34"/>
      <c r="J163" s="30" t="str">
        <f aca="false">IF(F163="","",G163-B163)</f>
        <v/>
      </c>
      <c r="K163" s="31" t="str">
        <f aca="false">IF(F163="","",IF(H163&lt;&gt;"",H163,MAX('Vade Sapması'!$D$3,G163)))</f>
        <v/>
      </c>
      <c r="L163" s="30" t="str">
        <f aca="false">IF(F163="","",K163-B163)</f>
        <v/>
      </c>
      <c r="M163" s="30" t="str">
        <f aca="false">IF(F163="","",L163-J163)</f>
        <v/>
      </c>
      <c r="N163" s="32" t="str">
        <f aca="false">IF(F163="","",IF(H163&lt;&gt;"","Kapandı",IF('Vade Sapması'!$D$3&gt;G163,"Açık · vadesi geçti","Açık · vadesi gelmedi")))</f>
        <v/>
      </c>
      <c r="O163" s="30" t="str">
        <f aca="false">IF(F163="","",IF(AND(H163="",'Vade Sapması'!$D$3&gt;G163),'Vade Sapması'!$D$3-G163,0))</f>
        <v/>
      </c>
      <c r="P163" s="33" t="str">
        <f aca="false">IF(F163="","",F163*J163)</f>
        <v/>
      </c>
      <c r="Q163" s="33" t="str">
        <f aca="false">IF(F163="","",F163*L163)</f>
        <v/>
      </c>
      <c r="R163" s="33" t="str">
        <f aca="false">IF(F163="","",IF(H163="",F163,0))</f>
        <v/>
      </c>
      <c r="S163" s="32" t="str">
        <f aca="false">IF(F163="","",IF(N(O163)=0,"",IF(O163&lt;=30,"1-30",IF(O163&lt;=60,"31-60",IF(O163&lt;=90,"61-90","90+")))))</f>
        <v/>
      </c>
      <c r="T163" s="32" t="str">
        <f aca="false">IF(F163="","",IF(E163="","Diğer",E163))</f>
        <v/>
      </c>
      <c r="U163" s="32" t="str">
        <f aca="false">IF(OR(F163="",C163=""),"",IF(COUNTIF($C$2:C163,C163)=1,MAX($U$1:U162)+1,""))</f>
        <v/>
      </c>
    </row>
    <row r="164" customFormat="false" ht="15" hidden="false" customHeight="false" outlineLevel="0" collapsed="false">
      <c r="A164" s="34"/>
      <c r="B164" s="9"/>
      <c r="C164" s="34"/>
      <c r="D164" s="34"/>
      <c r="E164" s="34"/>
      <c r="F164" s="35"/>
      <c r="G164" s="9"/>
      <c r="H164" s="9"/>
      <c r="I164" s="34"/>
      <c r="J164" s="30" t="str">
        <f aca="false">IF(F164="","",G164-B164)</f>
        <v/>
      </c>
      <c r="K164" s="31" t="str">
        <f aca="false">IF(F164="","",IF(H164&lt;&gt;"",H164,MAX('Vade Sapması'!$D$3,G164)))</f>
        <v/>
      </c>
      <c r="L164" s="30" t="str">
        <f aca="false">IF(F164="","",K164-B164)</f>
        <v/>
      </c>
      <c r="M164" s="30" t="str">
        <f aca="false">IF(F164="","",L164-J164)</f>
        <v/>
      </c>
      <c r="N164" s="32" t="str">
        <f aca="false">IF(F164="","",IF(H164&lt;&gt;"","Kapandı",IF('Vade Sapması'!$D$3&gt;G164,"Açık · vadesi geçti","Açık · vadesi gelmedi")))</f>
        <v/>
      </c>
      <c r="O164" s="30" t="str">
        <f aca="false">IF(F164="","",IF(AND(H164="",'Vade Sapması'!$D$3&gt;G164),'Vade Sapması'!$D$3-G164,0))</f>
        <v/>
      </c>
      <c r="P164" s="33" t="str">
        <f aca="false">IF(F164="","",F164*J164)</f>
        <v/>
      </c>
      <c r="Q164" s="33" t="str">
        <f aca="false">IF(F164="","",F164*L164)</f>
        <v/>
      </c>
      <c r="R164" s="33" t="str">
        <f aca="false">IF(F164="","",IF(H164="",F164,0))</f>
        <v/>
      </c>
      <c r="S164" s="32" t="str">
        <f aca="false">IF(F164="","",IF(N(O164)=0,"",IF(O164&lt;=30,"1-30",IF(O164&lt;=60,"31-60",IF(O164&lt;=90,"61-90","90+")))))</f>
        <v/>
      </c>
      <c r="T164" s="32" t="str">
        <f aca="false">IF(F164="","",IF(E164="","Diğer",E164))</f>
        <v/>
      </c>
      <c r="U164" s="32" t="str">
        <f aca="false">IF(OR(F164="",C164=""),"",IF(COUNTIF($C$2:C164,C164)=1,MAX($U$1:U163)+1,""))</f>
        <v/>
      </c>
    </row>
    <row r="165" customFormat="false" ht="15" hidden="false" customHeight="false" outlineLevel="0" collapsed="false">
      <c r="A165" s="34"/>
      <c r="B165" s="9"/>
      <c r="C165" s="34"/>
      <c r="D165" s="34"/>
      <c r="E165" s="34"/>
      <c r="F165" s="35"/>
      <c r="G165" s="9"/>
      <c r="H165" s="9"/>
      <c r="I165" s="34"/>
      <c r="J165" s="30" t="str">
        <f aca="false">IF(F165="","",G165-B165)</f>
        <v/>
      </c>
      <c r="K165" s="31" t="str">
        <f aca="false">IF(F165="","",IF(H165&lt;&gt;"",H165,MAX('Vade Sapması'!$D$3,G165)))</f>
        <v/>
      </c>
      <c r="L165" s="30" t="str">
        <f aca="false">IF(F165="","",K165-B165)</f>
        <v/>
      </c>
      <c r="M165" s="30" t="str">
        <f aca="false">IF(F165="","",L165-J165)</f>
        <v/>
      </c>
      <c r="N165" s="32" t="str">
        <f aca="false">IF(F165="","",IF(H165&lt;&gt;"","Kapandı",IF('Vade Sapması'!$D$3&gt;G165,"Açık · vadesi geçti","Açık · vadesi gelmedi")))</f>
        <v/>
      </c>
      <c r="O165" s="30" t="str">
        <f aca="false">IF(F165="","",IF(AND(H165="",'Vade Sapması'!$D$3&gt;G165),'Vade Sapması'!$D$3-G165,0))</f>
        <v/>
      </c>
      <c r="P165" s="33" t="str">
        <f aca="false">IF(F165="","",F165*J165)</f>
        <v/>
      </c>
      <c r="Q165" s="33" t="str">
        <f aca="false">IF(F165="","",F165*L165)</f>
        <v/>
      </c>
      <c r="R165" s="33" t="str">
        <f aca="false">IF(F165="","",IF(H165="",F165,0))</f>
        <v/>
      </c>
      <c r="S165" s="32" t="str">
        <f aca="false">IF(F165="","",IF(N(O165)=0,"",IF(O165&lt;=30,"1-30",IF(O165&lt;=60,"31-60",IF(O165&lt;=90,"61-90","90+")))))</f>
        <v/>
      </c>
      <c r="T165" s="32" t="str">
        <f aca="false">IF(F165="","",IF(E165="","Diğer",E165))</f>
        <v/>
      </c>
      <c r="U165" s="32" t="str">
        <f aca="false">IF(OR(F165="",C165=""),"",IF(COUNTIF($C$2:C165,C165)=1,MAX($U$1:U164)+1,""))</f>
        <v/>
      </c>
    </row>
    <row r="166" customFormat="false" ht="15" hidden="false" customHeight="false" outlineLevel="0" collapsed="false">
      <c r="A166" s="34"/>
      <c r="B166" s="9"/>
      <c r="C166" s="34"/>
      <c r="D166" s="34"/>
      <c r="E166" s="34"/>
      <c r="F166" s="35"/>
      <c r="G166" s="9"/>
      <c r="H166" s="9"/>
      <c r="I166" s="34"/>
      <c r="J166" s="30" t="str">
        <f aca="false">IF(F166="","",G166-B166)</f>
        <v/>
      </c>
      <c r="K166" s="31" t="str">
        <f aca="false">IF(F166="","",IF(H166&lt;&gt;"",H166,MAX('Vade Sapması'!$D$3,G166)))</f>
        <v/>
      </c>
      <c r="L166" s="30" t="str">
        <f aca="false">IF(F166="","",K166-B166)</f>
        <v/>
      </c>
      <c r="M166" s="30" t="str">
        <f aca="false">IF(F166="","",L166-J166)</f>
        <v/>
      </c>
      <c r="N166" s="32" t="str">
        <f aca="false">IF(F166="","",IF(H166&lt;&gt;"","Kapandı",IF('Vade Sapması'!$D$3&gt;G166,"Açık · vadesi geçti","Açık · vadesi gelmedi")))</f>
        <v/>
      </c>
      <c r="O166" s="30" t="str">
        <f aca="false">IF(F166="","",IF(AND(H166="",'Vade Sapması'!$D$3&gt;G166),'Vade Sapması'!$D$3-G166,0))</f>
        <v/>
      </c>
      <c r="P166" s="33" t="str">
        <f aca="false">IF(F166="","",F166*J166)</f>
        <v/>
      </c>
      <c r="Q166" s="33" t="str">
        <f aca="false">IF(F166="","",F166*L166)</f>
        <v/>
      </c>
      <c r="R166" s="33" t="str">
        <f aca="false">IF(F166="","",IF(H166="",F166,0))</f>
        <v/>
      </c>
      <c r="S166" s="32" t="str">
        <f aca="false">IF(F166="","",IF(N(O166)=0,"",IF(O166&lt;=30,"1-30",IF(O166&lt;=60,"31-60",IF(O166&lt;=90,"61-90","90+")))))</f>
        <v/>
      </c>
      <c r="T166" s="32" t="str">
        <f aca="false">IF(F166="","",IF(E166="","Diğer",E166))</f>
        <v/>
      </c>
      <c r="U166" s="32" t="str">
        <f aca="false">IF(OR(F166="",C166=""),"",IF(COUNTIF($C$2:C166,C166)=1,MAX($U$1:U165)+1,""))</f>
        <v/>
      </c>
    </row>
    <row r="167" customFormat="false" ht="15" hidden="false" customHeight="false" outlineLevel="0" collapsed="false">
      <c r="A167" s="34"/>
      <c r="B167" s="9"/>
      <c r="C167" s="34"/>
      <c r="D167" s="34"/>
      <c r="E167" s="34"/>
      <c r="F167" s="35"/>
      <c r="G167" s="9"/>
      <c r="H167" s="9"/>
      <c r="I167" s="34"/>
      <c r="J167" s="30" t="str">
        <f aca="false">IF(F167="","",G167-B167)</f>
        <v/>
      </c>
      <c r="K167" s="31" t="str">
        <f aca="false">IF(F167="","",IF(H167&lt;&gt;"",H167,MAX('Vade Sapması'!$D$3,G167)))</f>
        <v/>
      </c>
      <c r="L167" s="30" t="str">
        <f aca="false">IF(F167="","",K167-B167)</f>
        <v/>
      </c>
      <c r="M167" s="30" t="str">
        <f aca="false">IF(F167="","",L167-J167)</f>
        <v/>
      </c>
      <c r="N167" s="32" t="str">
        <f aca="false">IF(F167="","",IF(H167&lt;&gt;"","Kapandı",IF('Vade Sapması'!$D$3&gt;G167,"Açık · vadesi geçti","Açık · vadesi gelmedi")))</f>
        <v/>
      </c>
      <c r="O167" s="30" t="str">
        <f aca="false">IF(F167="","",IF(AND(H167="",'Vade Sapması'!$D$3&gt;G167),'Vade Sapması'!$D$3-G167,0))</f>
        <v/>
      </c>
      <c r="P167" s="33" t="str">
        <f aca="false">IF(F167="","",F167*J167)</f>
        <v/>
      </c>
      <c r="Q167" s="33" t="str">
        <f aca="false">IF(F167="","",F167*L167)</f>
        <v/>
      </c>
      <c r="R167" s="33" t="str">
        <f aca="false">IF(F167="","",IF(H167="",F167,0))</f>
        <v/>
      </c>
      <c r="S167" s="32" t="str">
        <f aca="false">IF(F167="","",IF(N(O167)=0,"",IF(O167&lt;=30,"1-30",IF(O167&lt;=60,"31-60",IF(O167&lt;=90,"61-90","90+")))))</f>
        <v/>
      </c>
      <c r="T167" s="32" t="str">
        <f aca="false">IF(F167="","",IF(E167="","Diğer",E167))</f>
        <v/>
      </c>
      <c r="U167" s="32" t="str">
        <f aca="false">IF(OR(F167="",C167=""),"",IF(COUNTIF($C$2:C167,C167)=1,MAX($U$1:U166)+1,""))</f>
        <v/>
      </c>
    </row>
    <row r="168" customFormat="false" ht="15" hidden="false" customHeight="false" outlineLevel="0" collapsed="false">
      <c r="A168" s="34"/>
      <c r="B168" s="9"/>
      <c r="C168" s="34"/>
      <c r="D168" s="34"/>
      <c r="E168" s="34"/>
      <c r="F168" s="35"/>
      <c r="G168" s="9"/>
      <c r="H168" s="9"/>
      <c r="I168" s="34"/>
      <c r="J168" s="30" t="str">
        <f aca="false">IF(F168="","",G168-B168)</f>
        <v/>
      </c>
      <c r="K168" s="31" t="str">
        <f aca="false">IF(F168="","",IF(H168&lt;&gt;"",H168,MAX('Vade Sapması'!$D$3,G168)))</f>
        <v/>
      </c>
      <c r="L168" s="30" t="str">
        <f aca="false">IF(F168="","",K168-B168)</f>
        <v/>
      </c>
      <c r="M168" s="30" t="str">
        <f aca="false">IF(F168="","",L168-J168)</f>
        <v/>
      </c>
      <c r="N168" s="32" t="str">
        <f aca="false">IF(F168="","",IF(H168&lt;&gt;"","Kapandı",IF('Vade Sapması'!$D$3&gt;G168,"Açık · vadesi geçti","Açık · vadesi gelmedi")))</f>
        <v/>
      </c>
      <c r="O168" s="30" t="str">
        <f aca="false">IF(F168="","",IF(AND(H168="",'Vade Sapması'!$D$3&gt;G168),'Vade Sapması'!$D$3-G168,0))</f>
        <v/>
      </c>
      <c r="P168" s="33" t="str">
        <f aca="false">IF(F168="","",F168*J168)</f>
        <v/>
      </c>
      <c r="Q168" s="33" t="str">
        <f aca="false">IF(F168="","",F168*L168)</f>
        <v/>
      </c>
      <c r="R168" s="33" t="str">
        <f aca="false">IF(F168="","",IF(H168="",F168,0))</f>
        <v/>
      </c>
      <c r="S168" s="32" t="str">
        <f aca="false">IF(F168="","",IF(N(O168)=0,"",IF(O168&lt;=30,"1-30",IF(O168&lt;=60,"31-60",IF(O168&lt;=90,"61-90","90+")))))</f>
        <v/>
      </c>
      <c r="T168" s="32" t="str">
        <f aca="false">IF(F168="","",IF(E168="","Diğer",E168))</f>
        <v/>
      </c>
      <c r="U168" s="32" t="str">
        <f aca="false">IF(OR(F168="",C168=""),"",IF(COUNTIF($C$2:C168,C168)=1,MAX($U$1:U167)+1,""))</f>
        <v/>
      </c>
    </row>
    <row r="169" customFormat="false" ht="15" hidden="false" customHeight="false" outlineLevel="0" collapsed="false">
      <c r="A169" s="34"/>
      <c r="B169" s="9"/>
      <c r="C169" s="34"/>
      <c r="D169" s="34"/>
      <c r="E169" s="34"/>
      <c r="F169" s="35"/>
      <c r="G169" s="9"/>
      <c r="H169" s="9"/>
      <c r="I169" s="34"/>
      <c r="J169" s="30" t="str">
        <f aca="false">IF(F169="","",G169-B169)</f>
        <v/>
      </c>
      <c r="K169" s="31" t="str">
        <f aca="false">IF(F169="","",IF(H169&lt;&gt;"",H169,MAX('Vade Sapması'!$D$3,G169)))</f>
        <v/>
      </c>
      <c r="L169" s="30" t="str">
        <f aca="false">IF(F169="","",K169-B169)</f>
        <v/>
      </c>
      <c r="M169" s="30" t="str">
        <f aca="false">IF(F169="","",L169-J169)</f>
        <v/>
      </c>
      <c r="N169" s="32" t="str">
        <f aca="false">IF(F169="","",IF(H169&lt;&gt;"","Kapandı",IF('Vade Sapması'!$D$3&gt;G169,"Açık · vadesi geçti","Açık · vadesi gelmedi")))</f>
        <v/>
      </c>
      <c r="O169" s="30" t="str">
        <f aca="false">IF(F169="","",IF(AND(H169="",'Vade Sapması'!$D$3&gt;G169),'Vade Sapması'!$D$3-G169,0))</f>
        <v/>
      </c>
      <c r="P169" s="33" t="str">
        <f aca="false">IF(F169="","",F169*J169)</f>
        <v/>
      </c>
      <c r="Q169" s="33" t="str">
        <f aca="false">IF(F169="","",F169*L169)</f>
        <v/>
      </c>
      <c r="R169" s="33" t="str">
        <f aca="false">IF(F169="","",IF(H169="",F169,0))</f>
        <v/>
      </c>
      <c r="S169" s="32" t="str">
        <f aca="false">IF(F169="","",IF(N(O169)=0,"",IF(O169&lt;=30,"1-30",IF(O169&lt;=60,"31-60",IF(O169&lt;=90,"61-90","90+")))))</f>
        <v/>
      </c>
      <c r="T169" s="32" t="str">
        <f aca="false">IF(F169="","",IF(E169="","Diğer",E169))</f>
        <v/>
      </c>
      <c r="U169" s="32" t="str">
        <f aca="false">IF(OR(F169="",C169=""),"",IF(COUNTIF($C$2:C169,C169)=1,MAX($U$1:U168)+1,""))</f>
        <v/>
      </c>
    </row>
    <row r="170" customFormat="false" ht="15" hidden="false" customHeight="false" outlineLevel="0" collapsed="false">
      <c r="A170" s="34"/>
      <c r="B170" s="9"/>
      <c r="C170" s="34"/>
      <c r="D170" s="34"/>
      <c r="E170" s="34"/>
      <c r="F170" s="35"/>
      <c r="G170" s="9"/>
      <c r="H170" s="9"/>
      <c r="I170" s="34"/>
      <c r="J170" s="30" t="str">
        <f aca="false">IF(F170="","",G170-B170)</f>
        <v/>
      </c>
      <c r="K170" s="31" t="str">
        <f aca="false">IF(F170="","",IF(H170&lt;&gt;"",H170,MAX('Vade Sapması'!$D$3,G170)))</f>
        <v/>
      </c>
      <c r="L170" s="30" t="str">
        <f aca="false">IF(F170="","",K170-B170)</f>
        <v/>
      </c>
      <c r="M170" s="30" t="str">
        <f aca="false">IF(F170="","",L170-J170)</f>
        <v/>
      </c>
      <c r="N170" s="32" t="str">
        <f aca="false">IF(F170="","",IF(H170&lt;&gt;"","Kapandı",IF('Vade Sapması'!$D$3&gt;G170,"Açık · vadesi geçti","Açık · vadesi gelmedi")))</f>
        <v/>
      </c>
      <c r="O170" s="30" t="str">
        <f aca="false">IF(F170="","",IF(AND(H170="",'Vade Sapması'!$D$3&gt;G170),'Vade Sapması'!$D$3-G170,0))</f>
        <v/>
      </c>
      <c r="P170" s="33" t="str">
        <f aca="false">IF(F170="","",F170*J170)</f>
        <v/>
      </c>
      <c r="Q170" s="33" t="str">
        <f aca="false">IF(F170="","",F170*L170)</f>
        <v/>
      </c>
      <c r="R170" s="33" t="str">
        <f aca="false">IF(F170="","",IF(H170="",F170,0))</f>
        <v/>
      </c>
      <c r="S170" s="32" t="str">
        <f aca="false">IF(F170="","",IF(N(O170)=0,"",IF(O170&lt;=30,"1-30",IF(O170&lt;=60,"31-60",IF(O170&lt;=90,"61-90","90+")))))</f>
        <v/>
      </c>
      <c r="T170" s="32" t="str">
        <f aca="false">IF(F170="","",IF(E170="","Diğer",E170))</f>
        <v/>
      </c>
      <c r="U170" s="32" t="str">
        <f aca="false">IF(OR(F170="",C170=""),"",IF(COUNTIF($C$2:C170,C170)=1,MAX($U$1:U169)+1,""))</f>
        <v/>
      </c>
    </row>
    <row r="171" customFormat="false" ht="15" hidden="false" customHeight="false" outlineLevel="0" collapsed="false">
      <c r="A171" s="34"/>
      <c r="B171" s="9"/>
      <c r="C171" s="34"/>
      <c r="D171" s="34"/>
      <c r="E171" s="34"/>
      <c r="F171" s="35"/>
      <c r="G171" s="9"/>
      <c r="H171" s="9"/>
      <c r="I171" s="34"/>
      <c r="J171" s="30" t="str">
        <f aca="false">IF(F171="","",G171-B171)</f>
        <v/>
      </c>
      <c r="K171" s="31" t="str">
        <f aca="false">IF(F171="","",IF(H171&lt;&gt;"",H171,MAX('Vade Sapması'!$D$3,G171)))</f>
        <v/>
      </c>
      <c r="L171" s="30" t="str">
        <f aca="false">IF(F171="","",K171-B171)</f>
        <v/>
      </c>
      <c r="M171" s="30" t="str">
        <f aca="false">IF(F171="","",L171-J171)</f>
        <v/>
      </c>
      <c r="N171" s="32" t="str">
        <f aca="false">IF(F171="","",IF(H171&lt;&gt;"","Kapandı",IF('Vade Sapması'!$D$3&gt;G171,"Açık · vadesi geçti","Açık · vadesi gelmedi")))</f>
        <v/>
      </c>
      <c r="O171" s="30" t="str">
        <f aca="false">IF(F171="","",IF(AND(H171="",'Vade Sapması'!$D$3&gt;G171),'Vade Sapması'!$D$3-G171,0))</f>
        <v/>
      </c>
      <c r="P171" s="33" t="str">
        <f aca="false">IF(F171="","",F171*J171)</f>
        <v/>
      </c>
      <c r="Q171" s="33" t="str">
        <f aca="false">IF(F171="","",F171*L171)</f>
        <v/>
      </c>
      <c r="R171" s="33" t="str">
        <f aca="false">IF(F171="","",IF(H171="",F171,0))</f>
        <v/>
      </c>
      <c r="S171" s="32" t="str">
        <f aca="false">IF(F171="","",IF(N(O171)=0,"",IF(O171&lt;=30,"1-30",IF(O171&lt;=60,"31-60",IF(O171&lt;=90,"61-90","90+")))))</f>
        <v/>
      </c>
      <c r="T171" s="32" t="str">
        <f aca="false">IF(F171="","",IF(E171="","Diğer",E171))</f>
        <v/>
      </c>
      <c r="U171" s="32" t="str">
        <f aca="false">IF(OR(F171="",C171=""),"",IF(COUNTIF($C$2:C171,C171)=1,MAX($U$1:U170)+1,""))</f>
        <v/>
      </c>
    </row>
    <row r="172" customFormat="false" ht="15" hidden="false" customHeight="false" outlineLevel="0" collapsed="false">
      <c r="A172" s="34"/>
      <c r="B172" s="9"/>
      <c r="C172" s="34"/>
      <c r="D172" s="34"/>
      <c r="E172" s="34"/>
      <c r="F172" s="35"/>
      <c r="G172" s="9"/>
      <c r="H172" s="9"/>
      <c r="I172" s="34"/>
      <c r="J172" s="30" t="str">
        <f aca="false">IF(F172="","",G172-B172)</f>
        <v/>
      </c>
      <c r="K172" s="31" t="str">
        <f aca="false">IF(F172="","",IF(H172&lt;&gt;"",H172,MAX('Vade Sapması'!$D$3,G172)))</f>
        <v/>
      </c>
      <c r="L172" s="30" t="str">
        <f aca="false">IF(F172="","",K172-B172)</f>
        <v/>
      </c>
      <c r="M172" s="30" t="str">
        <f aca="false">IF(F172="","",L172-J172)</f>
        <v/>
      </c>
      <c r="N172" s="32" t="str">
        <f aca="false">IF(F172="","",IF(H172&lt;&gt;"","Kapandı",IF('Vade Sapması'!$D$3&gt;G172,"Açık · vadesi geçti","Açık · vadesi gelmedi")))</f>
        <v/>
      </c>
      <c r="O172" s="30" t="str">
        <f aca="false">IF(F172="","",IF(AND(H172="",'Vade Sapması'!$D$3&gt;G172),'Vade Sapması'!$D$3-G172,0))</f>
        <v/>
      </c>
      <c r="P172" s="33" t="str">
        <f aca="false">IF(F172="","",F172*J172)</f>
        <v/>
      </c>
      <c r="Q172" s="33" t="str">
        <f aca="false">IF(F172="","",F172*L172)</f>
        <v/>
      </c>
      <c r="R172" s="33" t="str">
        <f aca="false">IF(F172="","",IF(H172="",F172,0))</f>
        <v/>
      </c>
      <c r="S172" s="32" t="str">
        <f aca="false">IF(F172="","",IF(N(O172)=0,"",IF(O172&lt;=30,"1-30",IF(O172&lt;=60,"31-60",IF(O172&lt;=90,"61-90","90+")))))</f>
        <v/>
      </c>
      <c r="T172" s="32" t="str">
        <f aca="false">IF(F172="","",IF(E172="","Diğer",E172))</f>
        <v/>
      </c>
      <c r="U172" s="32" t="str">
        <f aca="false">IF(OR(F172="",C172=""),"",IF(COUNTIF($C$2:C172,C172)=1,MAX($U$1:U171)+1,""))</f>
        <v/>
      </c>
    </row>
    <row r="173" customFormat="false" ht="15" hidden="false" customHeight="false" outlineLevel="0" collapsed="false">
      <c r="A173" s="34"/>
      <c r="B173" s="9"/>
      <c r="C173" s="34"/>
      <c r="D173" s="34"/>
      <c r="E173" s="34"/>
      <c r="F173" s="35"/>
      <c r="G173" s="9"/>
      <c r="H173" s="9"/>
      <c r="I173" s="34"/>
      <c r="J173" s="30" t="str">
        <f aca="false">IF(F173="","",G173-B173)</f>
        <v/>
      </c>
      <c r="K173" s="31" t="str">
        <f aca="false">IF(F173="","",IF(H173&lt;&gt;"",H173,MAX('Vade Sapması'!$D$3,G173)))</f>
        <v/>
      </c>
      <c r="L173" s="30" t="str">
        <f aca="false">IF(F173="","",K173-B173)</f>
        <v/>
      </c>
      <c r="M173" s="30" t="str">
        <f aca="false">IF(F173="","",L173-J173)</f>
        <v/>
      </c>
      <c r="N173" s="32" t="str">
        <f aca="false">IF(F173="","",IF(H173&lt;&gt;"","Kapandı",IF('Vade Sapması'!$D$3&gt;G173,"Açık · vadesi geçti","Açık · vadesi gelmedi")))</f>
        <v/>
      </c>
      <c r="O173" s="30" t="str">
        <f aca="false">IF(F173="","",IF(AND(H173="",'Vade Sapması'!$D$3&gt;G173),'Vade Sapması'!$D$3-G173,0))</f>
        <v/>
      </c>
      <c r="P173" s="33" t="str">
        <f aca="false">IF(F173="","",F173*J173)</f>
        <v/>
      </c>
      <c r="Q173" s="33" t="str">
        <f aca="false">IF(F173="","",F173*L173)</f>
        <v/>
      </c>
      <c r="R173" s="33" t="str">
        <f aca="false">IF(F173="","",IF(H173="",F173,0))</f>
        <v/>
      </c>
      <c r="S173" s="32" t="str">
        <f aca="false">IF(F173="","",IF(N(O173)=0,"",IF(O173&lt;=30,"1-30",IF(O173&lt;=60,"31-60",IF(O173&lt;=90,"61-90","90+")))))</f>
        <v/>
      </c>
      <c r="T173" s="32" t="str">
        <f aca="false">IF(F173="","",IF(E173="","Diğer",E173))</f>
        <v/>
      </c>
      <c r="U173" s="32" t="str">
        <f aca="false">IF(OR(F173="",C173=""),"",IF(COUNTIF($C$2:C173,C173)=1,MAX($U$1:U172)+1,""))</f>
        <v/>
      </c>
    </row>
    <row r="174" customFormat="false" ht="15" hidden="false" customHeight="false" outlineLevel="0" collapsed="false">
      <c r="A174" s="34"/>
      <c r="B174" s="9"/>
      <c r="C174" s="34"/>
      <c r="D174" s="34"/>
      <c r="E174" s="34"/>
      <c r="F174" s="35"/>
      <c r="G174" s="9"/>
      <c r="H174" s="9"/>
      <c r="I174" s="34"/>
      <c r="J174" s="30" t="str">
        <f aca="false">IF(F174="","",G174-B174)</f>
        <v/>
      </c>
      <c r="K174" s="31" t="str">
        <f aca="false">IF(F174="","",IF(H174&lt;&gt;"",H174,MAX('Vade Sapması'!$D$3,G174)))</f>
        <v/>
      </c>
      <c r="L174" s="30" t="str">
        <f aca="false">IF(F174="","",K174-B174)</f>
        <v/>
      </c>
      <c r="M174" s="30" t="str">
        <f aca="false">IF(F174="","",L174-J174)</f>
        <v/>
      </c>
      <c r="N174" s="32" t="str">
        <f aca="false">IF(F174="","",IF(H174&lt;&gt;"","Kapandı",IF('Vade Sapması'!$D$3&gt;G174,"Açık · vadesi geçti","Açık · vadesi gelmedi")))</f>
        <v/>
      </c>
      <c r="O174" s="30" t="str">
        <f aca="false">IF(F174="","",IF(AND(H174="",'Vade Sapması'!$D$3&gt;G174),'Vade Sapması'!$D$3-G174,0))</f>
        <v/>
      </c>
      <c r="P174" s="33" t="str">
        <f aca="false">IF(F174="","",F174*J174)</f>
        <v/>
      </c>
      <c r="Q174" s="33" t="str">
        <f aca="false">IF(F174="","",F174*L174)</f>
        <v/>
      </c>
      <c r="R174" s="33" t="str">
        <f aca="false">IF(F174="","",IF(H174="",F174,0))</f>
        <v/>
      </c>
      <c r="S174" s="32" t="str">
        <f aca="false">IF(F174="","",IF(N(O174)=0,"",IF(O174&lt;=30,"1-30",IF(O174&lt;=60,"31-60",IF(O174&lt;=90,"61-90","90+")))))</f>
        <v/>
      </c>
      <c r="T174" s="32" t="str">
        <f aca="false">IF(F174="","",IF(E174="","Diğer",E174))</f>
        <v/>
      </c>
      <c r="U174" s="32" t="str">
        <f aca="false">IF(OR(F174="",C174=""),"",IF(COUNTIF($C$2:C174,C174)=1,MAX($U$1:U173)+1,""))</f>
        <v/>
      </c>
    </row>
    <row r="175" customFormat="false" ht="15" hidden="false" customHeight="false" outlineLevel="0" collapsed="false">
      <c r="A175" s="34"/>
      <c r="B175" s="9"/>
      <c r="C175" s="34"/>
      <c r="D175" s="34"/>
      <c r="E175" s="34"/>
      <c r="F175" s="35"/>
      <c r="G175" s="9"/>
      <c r="H175" s="9"/>
      <c r="I175" s="34"/>
      <c r="J175" s="30" t="str">
        <f aca="false">IF(F175="","",G175-B175)</f>
        <v/>
      </c>
      <c r="K175" s="31" t="str">
        <f aca="false">IF(F175="","",IF(H175&lt;&gt;"",H175,MAX('Vade Sapması'!$D$3,G175)))</f>
        <v/>
      </c>
      <c r="L175" s="30" t="str">
        <f aca="false">IF(F175="","",K175-B175)</f>
        <v/>
      </c>
      <c r="M175" s="30" t="str">
        <f aca="false">IF(F175="","",L175-J175)</f>
        <v/>
      </c>
      <c r="N175" s="32" t="str">
        <f aca="false">IF(F175="","",IF(H175&lt;&gt;"","Kapandı",IF('Vade Sapması'!$D$3&gt;G175,"Açık · vadesi geçti","Açık · vadesi gelmedi")))</f>
        <v/>
      </c>
      <c r="O175" s="30" t="str">
        <f aca="false">IF(F175="","",IF(AND(H175="",'Vade Sapması'!$D$3&gt;G175),'Vade Sapması'!$D$3-G175,0))</f>
        <v/>
      </c>
      <c r="P175" s="33" t="str">
        <f aca="false">IF(F175="","",F175*J175)</f>
        <v/>
      </c>
      <c r="Q175" s="33" t="str">
        <f aca="false">IF(F175="","",F175*L175)</f>
        <v/>
      </c>
      <c r="R175" s="33" t="str">
        <f aca="false">IF(F175="","",IF(H175="",F175,0))</f>
        <v/>
      </c>
      <c r="S175" s="32" t="str">
        <f aca="false">IF(F175="","",IF(N(O175)=0,"",IF(O175&lt;=30,"1-30",IF(O175&lt;=60,"31-60",IF(O175&lt;=90,"61-90","90+")))))</f>
        <v/>
      </c>
      <c r="T175" s="32" t="str">
        <f aca="false">IF(F175="","",IF(E175="","Diğer",E175))</f>
        <v/>
      </c>
      <c r="U175" s="32" t="str">
        <f aca="false">IF(OR(F175="",C175=""),"",IF(COUNTIF($C$2:C175,C175)=1,MAX($U$1:U174)+1,""))</f>
        <v/>
      </c>
    </row>
    <row r="176" customFormat="false" ht="15" hidden="false" customHeight="false" outlineLevel="0" collapsed="false">
      <c r="A176" s="34"/>
      <c r="B176" s="9"/>
      <c r="C176" s="34"/>
      <c r="D176" s="34"/>
      <c r="E176" s="34"/>
      <c r="F176" s="35"/>
      <c r="G176" s="9"/>
      <c r="H176" s="9"/>
      <c r="I176" s="34"/>
      <c r="J176" s="30" t="str">
        <f aca="false">IF(F176="","",G176-B176)</f>
        <v/>
      </c>
      <c r="K176" s="31" t="str">
        <f aca="false">IF(F176="","",IF(H176&lt;&gt;"",H176,MAX('Vade Sapması'!$D$3,G176)))</f>
        <v/>
      </c>
      <c r="L176" s="30" t="str">
        <f aca="false">IF(F176="","",K176-B176)</f>
        <v/>
      </c>
      <c r="M176" s="30" t="str">
        <f aca="false">IF(F176="","",L176-J176)</f>
        <v/>
      </c>
      <c r="N176" s="32" t="str">
        <f aca="false">IF(F176="","",IF(H176&lt;&gt;"","Kapandı",IF('Vade Sapması'!$D$3&gt;G176,"Açık · vadesi geçti","Açık · vadesi gelmedi")))</f>
        <v/>
      </c>
      <c r="O176" s="30" t="str">
        <f aca="false">IF(F176="","",IF(AND(H176="",'Vade Sapması'!$D$3&gt;G176),'Vade Sapması'!$D$3-G176,0))</f>
        <v/>
      </c>
      <c r="P176" s="33" t="str">
        <f aca="false">IF(F176="","",F176*J176)</f>
        <v/>
      </c>
      <c r="Q176" s="33" t="str">
        <f aca="false">IF(F176="","",F176*L176)</f>
        <v/>
      </c>
      <c r="R176" s="33" t="str">
        <f aca="false">IF(F176="","",IF(H176="",F176,0))</f>
        <v/>
      </c>
      <c r="S176" s="32" t="str">
        <f aca="false">IF(F176="","",IF(N(O176)=0,"",IF(O176&lt;=30,"1-30",IF(O176&lt;=60,"31-60",IF(O176&lt;=90,"61-90","90+")))))</f>
        <v/>
      </c>
      <c r="T176" s="32" t="str">
        <f aca="false">IF(F176="","",IF(E176="","Diğer",E176))</f>
        <v/>
      </c>
      <c r="U176" s="32" t="str">
        <f aca="false">IF(OR(F176="",C176=""),"",IF(COUNTIF($C$2:C176,C176)=1,MAX($U$1:U175)+1,""))</f>
        <v/>
      </c>
    </row>
    <row r="177" customFormat="false" ht="15" hidden="false" customHeight="false" outlineLevel="0" collapsed="false">
      <c r="A177" s="34"/>
      <c r="B177" s="9"/>
      <c r="C177" s="34"/>
      <c r="D177" s="34"/>
      <c r="E177" s="34"/>
      <c r="F177" s="35"/>
      <c r="G177" s="9"/>
      <c r="H177" s="9"/>
      <c r="I177" s="34"/>
      <c r="J177" s="30" t="str">
        <f aca="false">IF(F177="","",G177-B177)</f>
        <v/>
      </c>
      <c r="K177" s="31" t="str">
        <f aca="false">IF(F177="","",IF(H177&lt;&gt;"",H177,MAX('Vade Sapması'!$D$3,G177)))</f>
        <v/>
      </c>
      <c r="L177" s="30" t="str">
        <f aca="false">IF(F177="","",K177-B177)</f>
        <v/>
      </c>
      <c r="M177" s="30" t="str">
        <f aca="false">IF(F177="","",L177-J177)</f>
        <v/>
      </c>
      <c r="N177" s="32" t="str">
        <f aca="false">IF(F177="","",IF(H177&lt;&gt;"","Kapandı",IF('Vade Sapması'!$D$3&gt;G177,"Açık · vadesi geçti","Açık · vadesi gelmedi")))</f>
        <v/>
      </c>
      <c r="O177" s="30" t="str">
        <f aca="false">IF(F177="","",IF(AND(H177="",'Vade Sapması'!$D$3&gt;G177),'Vade Sapması'!$D$3-G177,0))</f>
        <v/>
      </c>
      <c r="P177" s="33" t="str">
        <f aca="false">IF(F177="","",F177*J177)</f>
        <v/>
      </c>
      <c r="Q177" s="33" t="str">
        <f aca="false">IF(F177="","",F177*L177)</f>
        <v/>
      </c>
      <c r="R177" s="33" t="str">
        <f aca="false">IF(F177="","",IF(H177="",F177,0))</f>
        <v/>
      </c>
      <c r="S177" s="32" t="str">
        <f aca="false">IF(F177="","",IF(N(O177)=0,"",IF(O177&lt;=30,"1-30",IF(O177&lt;=60,"31-60",IF(O177&lt;=90,"61-90","90+")))))</f>
        <v/>
      </c>
      <c r="T177" s="32" t="str">
        <f aca="false">IF(F177="","",IF(E177="","Diğer",E177))</f>
        <v/>
      </c>
      <c r="U177" s="32" t="str">
        <f aca="false">IF(OR(F177="",C177=""),"",IF(COUNTIF($C$2:C177,C177)=1,MAX($U$1:U176)+1,""))</f>
        <v/>
      </c>
    </row>
    <row r="178" customFormat="false" ht="15" hidden="false" customHeight="false" outlineLevel="0" collapsed="false">
      <c r="A178" s="34"/>
      <c r="B178" s="9"/>
      <c r="C178" s="34"/>
      <c r="D178" s="34"/>
      <c r="E178" s="34"/>
      <c r="F178" s="35"/>
      <c r="G178" s="9"/>
      <c r="H178" s="9"/>
      <c r="I178" s="34"/>
      <c r="J178" s="30" t="str">
        <f aca="false">IF(F178="","",G178-B178)</f>
        <v/>
      </c>
      <c r="K178" s="31" t="str">
        <f aca="false">IF(F178="","",IF(H178&lt;&gt;"",H178,MAX('Vade Sapması'!$D$3,G178)))</f>
        <v/>
      </c>
      <c r="L178" s="30" t="str">
        <f aca="false">IF(F178="","",K178-B178)</f>
        <v/>
      </c>
      <c r="M178" s="30" t="str">
        <f aca="false">IF(F178="","",L178-J178)</f>
        <v/>
      </c>
      <c r="N178" s="32" t="str">
        <f aca="false">IF(F178="","",IF(H178&lt;&gt;"","Kapandı",IF('Vade Sapması'!$D$3&gt;G178,"Açık · vadesi geçti","Açık · vadesi gelmedi")))</f>
        <v/>
      </c>
      <c r="O178" s="30" t="str">
        <f aca="false">IF(F178="","",IF(AND(H178="",'Vade Sapması'!$D$3&gt;G178),'Vade Sapması'!$D$3-G178,0))</f>
        <v/>
      </c>
      <c r="P178" s="33" t="str">
        <f aca="false">IF(F178="","",F178*J178)</f>
        <v/>
      </c>
      <c r="Q178" s="33" t="str">
        <f aca="false">IF(F178="","",F178*L178)</f>
        <v/>
      </c>
      <c r="R178" s="33" t="str">
        <f aca="false">IF(F178="","",IF(H178="",F178,0))</f>
        <v/>
      </c>
      <c r="S178" s="32" t="str">
        <f aca="false">IF(F178="","",IF(N(O178)=0,"",IF(O178&lt;=30,"1-30",IF(O178&lt;=60,"31-60",IF(O178&lt;=90,"61-90","90+")))))</f>
        <v/>
      </c>
      <c r="T178" s="32" t="str">
        <f aca="false">IF(F178="","",IF(E178="","Diğer",E178))</f>
        <v/>
      </c>
      <c r="U178" s="32" t="str">
        <f aca="false">IF(OR(F178="",C178=""),"",IF(COUNTIF($C$2:C178,C178)=1,MAX($U$1:U177)+1,""))</f>
        <v/>
      </c>
    </row>
    <row r="179" customFormat="false" ht="15" hidden="false" customHeight="false" outlineLevel="0" collapsed="false">
      <c r="A179" s="34"/>
      <c r="B179" s="9"/>
      <c r="C179" s="34"/>
      <c r="D179" s="34"/>
      <c r="E179" s="34"/>
      <c r="F179" s="35"/>
      <c r="G179" s="9"/>
      <c r="H179" s="9"/>
      <c r="I179" s="34"/>
      <c r="J179" s="30" t="str">
        <f aca="false">IF(F179="","",G179-B179)</f>
        <v/>
      </c>
      <c r="K179" s="31" t="str">
        <f aca="false">IF(F179="","",IF(H179&lt;&gt;"",H179,MAX('Vade Sapması'!$D$3,G179)))</f>
        <v/>
      </c>
      <c r="L179" s="30" t="str">
        <f aca="false">IF(F179="","",K179-B179)</f>
        <v/>
      </c>
      <c r="M179" s="30" t="str">
        <f aca="false">IF(F179="","",L179-J179)</f>
        <v/>
      </c>
      <c r="N179" s="32" t="str">
        <f aca="false">IF(F179="","",IF(H179&lt;&gt;"","Kapandı",IF('Vade Sapması'!$D$3&gt;G179,"Açık · vadesi geçti","Açık · vadesi gelmedi")))</f>
        <v/>
      </c>
      <c r="O179" s="30" t="str">
        <f aca="false">IF(F179="","",IF(AND(H179="",'Vade Sapması'!$D$3&gt;G179),'Vade Sapması'!$D$3-G179,0))</f>
        <v/>
      </c>
      <c r="P179" s="33" t="str">
        <f aca="false">IF(F179="","",F179*J179)</f>
        <v/>
      </c>
      <c r="Q179" s="33" t="str">
        <f aca="false">IF(F179="","",F179*L179)</f>
        <v/>
      </c>
      <c r="R179" s="33" t="str">
        <f aca="false">IF(F179="","",IF(H179="",F179,0))</f>
        <v/>
      </c>
      <c r="S179" s="32" t="str">
        <f aca="false">IF(F179="","",IF(N(O179)=0,"",IF(O179&lt;=30,"1-30",IF(O179&lt;=60,"31-60",IF(O179&lt;=90,"61-90","90+")))))</f>
        <v/>
      </c>
      <c r="T179" s="32" t="str">
        <f aca="false">IF(F179="","",IF(E179="","Diğer",E179))</f>
        <v/>
      </c>
      <c r="U179" s="32" t="str">
        <f aca="false">IF(OR(F179="",C179=""),"",IF(COUNTIF($C$2:C179,C179)=1,MAX($U$1:U178)+1,""))</f>
        <v/>
      </c>
    </row>
    <row r="180" customFormat="false" ht="15" hidden="false" customHeight="false" outlineLevel="0" collapsed="false">
      <c r="A180" s="34"/>
      <c r="B180" s="9"/>
      <c r="C180" s="34"/>
      <c r="D180" s="34"/>
      <c r="E180" s="34"/>
      <c r="F180" s="35"/>
      <c r="G180" s="9"/>
      <c r="H180" s="9"/>
      <c r="I180" s="34"/>
      <c r="J180" s="30" t="str">
        <f aca="false">IF(F180="","",G180-B180)</f>
        <v/>
      </c>
      <c r="K180" s="31" t="str">
        <f aca="false">IF(F180="","",IF(H180&lt;&gt;"",H180,MAX('Vade Sapması'!$D$3,G180)))</f>
        <v/>
      </c>
      <c r="L180" s="30" t="str">
        <f aca="false">IF(F180="","",K180-B180)</f>
        <v/>
      </c>
      <c r="M180" s="30" t="str">
        <f aca="false">IF(F180="","",L180-J180)</f>
        <v/>
      </c>
      <c r="N180" s="32" t="str">
        <f aca="false">IF(F180="","",IF(H180&lt;&gt;"","Kapandı",IF('Vade Sapması'!$D$3&gt;G180,"Açık · vadesi geçti","Açık · vadesi gelmedi")))</f>
        <v/>
      </c>
      <c r="O180" s="30" t="str">
        <f aca="false">IF(F180="","",IF(AND(H180="",'Vade Sapması'!$D$3&gt;G180),'Vade Sapması'!$D$3-G180,0))</f>
        <v/>
      </c>
      <c r="P180" s="33" t="str">
        <f aca="false">IF(F180="","",F180*J180)</f>
        <v/>
      </c>
      <c r="Q180" s="33" t="str">
        <f aca="false">IF(F180="","",F180*L180)</f>
        <v/>
      </c>
      <c r="R180" s="33" t="str">
        <f aca="false">IF(F180="","",IF(H180="",F180,0))</f>
        <v/>
      </c>
      <c r="S180" s="32" t="str">
        <f aca="false">IF(F180="","",IF(N(O180)=0,"",IF(O180&lt;=30,"1-30",IF(O180&lt;=60,"31-60",IF(O180&lt;=90,"61-90","90+")))))</f>
        <v/>
      </c>
      <c r="T180" s="32" t="str">
        <f aca="false">IF(F180="","",IF(E180="","Diğer",E180))</f>
        <v/>
      </c>
      <c r="U180" s="32" t="str">
        <f aca="false">IF(OR(F180="",C180=""),"",IF(COUNTIF($C$2:C180,C180)=1,MAX($U$1:U179)+1,""))</f>
        <v/>
      </c>
    </row>
    <row r="181" customFormat="false" ht="15" hidden="false" customHeight="false" outlineLevel="0" collapsed="false">
      <c r="A181" s="34"/>
      <c r="B181" s="9"/>
      <c r="C181" s="34"/>
      <c r="D181" s="34"/>
      <c r="E181" s="34"/>
      <c r="F181" s="35"/>
      <c r="G181" s="9"/>
      <c r="H181" s="9"/>
      <c r="I181" s="34"/>
      <c r="J181" s="30" t="str">
        <f aca="false">IF(F181="","",G181-B181)</f>
        <v/>
      </c>
      <c r="K181" s="31" t="str">
        <f aca="false">IF(F181="","",IF(H181&lt;&gt;"",H181,MAX('Vade Sapması'!$D$3,G181)))</f>
        <v/>
      </c>
      <c r="L181" s="30" t="str">
        <f aca="false">IF(F181="","",K181-B181)</f>
        <v/>
      </c>
      <c r="M181" s="30" t="str">
        <f aca="false">IF(F181="","",L181-J181)</f>
        <v/>
      </c>
      <c r="N181" s="32" t="str">
        <f aca="false">IF(F181="","",IF(H181&lt;&gt;"","Kapandı",IF('Vade Sapması'!$D$3&gt;G181,"Açık · vadesi geçti","Açık · vadesi gelmedi")))</f>
        <v/>
      </c>
      <c r="O181" s="30" t="str">
        <f aca="false">IF(F181="","",IF(AND(H181="",'Vade Sapması'!$D$3&gt;G181),'Vade Sapması'!$D$3-G181,0))</f>
        <v/>
      </c>
      <c r="P181" s="33" t="str">
        <f aca="false">IF(F181="","",F181*J181)</f>
        <v/>
      </c>
      <c r="Q181" s="33" t="str">
        <f aca="false">IF(F181="","",F181*L181)</f>
        <v/>
      </c>
      <c r="R181" s="33" t="str">
        <f aca="false">IF(F181="","",IF(H181="",F181,0))</f>
        <v/>
      </c>
      <c r="S181" s="32" t="str">
        <f aca="false">IF(F181="","",IF(N(O181)=0,"",IF(O181&lt;=30,"1-30",IF(O181&lt;=60,"31-60",IF(O181&lt;=90,"61-90","90+")))))</f>
        <v/>
      </c>
      <c r="T181" s="32" t="str">
        <f aca="false">IF(F181="","",IF(E181="","Diğer",E181))</f>
        <v/>
      </c>
      <c r="U181" s="32" t="str">
        <f aca="false">IF(OR(F181="",C181=""),"",IF(COUNTIF($C$2:C181,C181)=1,MAX($U$1:U180)+1,""))</f>
        <v/>
      </c>
    </row>
    <row r="182" customFormat="false" ht="15" hidden="false" customHeight="false" outlineLevel="0" collapsed="false">
      <c r="A182" s="34"/>
      <c r="B182" s="9"/>
      <c r="C182" s="34"/>
      <c r="D182" s="34"/>
      <c r="E182" s="34"/>
      <c r="F182" s="35"/>
      <c r="G182" s="9"/>
      <c r="H182" s="9"/>
      <c r="I182" s="34"/>
      <c r="J182" s="30" t="str">
        <f aca="false">IF(F182="","",G182-B182)</f>
        <v/>
      </c>
      <c r="K182" s="31" t="str">
        <f aca="false">IF(F182="","",IF(H182&lt;&gt;"",H182,MAX('Vade Sapması'!$D$3,G182)))</f>
        <v/>
      </c>
      <c r="L182" s="30" t="str">
        <f aca="false">IF(F182="","",K182-B182)</f>
        <v/>
      </c>
      <c r="M182" s="30" t="str">
        <f aca="false">IF(F182="","",L182-J182)</f>
        <v/>
      </c>
      <c r="N182" s="32" t="str">
        <f aca="false">IF(F182="","",IF(H182&lt;&gt;"","Kapandı",IF('Vade Sapması'!$D$3&gt;G182,"Açık · vadesi geçti","Açık · vadesi gelmedi")))</f>
        <v/>
      </c>
      <c r="O182" s="30" t="str">
        <f aca="false">IF(F182="","",IF(AND(H182="",'Vade Sapması'!$D$3&gt;G182),'Vade Sapması'!$D$3-G182,0))</f>
        <v/>
      </c>
      <c r="P182" s="33" t="str">
        <f aca="false">IF(F182="","",F182*J182)</f>
        <v/>
      </c>
      <c r="Q182" s="33" t="str">
        <f aca="false">IF(F182="","",F182*L182)</f>
        <v/>
      </c>
      <c r="R182" s="33" t="str">
        <f aca="false">IF(F182="","",IF(H182="",F182,0))</f>
        <v/>
      </c>
      <c r="S182" s="32" t="str">
        <f aca="false">IF(F182="","",IF(N(O182)=0,"",IF(O182&lt;=30,"1-30",IF(O182&lt;=60,"31-60",IF(O182&lt;=90,"61-90","90+")))))</f>
        <v/>
      </c>
      <c r="T182" s="32" t="str">
        <f aca="false">IF(F182="","",IF(E182="","Diğer",E182))</f>
        <v/>
      </c>
      <c r="U182" s="32" t="str">
        <f aca="false">IF(OR(F182="",C182=""),"",IF(COUNTIF($C$2:C182,C182)=1,MAX($U$1:U181)+1,""))</f>
        <v/>
      </c>
    </row>
    <row r="183" customFormat="false" ht="15" hidden="false" customHeight="false" outlineLevel="0" collapsed="false">
      <c r="A183" s="34"/>
      <c r="B183" s="9"/>
      <c r="C183" s="34"/>
      <c r="D183" s="34"/>
      <c r="E183" s="34"/>
      <c r="F183" s="35"/>
      <c r="G183" s="9"/>
      <c r="H183" s="9"/>
      <c r="I183" s="34"/>
      <c r="J183" s="30" t="str">
        <f aca="false">IF(F183="","",G183-B183)</f>
        <v/>
      </c>
      <c r="K183" s="31" t="str">
        <f aca="false">IF(F183="","",IF(H183&lt;&gt;"",H183,MAX('Vade Sapması'!$D$3,G183)))</f>
        <v/>
      </c>
      <c r="L183" s="30" t="str">
        <f aca="false">IF(F183="","",K183-B183)</f>
        <v/>
      </c>
      <c r="M183" s="30" t="str">
        <f aca="false">IF(F183="","",L183-J183)</f>
        <v/>
      </c>
      <c r="N183" s="32" t="str">
        <f aca="false">IF(F183="","",IF(H183&lt;&gt;"","Kapandı",IF('Vade Sapması'!$D$3&gt;G183,"Açık · vadesi geçti","Açık · vadesi gelmedi")))</f>
        <v/>
      </c>
      <c r="O183" s="30" t="str">
        <f aca="false">IF(F183="","",IF(AND(H183="",'Vade Sapması'!$D$3&gt;G183),'Vade Sapması'!$D$3-G183,0))</f>
        <v/>
      </c>
      <c r="P183" s="33" t="str">
        <f aca="false">IF(F183="","",F183*J183)</f>
        <v/>
      </c>
      <c r="Q183" s="33" t="str">
        <f aca="false">IF(F183="","",F183*L183)</f>
        <v/>
      </c>
      <c r="R183" s="33" t="str">
        <f aca="false">IF(F183="","",IF(H183="",F183,0))</f>
        <v/>
      </c>
      <c r="S183" s="32" t="str">
        <f aca="false">IF(F183="","",IF(N(O183)=0,"",IF(O183&lt;=30,"1-30",IF(O183&lt;=60,"31-60",IF(O183&lt;=90,"61-90","90+")))))</f>
        <v/>
      </c>
      <c r="T183" s="32" t="str">
        <f aca="false">IF(F183="","",IF(E183="","Diğer",E183))</f>
        <v/>
      </c>
      <c r="U183" s="32" t="str">
        <f aca="false">IF(OR(F183="",C183=""),"",IF(COUNTIF($C$2:C183,C183)=1,MAX($U$1:U182)+1,""))</f>
        <v/>
      </c>
    </row>
    <row r="184" customFormat="false" ht="15" hidden="false" customHeight="false" outlineLevel="0" collapsed="false">
      <c r="A184" s="34"/>
      <c r="B184" s="9"/>
      <c r="C184" s="34"/>
      <c r="D184" s="34"/>
      <c r="E184" s="34"/>
      <c r="F184" s="35"/>
      <c r="G184" s="9"/>
      <c r="H184" s="9"/>
      <c r="I184" s="34"/>
      <c r="J184" s="30" t="str">
        <f aca="false">IF(F184="","",G184-B184)</f>
        <v/>
      </c>
      <c r="K184" s="31" t="str">
        <f aca="false">IF(F184="","",IF(H184&lt;&gt;"",H184,MAX('Vade Sapması'!$D$3,G184)))</f>
        <v/>
      </c>
      <c r="L184" s="30" t="str">
        <f aca="false">IF(F184="","",K184-B184)</f>
        <v/>
      </c>
      <c r="M184" s="30" t="str">
        <f aca="false">IF(F184="","",L184-J184)</f>
        <v/>
      </c>
      <c r="N184" s="32" t="str">
        <f aca="false">IF(F184="","",IF(H184&lt;&gt;"","Kapandı",IF('Vade Sapması'!$D$3&gt;G184,"Açık · vadesi geçti","Açık · vadesi gelmedi")))</f>
        <v/>
      </c>
      <c r="O184" s="30" t="str">
        <f aca="false">IF(F184="","",IF(AND(H184="",'Vade Sapması'!$D$3&gt;G184),'Vade Sapması'!$D$3-G184,0))</f>
        <v/>
      </c>
      <c r="P184" s="33" t="str">
        <f aca="false">IF(F184="","",F184*J184)</f>
        <v/>
      </c>
      <c r="Q184" s="33" t="str">
        <f aca="false">IF(F184="","",F184*L184)</f>
        <v/>
      </c>
      <c r="R184" s="33" t="str">
        <f aca="false">IF(F184="","",IF(H184="",F184,0))</f>
        <v/>
      </c>
      <c r="S184" s="32" t="str">
        <f aca="false">IF(F184="","",IF(N(O184)=0,"",IF(O184&lt;=30,"1-30",IF(O184&lt;=60,"31-60",IF(O184&lt;=90,"61-90","90+")))))</f>
        <v/>
      </c>
      <c r="T184" s="32" t="str">
        <f aca="false">IF(F184="","",IF(E184="","Diğer",E184))</f>
        <v/>
      </c>
      <c r="U184" s="32" t="str">
        <f aca="false">IF(OR(F184="",C184=""),"",IF(COUNTIF($C$2:C184,C184)=1,MAX($U$1:U183)+1,""))</f>
        <v/>
      </c>
    </row>
    <row r="185" customFormat="false" ht="15" hidden="false" customHeight="false" outlineLevel="0" collapsed="false">
      <c r="A185" s="34"/>
      <c r="B185" s="9"/>
      <c r="C185" s="34"/>
      <c r="D185" s="34"/>
      <c r="E185" s="34"/>
      <c r="F185" s="35"/>
      <c r="G185" s="9"/>
      <c r="H185" s="9"/>
      <c r="I185" s="34"/>
      <c r="J185" s="30" t="str">
        <f aca="false">IF(F185="","",G185-B185)</f>
        <v/>
      </c>
      <c r="K185" s="31" t="str">
        <f aca="false">IF(F185="","",IF(H185&lt;&gt;"",H185,MAX('Vade Sapması'!$D$3,G185)))</f>
        <v/>
      </c>
      <c r="L185" s="30" t="str">
        <f aca="false">IF(F185="","",K185-B185)</f>
        <v/>
      </c>
      <c r="M185" s="30" t="str">
        <f aca="false">IF(F185="","",L185-J185)</f>
        <v/>
      </c>
      <c r="N185" s="32" t="str">
        <f aca="false">IF(F185="","",IF(H185&lt;&gt;"","Kapandı",IF('Vade Sapması'!$D$3&gt;G185,"Açık · vadesi geçti","Açık · vadesi gelmedi")))</f>
        <v/>
      </c>
      <c r="O185" s="30" t="str">
        <f aca="false">IF(F185="","",IF(AND(H185="",'Vade Sapması'!$D$3&gt;G185),'Vade Sapması'!$D$3-G185,0))</f>
        <v/>
      </c>
      <c r="P185" s="33" t="str">
        <f aca="false">IF(F185="","",F185*J185)</f>
        <v/>
      </c>
      <c r="Q185" s="33" t="str">
        <f aca="false">IF(F185="","",F185*L185)</f>
        <v/>
      </c>
      <c r="R185" s="33" t="str">
        <f aca="false">IF(F185="","",IF(H185="",F185,0))</f>
        <v/>
      </c>
      <c r="S185" s="32" t="str">
        <f aca="false">IF(F185="","",IF(N(O185)=0,"",IF(O185&lt;=30,"1-30",IF(O185&lt;=60,"31-60",IF(O185&lt;=90,"61-90","90+")))))</f>
        <v/>
      </c>
      <c r="T185" s="32" t="str">
        <f aca="false">IF(F185="","",IF(E185="","Diğer",E185))</f>
        <v/>
      </c>
      <c r="U185" s="32" t="str">
        <f aca="false">IF(OR(F185="",C185=""),"",IF(COUNTIF($C$2:C185,C185)=1,MAX($U$1:U184)+1,""))</f>
        <v/>
      </c>
    </row>
    <row r="186" customFormat="false" ht="15" hidden="false" customHeight="false" outlineLevel="0" collapsed="false">
      <c r="A186" s="34"/>
      <c r="B186" s="9"/>
      <c r="C186" s="34"/>
      <c r="D186" s="34"/>
      <c r="E186" s="34"/>
      <c r="F186" s="35"/>
      <c r="G186" s="9"/>
      <c r="H186" s="9"/>
      <c r="I186" s="34"/>
      <c r="J186" s="30" t="str">
        <f aca="false">IF(F186="","",G186-B186)</f>
        <v/>
      </c>
      <c r="K186" s="31" t="str">
        <f aca="false">IF(F186="","",IF(H186&lt;&gt;"",H186,MAX('Vade Sapması'!$D$3,G186)))</f>
        <v/>
      </c>
      <c r="L186" s="30" t="str">
        <f aca="false">IF(F186="","",K186-B186)</f>
        <v/>
      </c>
      <c r="M186" s="30" t="str">
        <f aca="false">IF(F186="","",L186-J186)</f>
        <v/>
      </c>
      <c r="N186" s="32" t="str">
        <f aca="false">IF(F186="","",IF(H186&lt;&gt;"","Kapandı",IF('Vade Sapması'!$D$3&gt;G186,"Açık · vadesi geçti","Açık · vadesi gelmedi")))</f>
        <v/>
      </c>
      <c r="O186" s="30" t="str">
        <f aca="false">IF(F186="","",IF(AND(H186="",'Vade Sapması'!$D$3&gt;G186),'Vade Sapması'!$D$3-G186,0))</f>
        <v/>
      </c>
      <c r="P186" s="33" t="str">
        <f aca="false">IF(F186="","",F186*J186)</f>
        <v/>
      </c>
      <c r="Q186" s="33" t="str">
        <f aca="false">IF(F186="","",F186*L186)</f>
        <v/>
      </c>
      <c r="R186" s="33" t="str">
        <f aca="false">IF(F186="","",IF(H186="",F186,0))</f>
        <v/>
      </c>
      <c r="S186" s="32" t="str">
        <f aca="false">IF(F186="","",IF(N(O186)=0,"",IF(O186&lt;=30,"1-30",IF(O186&lt;=60,"31-60",IF(O186&lt;=90,"61-90","90+")))))</f>
        <v/>
      </c>
      <c r="T186" s="32" t="str">
        <f aca="false">IF(F186="","",IF(E186="","Diğer",E186))</f>
        <v/>
      </c>
      <c r="U186" s="32" t="str">
        <f aca="false">IF(OR(F186="",C186=""),"",IF(COUNTIF($C$2:C186,C186)=1,MAX($U$1:U185)+1,""))</f>
        <v/>
      </c>
    </row>
    <row r="187" customFormat="false" ht="15" hidden="false" customHeight="false" outlineLevel="0" collapsed="false">
      <c r="A187" s="34"/>
      <c r="B187" s="9"/>
      <c r="C187" s="34"/>
      <c r="D187" s="34"/>
      <c r="E187" s="34"/>
      <c r="F187" s="35"/>
      <c r="G187" s="9"/>
      <c r="H187" s="9"/>
      <c r="I187" s="34"/>
      <c r="J187" s="30" t="str">
        <f aca="false">IF(F187="","",G187-B187)</f>
        <v/>
      </c>
      <c r="K187" s="31" t="str">
        <f aca="false">IF(F187="","",IF(H187&lt;&gt;"",H187,MAX('Vade Sapması'!$D$3,G187)))</f>
        <v/>
      </c>
      <c r="L187" s="30" t="str">
        <f aca="false">IF(F187="","",K187-B187)</f>
        <v/>
      </c>
      <c r="M187" s="30" t="str">
        <f aca="false">IF(F187="","",L187-J187)</f>
        <v/>
      </c>
      <c r="N187" s="32" t="str">
        <f aca="false">IF(F187="","",IF(H187&lt;&gt;"","Kapandı",IF('Vade Sapması'!$D$3&gt;G187,"Açık · vadesi geçti","Açık · vadesi gelmedi")))</f>
        <v/>
      </c>
      <c r="O187" s="30" t="str">
        <f aca="false">IF(F187="","",IF(AND(H187="",'Vade Sapması'!$D$3&gt;G187),'Vade Sapması'!$D$3-G187,0))</f>
        <v/>
      </c>
      <c r="P187" s="33" t="str">
        <f aca="false">IF(F187="","",F187*J187)</f>
        <v/>
      </c>
      <c r="Q187" s="33" t="str">
        <f aca="false">IF(F187="","",F187*L187)</f>
        <v/>
      </c>
      <c r="R187" s="33" t="str">
        <f aca="false">IF(F187="","",IF(H187="",F187,0))</f>
        <v/>
      </c>
      <c r="S187" s="32" t="str">
        <f aca="false">IF(F187="","",IF(N(O187)=0,"",IF(O187&lt;=30,"1-30",IF(O187&lt;=60,"31-60",IF(O187&lt;=90,"61-90","90+")))))</f>
        <v/>
      </c>
      <c r="T187" s="32" t="str">
        <f aca="false">IF(F187="","",IF(E187="","Diğer",E187))</f>
        <v/>
      </c>
      <c r="U187" s="32" t="str">
        <f aca="false">IF(OR(F187="",C187=""),"",IF(COUNTIF($C$2:C187,C187)=1,MAX($U$1:U186)+1,""))</f>
        <v/>
      </c>
    </row>
    <row r="188" customFormat="false" ht="15" hidden="false" customHeight="false" outlineLevel="0" collapsed="false">
      <c r="A188" s="34"/>
      <c r="B188" s="9"/>
      <c r="C188" s="34"/>
      <c r="D188" s="34"/>
      <c r="E188" s="34"/>
      <c r="F188" s="35"/>
      <c r="G188" s="9"/>
      <c r="H188" s="9"/>
      <c r="I188" s="34"/>
      <c r="J188" s="30" t="str">
        <f aca="false">IF(F188="","",G188-B188)</f>
        <v/>
      </c>
      <c r="K188" s="31" t="str">
        <f aca="false">IF(F188="","",IF(H188&lt;&gt;"",H188,MAX('Vade Sapması'!$D$3,G188)))</f>
        <v/>
      </c>
      <c r="L188" s="30" t="str">
        <f aca="false">IF(F188="","",K188-B188)</f>
        <v/>
      </c>
      <c r="M188" s="30" t="str">
        <f aca="false">IF(F188="","",L188-J188)</f>
        <v/>
      </c>
      <c r="N188" s="32" t="str">
        <f aca="false">IF(F188="","",IF(H188&lt;&gt;"","Kapandı",IF('Vade Sapması'!$D$3&gt;G188,"Açık · vadesi geçti","Açık · vadesi gelmedi")))</f>
        <v/>
      </c>
      <c r="O188" s="30" t="str">
        <f aca="false">IF(F188="","",IF(AND(H188="",'Vade Sapması'!$D$3&gt;G188),'Vade Sapması'!$D$3-G188,0))</f>
        <v/>
      </c>
      <c r="P188" s="33" t="str">
        <f aca="false">IF(F188="","",F188*J188)</f>
        <v/>
      </c>
      <c r="Q188" s="33" t="str">
        <f aca="false">IF(F188="","",F188*L188)</f>
        <v/>
      </c>
      <c r="R188" s="33" t="str">
        <f aca="false">IF(F188="","",IF(H188="",F188,0))</f>
        <v/>
      </c>
      <c r="S188" s="32" t="str">
        <f aca="false">IF(F188="","",IF(N(O188)=0,"",IF(O188&lt;=30,"1-30",IF(O188&lt;=60,"31-60",IF(O188&lt;=90,"61-90","90+")))))</f>
        <v/>
      </c>
      <c r="T188" s="32" t="str">
        <f aca="false">IF(F188="","",IF(E188="","Diğer",E188))</f>
        <v/>
      </c>
      <c r="U188" s="32" t="str">
        <f aca="false">IF(OR(F188="",C188=""),"",IF(COUNTIF($C$2:C188,C188)=1,MAX($U$1:U187)+1,""))</f>
        <v/>
      </c>
    </row>
    <row r="189" customFormat="false" ht="15" hidden="false" customHeight="false" outlineLevel="0" collapsed="false">
      <c r="A189" s="34"/>
      <c r="B189" s="9"/>
      <c r="C189" s="34"/>
      <c r="D189" s="34"/>
      <c r="E189" s="34"/>
      <c r="F189" s="35"/>
      <c r="G189" s="9"/>
      <c r="H189" s="9"/>
      <c r="I189" s="34"/>
      <c r="J189" s="30" t="str">
        <f aca="false">IF(F189="","",G189-B189)</f>
        <v/>
      </c>
      <c r="K189" s="31" t="str">
        <f aca="false">IF(F189="","",IF(H189&lt;&gt;"",H189,MAX('Vade Sapması'!$D$3,G189)))</f>
        <v/>
      </c>
      <c r="L189" s="30" t="str">
        <f aca="false">IF(F189="","",K189-B189)</f>
        <v/>
      </c>
      <c r="M189" s="30" t="str">
        <f aca="false">IF(F189="","",L189-J189)</f>
        <v/>
      </c>
      <c r="N189" s="32" t="str">
        <f aca="false">IF(F189="","",IF(H189&lt;&gt;"","Kapandı",IF('Vade Sapması'!$D$3&gt;G189,"Açık · vadesi geçti","Açık · vadesi gelmedi")))</f>
        <v/>
      </c>
      <c r="O189" s="30" t="str">
        <f aca="false">IF(F189="","",IF(AND(H189="",'Vade Sapması'!$D$3&gt;G189),'Vade Sapması'!$D$3-G189,0))</f>
        <v/>
      </c>
      <c r="P189" s="33" t="str">
        <f aca="false">IF(F189="","",F189*J189)</f>
        <v/>
      </c>
      <c r="Q189" s="33" t="str">
        <f aca="false">IF(F189="","",F189*L189)</f>
        <v/>
      </c>
      <c r="R189" s="33" t="str">
        <f aca="false">IF(F189="","",IF(H189="",F189,0))</f>
        <v/>
      </c>
      <c r="S189" s="32" t="str">
        <f aca="false">IF(F189="","",IF(N(O189)=0,"",IF(O189&lt;=30,"1-30",IF(O189&lt;=60,"31-60",IF(O189&lt;=90,"61-90","90+")))))</f>
        <v/>
      </c>
      <c r="T189" s="32" t="str">
        <f aca="false">IF(F189="","",IF(E189="","Diğer",E189))</f>
        <v/>
      </c>
      <c r="U189" s="32" t="str">
        <f aca="false">IF(OR(F189="",C189=""),"",IF(COUNTIF($C$2:C189,C189)=1,MAX($U$1:U188)+1,""))</f>
        <v/>
      </c>
    </row>
    <row r="190" customFormat="false" ht="15" hidden="false" customHeight="false" outlineLevel="0" collapsed="false">
      <c r="A190" s="34"/>
      <c r="B190" s="9"/>
      <c r="C190" s="34"/>
      <c r="D190" s="34"/>
      <c r="E190" s="34"/>
      <c r="F190" s="35"/>
      <c r="G190" s="9"/>
      <c r="H190" s="9"/>
      <c r="I190" s="34"/>
      <c r="J190" s="30" t="str">
        <f aca="false">IF(F190="","",G190-B190)</f>
        <v/>
      </c>
      <c r="K190" s="31" t="str">
        <f aca="false">IF(F190="","",IF(H190&lt;&gt;"",H190,MAX('Vade Sapması'!$D$3,G190)))</f>
        <v/>
      </c>
      <c r="L190" s="30" t="str">
        <f aca="false">IF(F190="","",K190-B190)</f>
        <v/>
      </c>
      <c r="M190" s="30" t="str">
        <f aca="false">IF(F190="","",L190-J190)</f>
        <v/>
      </c>
      <c r="N190" s="32" t="str">
        <f aca="false">IF(F190="","",IF(H190&lt;&gt;"","Kapandı",IF('Vade Sapması'!$D$3&gt;G190,"Açık · vadesi geçti","Açık · vadesi gelmedi")))</f>
        <v/>
      </c>
      <c r="O190" s="30" t="str">
        <f aca="false">IF(F190="","",IF(AND(H190="",'Vade Sapması'!$D$3&gt;G190),'Vade Sapması'!$D$3-G190,0))</f>
        <v/>
      </c>
      <c r="P190" s="33" t="str">
        <f aca="false">IF(F190="","",F190*J190)</f>
        <v/>
      </c>
      <c r="Q190" s="33" t="str">
        <f aca="false">IF(F190="","",F190*L190)</f>
        <v/>
      </c>
      <c r="R190" s="33" t="str">
        <f aca="false">IF(F190="","",IF(H190="",F190,0))</f>
        <v/>
      </c>
      <c r="S190" s="32" t="str">
        <f aca="false">IF(F190="","",IF(N(O190)=0,"",IF(O190&lt;=30,"1-30",IF(O190&lt;=60,"31-60",IF(O190&lt;=90,"61-90","90+")))))</f>
        <v/>
      </c>
      <c r="T190" s="32" t="str">
        <f aca="false">IF(F190="","",IF(E190="","Diğer",E190))</f>
        <v/>
      </c>
      <c r="U190" s="32" t="str">
        <f aca="false">IF(OR(F190="",C190=""),"",IF(COUNTIF($C$2:C190,C190)=1,MAX($U$1:U189)+1,""))</f>
        <v/>
      </c>
    </row>
    <row r="191" customFormat="false" ht="15" hidden="false" customHeight="false" outlineLevel="0" collapsed="false">
      <c r="A191" s="34"/>
      <c r="B191" s="9"/>
      <c r="C191" s="34"/>
      <c r="D191" s="34"/>
      <c r="E191" s="34"/>
      <c r="F191" s="35"/>
      <c r="G191" s="9"/>
      <c r="H191" s="9"/>
      <c r="I191" s="34"/>
      <c r="J191" s="30" t="str">
        <f aca="false">IF(F191="","",G191-B191)</f>
        <v/>
      </c>
      <c r="K191" s="31" t="str">
        <f aca="false">IF(F191="","",IF(H191&lt;&gt;"",H191,MAX('Vade Sapması'!$D$3,G191)))</f>
        <v/>
      </c>
      <c r="L191" s="30" t="str">
        <f aca="false">IF(F191="","",K191-B191)</f>
        <v/>
      </c>
      <c r="M191" s="30" t="str">
        <f aca="false">IF(F191="","",L191-J191)</f>
        <v/>
      </c>
      <c r="N191" s="32" t="str">
        <f aca="false">IF(F191="","",IF(H191&lt;&gt;"","Kapandı",IF('Vade Sapması'!$D$3&gt;G191,"Açık · vadesi geçti","Açık · vadesi gelmedi")))</f>
        <v/>
      </c>
      <c r="O191" s="30" t="str">
        <f aca="false">IF(F191="","",IF(AND(H191="",'Vade Sapması'!$D$3&gt;G191),'Vade Sapması'!$D$3-G191,0))</f>
        <v/>
      </c>
      <c r="P191" s="33" t="str">
        <f aca="false">IF(F191="","",F191*J191)</f>
        <v/>
      </c>
      <c r="Q191" s="33" t="str">
        <f aca="false">IF(F191="","",F191*L191)</f>
        <v/>
      </c>
      <c r="R191" s="33" t="str">
        <f aca="false">IF(F191="","",IF(H191="",F191,0))</f>
        <v/>
      </c>
      <c r="S191" s="32" t="str">
        <f aca="false">IF(F191="","",IF(N(O191)=0,"",IF(O191&lt;=30,"1-30",IF(O191&lt;=60,"31-60",IF(O191&lt;=90,"61-90","90+")))))</f>
        <v/>
      </c>
      <c r="T191" s="32" t="str">
        <f aca="false">IF(F191="","",IF(E191="","Diğer",E191))</f>
        <v/>
      </c>
      <c r="U191" s="32" t="str">
        <f aca="false">IF(OR(F191="",C191=""),"",IF(COUNTIF($C$2:C191,C191)=1,MAX($U$1:U190)+1,""))</f>
        <v/>
      </c>
    </row>
    <row r="192" customFormat="false" ht="15" hidden="false" customHeight="false" outlineLevel="0" collapsed="false">
      <c r="A192" s="34"/>
      <c r="B192" s="9"/>
      <c r="C192" s="34"/>
      <c r="D192" s="34"/>
      <c r="E192" s="34"/>
      <c r="F192" s="35"/>
      <c r="G192" s="9"/>
      <c r="H192" s="9"/>
      <c r="I192" s="34"/>
      <c r="J192" s="30" t="str">
        <f aca="false">IF(F192="","",G192-B192)</f>
        <v/>
      </c>
      <c r="K192" s="31" t="str">
        <f aca="false">IF(F192="","",IF(H192&lt;&gt;"",H192,MAX('Vade Sapması'!$D$3,G192)))</f>
        <v/>
      </c>
      <c r="L192" s="30" t="str">
        <f aca="false">IF(F192="","",K192-B192)</f>
        <v/>
      </c>
      <c r="M192" s="30" t="str">
        <f aca="false">IF(F192="","",L192-J192)</f>
        <v/>
      </c>
      <c r="N192" s="32" t="str">
        <f aca="false">IF(F192="","",IF(H192&lt;&gt;"","Kapandı",IF('Vade Sapması'!$D$3&gt;G192,"Açık · vadesi geçti","Açık · vadesi gelmedi")))</f>
        <v/>
      </c>
      <c r="O192" s="30" t="str">
        <f aca="false">IF(F192="","",IF(AND(H192="",'Vade Sapması'!$D$3&gt;G192),'Vade Sapması'!$D$3-G192,0))</f>
        <v/>
      </c>
      <c r="P192" s="33" t="str">
        <f aca="false">IF(F192="","",F192*J192)</f>
        <v/>
      </c>
      <c r="Q192" s="33" t="str">
        <f aca="false">IF(F192="","",F192*L192)</f>
        <v/>
      </c>
      <c r="R192" s="33" t="str">
        <f aca="false">IF(F192="","",IF(H192="",F192,0))</f>
        <v/>
      </c>
      <c r="S192" s="32" t="str">
        <f aca="false">IF(F192="","",IF(N(O192)=0,"",IF(O192&lt;=30,"1-30",IF(O192&lt;=60,"31-60",IF(O192&lt;=90,"61-90","90+")))))</f>
        <v/>
      </c>
      <c r="T192" s="32" t="str">
        <f aca="false">IF(F192="","",IF(E192="","Diğer",E192))</f>
        <v/>
      </c>
      <c r="U192" s="32" t="str">
        <f aca="false">IF(OR(F192="",C192=""),"",IF(COUNTIF($C$2:C192,C192)=1,MAX($U$1:U191)+1,""))</f>
        <v/>
      </c>
    </row>
    <row r="193" customFormat="false" ht="15" hidden="false" customHeight="false" outlineLevel="0" collapsed="false">
      <c r="A193" s="34"/>
      <c r="B193" s="9"/>
      <c r="C193" s="34"/>
      <c r="D193" s="34"/>
      <c r="E193" s="34"/>
      <c r="F193" s="35"/>
      <c r="G193" s="9"/>
      <c r="H193" s="9"/>
      <c r="I193" s="34"/>
      <c r="J193" s="30" t="str">
        <f aca="false">IF(F193="","",G193-B193)</f>
        <v/>
      </c>
      <c r="K193" s="31" t="str">
        <f aca="false">IF(F193="","",IF(H193&lt;&gt;"",H193,MAX('Vade Sapması'!$D$3,G193)))</f>
        <v/>
      </c>
      <c r="L193" s="30" t="str">
        <f aca="false">IF(F193="","",K193-B193)</f>
        <v/>
      </c>
      <c r="M193" s="30" t="str">
        <f aca="false">IF(F193="","",L193-J193)</f>
        <v/>
      </c>
      <c r="N193" s="32" t="str">
        <f aca="false">IF(F193="","",IF(H193&lt;&gt;"","Kapandı",IF('Vade Sapması'!$D$3&gt;G193,"Açık · vadesi geçti","Açık · vadesi gelmedi")))</f>
        <v/>
      </c>
      <c r="O193" s="30" t="str">
        <f aca="false">IF(F193="","",IF(AND(H193="",'Vade Sapması'!$D$3&gt;G193),'Vade Sapması'!$D$3-G193,0))</f>
        <v/>
      </c>
      <c r="P193" s="33" t="str">
        <f aca="false">IF(F193="","",F193*J193)</f>
        <v/>
      </c>
      <c r="Q193" s="33" t="str">
        <f aca="false">IF(F193="","",F193*L193)</f>
        <v/>
      </c>
      <c r="R193" s="33" t="str">
        <f aca="false">IF(F193="","",IF(H193="",F193,0))</f>
        <v/>
      </c>
      <c r="S193" s="32" t="str">
        <f aca="false">IF(F193="","",IF(N(O193)=0,"",IF(O193&lt;=30,"1-30",IF(O193&lt;=60,"31-60",IF(O193&lt;=90,"61-90","90+")))))</f>
        <v/>
      </c>
      <c r="T193" s="32" t="str">
        <f aca="false">IF(F193="","",IF(E193="","Diğer",E193))</f>
        <v/>
      </c>
      <c r="U193" s="32" t="str">
        <f aca="false">IF(OR(F193="",C193=""),"",IF(COUNTIF($C$2:C193,C193)=1,MAX($U$1:U192)+1,""))</f>
        <v/>
      </c>
    </row>
    <row r="194" customFormat="false" ht="15" hidden="false" customHeight="false" outlineLevel="0" collapsed="false">
      <c r="A194" s="34"/>
      <c r="B194" s="9"/>
      <c r="C194" s="34"/>
      <c r="D194" s="34"/>
      <c r="E194" s="34"/>
      <c r="F194" s="35"/>
      <c r="G194" s="9"/>
      <c r="H194" s="9"/>
      <c r="I194" s="34"/>
      <c r="J194" s="30" t="str">
        <f aca="false">IF(F194="","",G194-B194)</f>
        <v/>
      </c>
      <c r="K194" s="31" t="str">
        <f aca="false">IF(F194="","",IF(H194&lt;&gt;"",H194,MAX('Vade Sapması'!$D$3,G194)))</f>
        <v/>
      </c>
      <c r="L194" s="30" t="str">
        <f aca="false">IF(F194="","",K194-B194)</f>
        <v/>
      </c>
      <c r="M194" s="30" t="str">
        <f aca="false">IF(F194="","",L194-J194)</f>
        <v/>
      </c>
      <c r="N194" s="32" t="str">
        <f aca="false">IF(F194="","",IF(H194&lt;&gt;"","Kapandı",IF('Vade Sapması'!$D$3&gt;G194,"Açık · vadesi geçti","Açık · vadesi gelmedi")))</f>
        <v/>
      </c>
      <c r="O194" s="30" t="str">
        <f aca="false">IF(F194="","",IF(AND(H194="",'Vade Sapması'!$D$3&gt;G194),'Vade Sapması'!$D$3-G194,0))</f>
        <v/>
      </c>
      <c r="P194" s="33" t="str">
        <f aca="false">IF(F194="","",F194*J194)</f>
        <v/>
      </c>
      <c r="Q194" s="33" t="str">
        <f aca="false">IF(F194="","",F194*L194)</f>
        <v/>
      </c>
      <c r="R194" s="33" t="str">
        <f aca="false">IF(F194="","",IF(H194="",F194,0))</f>
        <v/>
      </c>
      <c r="S194" s="32" t="str">
        <f aca="false">IF(F194="","",IF(N(O194)=0,"",IF(O194&lt;=30,"1-30",IF(O194&lt;=60,"31-60",IF(O194&lt;=90,"61-90","90+")))))</f>
        <v/>
      </c>
      <c r="T194" s="32" t="str">
        <f aca="false">IF(F194="","",IF(E194="","Diğer",E194))</f>
        <v/>
      </c>
      <c r="U194" s="32" t="str">
        <f aca="false">IF(OR(F194="",C194=""),"",IF(COUNTIF($C$2:C194,C194)=1,MAX($U$1:U193)+1,""))</f>
        <v/>
      </c>
    </row>
    <row r="195" customFormat="false" ht="15" hidden="false" customHeight="false" outlineLevel="0" collapsed="false">
      <c r="A195" s="34"/>
      <c r="B195" s="9"/>
      <c r="C195" s="34"/>
      <c r="D195" s="34"/>
      <c r="E195" s="34"/>
      <c r="F195" s="35"/>
      <c r="G195" s="9"/>
      <c r="H195" s="9"/>
      <c r="I195" s="34"/>
      <c r="J195" s="30" t="str">
        <f aca="false">IF(F195="","",G195-B195)</f>
        <v/>
      </c>
      <c r="K195" s="31" t="str">
        <f aca="false">IF(F195="","",IF(H195&lt;&gt;"",H195,MAX('Vade Sapması'!$D$3,G195)))</f>
        <v/>
      </c>
      <c r="L195" s="30" t="str">
        <f aca="false">IF(F195="","",K195-B195)</f>
        <v/>
      </c>
      <c r="M195" s="30" t="str">
        <f aca="false">IF(F195="","",L195-J195)</f>
        <v/>
      </c>
      <c r="N195" s="32" t="str">
        <f aca="false">IF(F195="","",IF(H195&lt;&gt;"","Kapandı",IF('Vade Sapması'!$D$3&gt;G195,"Açık · vadesi geçti","Açık · vadesi gelmedi")))</f>
        <v/>
      </c>
      <c r="O195" s="30" t="str">
        <f aca="false">IF(F195="","",IF(AND(H195="",'Vade Sapması'!$D$3&gt;G195),'Vade Sapması'!$D$3-G195,0))</f>
        <v/>
      </c>
      <c r="P195" s="33" t="str">
        <f aca="false">IF(F195="","",F195*J195)</f>
        <v/>
      </c>
      <c r="Q195" s="33" t="str">
        <f aca="false">IF(F195="","",F195*L195)</f>
        <v/>
      </c>
      <c r="R195" s="33" t="str">
        <f aca="false">IF(F195="","",IF(H195="",F195,0))</f>
        <v/>
      </c>
      <c r="S195" s="32" t="str">
        <f aca="false">IF(F195="","",IF(N(O195)=0,"",IF(O195&lt;=30,"1-30",IF(O195&lt;=60,"31-60",IF(O195&lt;=90,"61-90","90+")))))</f>
        <v/>
      </c>
      <c r="T195" s="32" t="str">
        <f aca="false">IF(F195="","",IF(E195="","Diğer",E195))</f>
        <v/>
      </c>
      <c r="U195" s="32" t="str">
        <f aca="false">IF(OR(F195="",C195=""),"",IF(COUNTIF($C$2:C195,C195)=1,MAX($U$1:U194)+1,""))</f>
        <v/>
      </c>
    </row>
    <row r="196" customFormat="false" ht="15" hidden="false" customHeight="false" outlineLevel="0" collapsed="false">
      <c r="A196" s="34"/>
      <c r="B196" s="9"/>
      <c r="C196" s="34"/>
      <c r="D196" s="34"/>
      <c r="E196" s="34"/>
      <c r="F196" s="35"/>
      <c r="G196" s="9"/>
      <c r="H196" s="9"/>
      <c r="I196" s="34"/>
      <c r="J196" s="30" t="str">
        <f aca="false">IF(F196="","",G196-B196)</f>
        <v/>
      </c>
      <c r="K196" s="31" t="str">
        <f aca="false">IF(F196="","",IF(H196&lt;&gt;"",H196,MAX('Vade Sapması'!$D$3,G196)))</f>
        <v/>
      </c>
      <c r="L196" s="30" t="str">
        <f aca="false">IF(F196="","",K196-B196)</f>
        <v/>
      </c>
      <c r="M196" s="30" t="str">
        <f aca="false">IF(F196="","",L196-J196)</f>
        <v/>
      </c>
      <c r="N196" s="32" t="str">
        <f aca="false">IF(F196="","",IF(H196&lt;&gt;"","Kapandı",IF('Vade Sapması'!$D$3&gt;G196,"Açık · vadesi geçti","Açık · vadesi gelmedi")))</f>
        <v/>
      </c>
      <c r="O196" s="30" t="str">
        <f aca="false">IF(F196="","",IF(AND(H196="",'Vade Sapması'!$D$3&gt;G196),'Vade Sapması'!$D$3-G196,0))</f>
        <v/>
      </c>
      <c r="P196" s="33" t="str">
        <f aca="false">IF(F196="","",F196*J196)</f>
        <v/>
      </c>
      <c r="Q196" s="33" t="str">
        <f aca="false">IF(F196="","",F196*L196)</f>
        <v/>
      </c>
      <c r="R196" s="33" t="str">
        <f aca="false">IF(F196="","",IF(H196="",F196,0))</f>
        <v/>
      </c>
      <c r="S196" s="32" t="str">
        <f aca="false">IF(F196="","",IF(N(O196)=0,"",IF(O196&lt;=30,"1-30",IF(O196&lt;=60,"31-60",IF(O196&lt;=90,"61-90","90+")))))</f>
        <v/>
      </c>
      <c r="T196" s="32" t="str">
        <f aca="false">IF(F196="","",IF(E196="","Diğer",E196))</f>
        <v/>
      </c>
      <c r="U196" s="32" t="str">
        <f aca="false">IF(OR(F196="",C196=""),"",IF(COUNTIF($C$2:C196,C196)=1,MAX($U$1:U195)+1,""))</f>
        <v/>
      </c>
    </row>
    <row r="197" customFormat="false" ht="15" hidden="false" customHeight="false" outlineLevel="0" collapsed="false">
      <c r="A197" s="34"/>
      <c r="B197" s="9"/>
      <c r="C197" s="34"/>
      <c r="D197" s="34"/>
      <c r="E197" s="34"/>
      <c r="F197" s="35"/>
      <c r="G197" s="9"/>
      <c r="H197" s="9"/>
      <c r="I197" s="34"/>
      <c r="J197" s="30" t="str">
        <f aca="false">IF(F197="","",G197-B197)</f>
        <v/>
      </c>
      <c r="K197" s="31" t="str">
        <f aca="false">IF(F197="","",IF(H197&lt;&gt;"",H197,MAX('Vade Sapması'!$D$3,G197)))</f>
        <v/>
      </c>
      <c r="L197" s="30" t="str">
        <f aca="false">IF(F197="","",K197-B197)</f>
        <v/>
      </c>
      <c r="M197" s="30" t="str">
        <f aca="false">IF(F197="","",L197-J197)</f>
        <v/>
      </c>
      <c r="N197" s="32" t="str">
        <f aca="false">IF(F197="","",IF(H197&lt;&gt;"","Kapandı",IF('Vade Sapması'!$D$3&gt;G197,"Açık · vadesi geçti","Açık · vadesi gelmedi")))</f>
        <v/>
      </c>
      <c r="O197" s="30" t="str">
        <f aca="false">IF(F197="","",IF(AND(H197="",'Vade Sapması'!$D$3&gt;G197),'Vade Sapması'!$D$3-G197,0))</f>
        <v/>
      </c>
      <c r="P197" s="33" t="str">
        <f aca="false">IF(F197="","",F197*J197)</f>
        <v/>
      </c>
      <c r="Q197" s="33" t="str">
        <f aca="false">IF(F197="","",F197*L197)</f>
        <v/>
      </c>
      <c r="R197" s="33" t="str">
        <f aca="false">IF(F197="","",IF(H197="",F197,0))</f>
        <v/>
      </c>
      <c r="S197" s="32" t="str">
        <f aca="false">IF(F197="","",IF(N(O197)=0,"",IF(O197&lt;=30,"1-30",IF(O197&lt;=60,"31-60",IF(O197&lt;=90,"61-90","90+")))))</f>
        <v/>
      </c>
      <c r="T197" s="32" t="str">
        <f aca="false">IF(F197="","",IF(E197="","Diğer",E197))</f>
        <v/>
      </c>
      <c r="U197" s="32" t="str">
        <f aca="false">IF(OR(F197="",C197=""),"",IF(COUNTIF($C$2:C197,C197)=1,MAX($U$1:U196)+1,""))</f>
        <v/>
      </c>
    </row>
    <row r="198" customFormat="false" ht="15" hidden="false" customHeight="false" outlineLevel="0" collapsed="false">
      <c r="A198" s="34"/>
      <c r="B198" s="9"/>
      <c r="C198" s="34"/>
      <c r="D198" s="34"/>
      <c r="E198" s="34"/>
      <c r="F198" s="35"/>
      <c r="G198" s="9"/>
      <c r="H198" s="9"/>
      <c r="I198" s="34"/>
      <c r="J198" s="30" t="str">
        <f aca="false">IF(F198="","",G198-B198)</f>
        <v/>
      </c>
      <c r="K198" s="31" t="str">
        <f aca="false">IF(F198="","",IF(H198&lt;&gt;"",H198,MAX('Vade Sapması'!$D$3,G198)))</f>
        <v/>
      </c>
      <c r="L198" s="30" t="str">
        <f aca="false">IF(F198="","",K198-B198)</f>
        <v/>
      </c>
      <c r="M198" s="30" t="str">
        <f aca="false">IF(F198="","",L198-J198)</f>
        <v/>
      </c>
      <c r="N198" s="32" t="str">
        <f aca="false">IF(F198="","",IF(H198&lt;&gt;"","Kapandı",IF('Vade Sapması'!$D$3&gt;G198,"Açık · vadesi geçti","Açık · vadesi gelmedi")))</f>
        <v/>
      </c>
      <c r="O198" s="30" t="str">
        <f aca="false">IF(F198="","",IF(AND(H198="",'Vade Sapması'!$D$3&gt;G198),'Vade Sapması'!$D$3-G198,0))</f>
        <v/>
      </c>
      <c r="P198" s="33" t="str">
        <f aca="false">IF(F198="","",F198*J198)</f>
        <v/>
      </c>
      <c r="Q198" s="33" t="str">
        <f aca="false">IF(F198="","",F198*L198)</f>
        <v/>
      </c>
      <c r="R198" s="33" t="str">
        <f aca="false">IF(F198="","",IF(H198="",F198,0))</f>
        <v/>
      </c>
      <c r="S198" s="32" t="str">
        <f aca="false">IF(F198="","",IF(N(O198)=0,"",IF(O198&lt;=30,"1-30",IF(O198&lt;=60,"31-60",IF(O198&lt;=90,"61-90","90+")))))</f>
        <v/>
      </c>
      <c r="T198" s="32" t="str">
        <f aca="false">IF(F198="","",IF(E198="","Diğer",E198))</f>
        <v/>
      </c>
      <c r="U198" s="32" t="str">
        <f aca="false">IF(OR(F198="",C198=""),"",IF(COUNTIF($C$2:C198,C198)=1,MAX($U$1:U197)+1,""))</f>
        <v/>
      </c>
    </row>
    <row r="199" customFormat="false" ht="15" hidden="false" customHeight="false" outlineLevel="0" collapsed="false">
      <c r="A199" s="34"/>
      <c r="B199" s="9"/>
      <c r="C199" s="34"/>
      <c r="D199" s="34"/>
      <c r="E199" s="34"/>
      <c r="F199" s="35"/>
      <c r="G199" s="9"/>
      <c r="H199" s="9"/>
      <c r="I199" s="34"/>
      <c r="J199" s="30" t="str">
        <f aca="false">IF(F199="","",G199-B199)</f>
        <v/>
      </c>
      <c r="K199" s="31" t="str">
        <f aca="false">IF(F199="","",IF(H199&lt;&gt;"",H199,MAX('Vade Sapması'!$D$3,G199)))</f>
        <v/>
      </c>
      <c r="L199" s="30" t="str">
        <f aca="false">IF(F199="","",K199-B199)</f>
        <v/>
      </c>
      <c r="M199" s="30" t="str">
        <f aca="false">IF(F199="","",L199-J199)</f>
        <v/>
      </c>
      <c r="N199" s="32" t="str">
        <f aca="false">IF(F199="","",IF(H199&lt;&gt;"","Kapandı",IF('Vade Sapması'!$D$3&gt;G199,"Açık · vadesi geçti","Açık · vadesi gelmedi")))</f>
        <v/>
      </c>
      <c r="O199" s="30" t="str">
        <f aca="false">IF(F199="","",IF(AND(H199="",'Vade Sapması'!$D$3&gt;G199),'Vade Sapması'!$D$3-G199,0))</f>
        <v/>
      </c>
      <c r="P199" s="33" t="str">
        <f aca="false">IF(F199="","",F199*J199)</f>
        <v/>
      </c>
      <c r="Q199" s="33" t="str">
        <f aca="false">IF(F199="","",F199*L199)</f>
        <v/>
      </c>
      <c r="R199" s="33" t="str">
        <f aca="false">IF(F199="","",IF(H199="",F199,0))</f>
        <v/>
      </c>
      <c r="S199" s="32" t="str">
        <f aca="false">IF(F199="","",IF(N(O199)=0,"",IF(O199&lt;=30,"1-30",IF(O199&lt;=60,"31-60",IF(O199&lt;=90,"61-90","90+")))))</f>
        <v/>
      </c>
      <c r="T199" s="32" t="str">
        <f aca="false">IF(F199="","",IF(E199="","Diğer",E199))</f>
        <v/>
      </c>
      <c r="U199" s="32" t="str">
        <f aca="false">IF(OR(F199="",C199=""),"",IF(COUNTIF($C$2:C199,C199)=1,MAX($U$1:U198)+1,""))</f>
        <v/>
      </c>
    </row>
    <row r="200" customFormat="false" ht="15" hidden="false" customHeight="false" outlineLevel="0" collapsed="false">
      <c r="A200" s="34"/>
      <c r="B200" s="9"/>
      <c r="C200" s="34"/>
      <c r="D200" s="34"/>
      <c r="E200" s="34"/>
      <c r="F200" s="35"/>
      <c r="G200" s="9"/>
      <c r="H200" s="9"/>
      <c r="I200" s="34"/>
      <c r="J200" s="30" t="str">
        <f aca="false">IF(F200="","",G200-B200)</f>
        <v/>
      </c>
      <c r="K200" s="31" t="str">
        <f aca="false">IF(F200="","",IF(H200&lt;&gt;"",H200,MAX('Vade Sapması'!$D$3,G200)))</f>
        <v/>
      </c>
      <c r="L200" s="30" t="str">
        <f aca="false">IF(F200="","",K200-B200)</f>
        <v/>
      </c>
      <c r="M200" s="30" t="str">
        <f aca="false">IF(F200="","",L200-J200)</f>
        <v/>
      </c>
      <c r="N200" s="32" t="str">
        <f aca="false">IF(F200="","",IF(H200&lt;&gt;"","Kapandı",IF('Vade Sapması'!$D$3&gt;G200,"Açık · vadesi geçti","Açık · vadesi gelmedi")))</f>
        <v/>
      </c>
      <c r="O200" s="30" t="str">
        <f aca="false">IF(F200="","",IF(AND(H200="",'Vade Sapması'!$D$3&gt;G200),'Vade Sapması'!$D$3-G200,0))</f>
        <v/>
      </c>
      <c r="P200" s="33" t="str">
        <f aca="false">IF(F200="","",F200*J200)</f>
        <v/>
      </c>
      <c r="Q200" s="33" t="str">
        <f aca="false">IF(F200="","",F200*L200)</f>
        <v/>
      </c>
      <c r="R200" s="33" t="str">
        <f aca="false">IF(F200="","",IF(H200="",F200,0))</f>
        <v/>
      </c>
      <c r="S200" s="32" t="str">
        <f aca="false">IF(F200="","",IF(N(O200)=0,"",IF(O200&lt;=30,"1-30",IF(O200&lt;=60,"31-60",IF(O200&lt;=90,"61-90","90+")))))</f>
        <v/>
      </c>
      <c r="T200" s="32" t="str">
        <f aca="false">IF(F200="","",IF(E200="","Diğer",E200))</f>
        <v/>
      </c>
      <c r="U200" s="32" t="str">
        <f aca="false">IF(OR(F200="",C200=""),"",IF(COUNTIF($C$2:C200,C200)=1,MAX($U$1:U199)+1,""))</f>
        <v/>
      </c>
    </row>
    <row r="201" customFormat="false" ht="15" hidden="false" customHeight="false" outlineLevel="0" collapsed="false">
      <c r="A201" s="34"/>
      <c r="B201" s="9"/>
      <c r="C201" s="34"/>
      <c r="D201" s="34"/>
      <c r="E201" s="34"/>
      <c r="F201" s="35"/>
      <c r="G201" s="9"/>
      <c r="H201" s="9"/>
      <c r="I201" s="34"/>
      <c r="J201" s="30" t="str">
        <f aca="false">IF(F201="","",G201-B201)</f>
        <v/>
      </c>
      <c r="K201" s="31" t="str">
        <f aca="false">IF(F201="","",IF(H201&lt;&gt;"",H201,MAX('Vade Sapması'!$D$3,G201)))</f>
        <v/>
      </c>
      <c r="L201" s="30" t="str">
        <f aca="false">IF(F201="","",K201-B201)</f>
        <v/>
      </c>
      <c r="M201" s="30" t="str">
        <f aca="false">IF(F201="","",L201-J201)</f>
        <v/>
      </c>
      <c r="N201" s="32" t="str">
        <f aca="false">IF(F201="","",IF(H201&lt;&gt;"","Kapandı",IF('Vade Sapması'!$D$3&gt;G201,"Açık · vadesi geçti","Açık · vadesi gelmedi")))</f>
        <v/>
      </c>
      <c r="O201" s="30" t="str">
        <f aca="false">IF(F201="","",IF(AND(H201="",'Vade Sapması'!$D$3&gt;G201),'Vade Sapması'!$D$3-G201,0))</f>
        <v/>
      </c>
      <c r="P201" s="33" t="str">
        <f aca="false">IF(F201="","",F201*J201)</f>
        <v/>
      </c>
      <c r="Q201" s="33" t="str">
        <f aca="false">IF(F201="","",F201*L201)</f>
        <v/>
      </c>
      <c r="R201" s="33" t="str">
        <f aca="false">IF(F201="","",IF(H201="",F201,0))</f>
        <v/>
      </c>
      <c r="S201" s="32" t="str">
        <f aca="false">IF(F201="","",IF(N(O201)=0,"",IF(O201&lt;=30,"1-30",IF(O201&lt;=60,"31-60",IF(O201&lt;=90,"61-90","90+")))))</f>
        <v/>
      </c>
      <c r="T201" s="32" t="str">
        <f aca="false">IF(F201="","",IF(E201="","Diğer",E201))</f>
        <v/>
      </c>
      <c r="U201" s="32" t="str">
        <f aca="false">IF(OR(F201="",C201=""),"",IF(COUNTIF($C$2:C201,C201)=1,MAX($U$1:U200)+1,""))</f>
        <v/>
      </c>
    </row>
    <row r="202" customFormat="false" ht="15" hidden="false" customHeight="false" outlineLevel="0" collapsed="false">
      <c r="A202" s="34"/>
      <c r="B202" s="9"/>
      <c r="C202" s="34"/>
      <c r="D202" s="34"/>
      <c r="E202" s="34"/>
      <c r="F202" s="35"/>
      <c r="G202" s="9"/>
      <c r="H202" s="9"/>
      <c r="I202" s="34"/>
      <c r="J202" s="30" t="str">
        <f aca="false">IF(F202="","",G202-B202)</f>
        <v/>
      </c>
      <c r="K202" s="31" t="str">
        <f aca="false">IF(F202="","",IF(H202&lt;&gt;"",H202,MAX('Vade Sapması'!$D$3,G202)))</f>
        <v/>
      </c>
      <c r="L202" s="30" t="str">
        <f aca="false">IF(F202="","",K202-B202)</f>
        <v/>
      </c>
      <c r="M202" s="30" t="str">
        <f aca="false">IF(F202="","",L202-J202)</f>
        <v/>
      </c>
      <c r="N202" s="32" t="str">
        <f aca="false">IF(F202="","",IF(H202&lt;&gt;"","Kapandı",IF('Vade Sapması'!$D$3&gt;G202,"Açık · vadesi geçti","Açık · vadesi gelmedi")))</f>
        <v/>
      </c>
      <c r="O202" s="30" t="str">
        <f aca="false">IF(F202="","",IF(AND(H202="",'Vade Sapması'!$D$3&gt;G202),'Vade Sapması'!$D$3-G202,0))</f>
        <v/>
      </c>
      <c r="P202" s="33" t="str">
        <f aca="false">IF(F202="","",F202*J202)</f>
        <v/>
      </c>
      <c r="Q202" s="33" t="str">
        <f aca="false">IF(F202="","",F202*L202)</f>
        <v/>
      </c>
      <c r="R202" s="33" t="str">
        <f aca="false">IF(F202="","",IF(H202="",F202,0))</f>
        <v/>
      </c>
      <c r="S202" s="32" t="str">
        <f aca="false">IF(F202="","",IF(N(O202)=0,"",IF(O202&lt;=30,"1-30",IF(O202&lt;=60,"31-60",IF(O202&lt;=90,"61-90","90+")))))</f>
        <v/>
      </c>
      <c r="T202" s="32" t="str">
        <f aca="false">IF(F202="","",IF(E202="","Diğer",E202))</f>
        <v/>
      </c>
      <c r="U202" s="32" t="str">
        <f aca="false">IF(OR(F202="",C202=""),"",IF(COUNTIF($C$2:C202,C202)=1,MAX($U$1:U201)+1,""))</f>
        <v/>
      </c>
    </row>
    <row r="203" customFormat="false" ht="15" hidden="false" customHeight="false" outlineLevel="0" collapsed="false">
      <c r="A203" s="34"/>
      <c r="B203" s="9"/>
      <c r="C203" s="34"/>
      <c r="D203" s="34"/>
      <c r="E203" s="34"/>
      <c r="F203" s="35"/>
      <c r="G203" s="9"/>
      <c r="H203" s="9"/>
      <c r="I203" s="34"/>
      <c r="J203" s="30" t="str">
        <f aca="false">IF(F203="","",G203-B203)</f>
        <v/>
      </c>
      <c r="K203" s="31" t="str">
        <f aca="false">IF(F203="","",IF(H203&lt;&gt;"",H203,MAX('Vade Sapması'!$D$3,G203)))</f>
        <v/>
      </c>
      <c r="L203" s="30" t="str">
        <f aca="false">IF(F203="","",K203-B203)</f>
        <v/>
      </c>
      <c r="M203" s="30" t="str">
        <f aca="false">IF(F203="","",L203-J203)</f>
        <v/>
      </c>
      <c r="N203" s="32" t="str">
        <f aca="false">IF(F203="","",IF(H203&lt;&gt;"","Kapandı",IF('Vade Sapması'!$D$3&gt;G203,"Açık · vadesi geçti","Açık · vadesi gelmedi")))</f>
        <v/>
      </c>
      <c r="O203" s="30" t="str">
        <f aca="false">IF(F203="","",IF(AND(H203="",'Vade Sapması'!$D$3&gt;G203),'Vade Sapması'!$D$3-G203,0))</f>
        <v/>
      </c>
      <c r="P203" s="33" t="str">
        <f aca="false">IF(F203="","",F203*J203)</f>
        <v/>
      </c>
      <c r="Q203" s="33" t="str">
        <f aca="false">IF(F203="","",F203*L203)</f>
        <v/>
      </c>
      <c r="R203" s="33" t="str">
        <f aca="false">IF(F203="","",IF(H203="",F203,0))</f>
        <v/>
      </c>
      <c r="S203" s="32" t="str">
        <f aca="false">IF(F203="","",IF(N(O203)=0,"",IF(O203&lt;=30,"1-30",IF(O203&lt;=60,"31-60",IF(O203&lt;=90,"61-90","90+")))))</f>
        <v/>
      </c>
      <c r="T203" s="32" t="str">
        <f aca="false">IF(F203="","",IF(E203="","Diğer",E203))</f>
        <v/>
      </c>
      <c r="U203" s="32" t="str">
        <f aca="false">IF(OR(F203="",C203=""),"",IF(COUNTIF($C$2:C203,C203)=1,MAX($U$1:U202)+1,""))</f>
        <v/>
      </c>
    </row>
    <row r="204" customFormat="false" ht="15" hidden="false" customHeight="false" outlineLevel="0" collapsed="false">
      <c r="A204" s="34"/>
      <c r="B204" s="9"/>
      <c r="C204" s="34"/>
      <c r="D204" s="34"/>
      <c r="E204" s="34"/>
      <c r="F204" s="35"/>
      <c r="G204" s="9"/>
      <c r="H204" s="9"/>
      <c r="I204" s="34"/>
      <c r="J204" s="30" t="str">
        <f aca="false">IF(F204="","",G204-B204)</f>
        <v/>
      </c>
      <c r="K204" s="31" t="str">
        <f aca="false">IF(F204="","",IF(H204&lt;&gt;"",H204,MAX('Vade Sapması'!$D$3,G204)))</f>
        <v/>
      </c>
      <c r="L204" s="30" t="str">
        <f aca="false">IF(F204="","",K204-B204)</f>
        <v/>
      </c>
      <c r="M204" s="30" t="str">
        <f aca="false">IF(F204="","",L204-J204)</f>
        <v/>
      </c>
      <c r="N204" s="32" t="str">
        <f aca="false">IF(F204="","",IF(H204&lt;&gt;"","Kapandı",IF('Vade Sapması'!$D$3&gt;G204,"Açık · vadesi geçti","Açık · vadesi gelmedi")))</f>
        <v/>
      </c>
      <c r="O204" s="30" t="str">
        <f aca="false">IF(F204="","",IF(AND(H204="",'Vade Sapması'!$D$3&gt;G204),'Vade Sapması'!$D$3-G204,0))</f>
        <v/>
      </c>
      <c r="P204" s="33" t="str">
        <f aca="false">IF(F204="","",F204*J204)</f>
        <v/>
      </c>
      <c r="Q204" s="33" t="str">
        <f aca="false">IF(F204="","",F204*L204)</f>
        <v/>
      </c>
      <c r="R204" s="33" t="str">
        <f aca="false">IF(F204="","",IF(H204="",F204,0))</f>
        <v/>
      </c>
      <c r="S204" s="32" t="str">
        <f aca="false">IF(F204="","",IF(N(O204)=0,"",IF(O204&lt;=30,"1-30",IF(O204&lt;=60,"31-60",IF(O204&lt;=90,"61-90","90+")))))</f>
        <v/>
      </c>
      <c r="T204" s="32" t="str">
        <f aca="false">IF(F204="","",IF(E204="","Diğer",E204))</f>
        <v/>
      </c>
      <c r="U204" s="32" t="str">
        <f aca="false">IF(OR(F204="",C204=""),"",IF(COUNTIF($C$2:C204,C204)=1,MAX($U$1:U203)+1,""))</f>
        <v/>
      </c>
    </row>
    <row r="205" customFormat="false" ht="15" hidden="false" customHeight="false" outlineLevel="0" collapsed="false">
      <c r="A205" s="34"/>
      <c r="B205" s="9"/>
      <c r="C205" s="34"/>
      <c r="D205" s="34"/>
      <c r="E205" s="34"/>
      <c r="F205" s="35"/>
      <c r="G205" s="9"/>
      <c r="H205" s="9"/>
      <c r="I205" s="34"/>
      <c r="J205" s="30" t="str">
        <f aca="false">IF(F205="","",G205-B205)</f>
        <v/>
      </c>
      <c r="K205" s="31" t="str">
        <f aca="false">IF(F205="","",IF(H205&lt;&gt;"",H205,MAX('Vade Sapması'!$D$3,G205)))</f>
        <v/>
      </c>
      <c r="L205" s="30" t="str">
        <f aca="false">IF(F205="","",K205-B205)</f>
        <v/>
      </c>
      <c r="M205" s="30" t="str">
        <f aca="false">IF(F205="","",L205-J205)</f>
        <v/>
      </c>
      <c r="N205" s="32" t="str">
        <f aca="false">IF(F205="","",IF(H205&lt;&gt;"","Kapandı",IF('Vade Sapması'!$D$3&gt;G205,"Açık · vadesi geçti","Açık · vadesi gelmedi")))</f>
        <v/>
      </c>
      <c r="O205" s="30" t="str">
        <f aca="false">IF(F205="","",IF(AND(H205="",'Vade Sapması'!$D$3&gt;G205),'Vade Sapması'!$D$3-G205,0))</f>
        <v/>
      </c>
      <c r="P205" s="33" t="str">
        <f aca="false">IF(F205="","",F205*J205)</f>
        <v/>
      </c>
      <c r="Q205" s="33" t="str">
        <f aca="false">IF(F205="","",F205*L205)</f>
        <v/>
      </c>
      <c r="R205" s="33" t="str">
        <f aca="false">IF(F205="","",IF(H205="",F205,0))</f>
        <v/>
      </c>
      <c r="S205" s="32" t="str">
        <f aca="false">IF(F205="","",IF(N(O205)=0,"",IF(O205&lt;=30,"1-30",IF(O205&lt;=60,"31-60",IF(O205&lt;=90,"61-90","90+")))))</f>
        <v/>
      </c>
      <c r="T205" s="32" t="str">
        <f aca="false">IF(F205="","",IF(E205="","Diğer",E205))</f>
        <v/>
      </c>
      <c r="U205" s="32" t="str">
        <f aca="false">IF(OR(F205="",C205=""),"",IF(COUNTIF($C$2:C205,C205)=1,MAX($U$1:U204)+1,""))</f>
        <v/>
      </c>
    </row>
    <row r="206" customFormat="false" ht="15" hidden="false" customHeight="false" outlineLevel="0" collapsed="false">
      <c r="A206" s="34"/>
      <c r="B206" s="9"/>
      <c r="C206" s="34"/>
      <c r="D206" s="34"/>
      <c r="E206" s="34"/>
      <c r="F206" s="35"/>
      <c r="G206" s="9"/>
      <c r="H206" s="9"/>
      <c r="I206" s="34"/>
      <c r="J206" s="30" t="str">
        <f aca="false">IF(F206="","",G206-B206)</f>
        <v/>
      </c>
      <c r="K206" s="31" t="str">
        <f aca="false">IF(F206="","",IF(H206&lt;&gt;"",H206,MAX('Vade Sapması'!$D$3,G206)))</f>
        <v/>
      </c>
      <c r="L206" s="30" t="str">
        <f aca="false">IF(F206="","",K206-B206)</f>
        <v/>
      </c>
      <c r="M206" s="30" t="str">
        <f aca="false">IF(F206="","",L206-J206)</f>
        <v/>
      </c>
      <c r="N206" s="32" t="str">
        <f aca="false">IF(F206="","",IF(H206&lt;&gt;"","Kapandı",IF('Vade Sapması'!$D$3&gt;G206,"Açık · vadesi geçti","Açık · vadesi gelmedi")))</f>
        <v/>
      </c>
      <c r="O206" s="30" t="str">
        <f aca="false">IF(F206="","",IF(AND(H206="",'Vade Sapması'!$D$3&gt;G206),'Vade Sapması'!$D$3-G206,0))</f>
        <v/>
      </c>
      <c r="P206" s="33" t="str">
        <f aca="false">IF(F206="","",F206*J206)</f>
        <v/>
      </c>
      <c r="Q206" s="33" t="str">
        <f aca="false">IF(F206="","",F206*L206)</f>
        <v/>
      </c>
      <c r="R206" s="33" t="str">
        <f aca="false">IF(F206="","",IF(H206="",F206,0))</f>
        <v/>
      </c>
      <c r="S206" s="32" t="str">
        <f aca="false">IF(F206="","",IF(N(O206)=0,"",IF(O206&lt;=30,"1-30",IF(O206&lt;=60,"31-60",IF(O206&lt;=90,"61-90","90+")))))</f>
        <v/>
      </c>
      <c r="T206" s="32" t="str">
        <f aca="false">IF(F206="","",IF(E206="","Diğer",E206))</f>
        <v/>
      </c>
      <c r="U206" s="32" t="str">
        <f aca="false">IF(OR(F206="",C206=""),"",IF(COUNTIF($C$2:C206,C206)=1,MAX($U$1:U205)+1,""))</f>
        <v/>
      </c>
    </row>
    <row r="207" customFormat="false" ht="15" hidden="false" customHeight="false" outlineLevel="0" collapsed="false">
      <c r="A207" s="34"/>
      <c r="B207" s="9"/>
      <c r="C207" s="34"/>
      <c r="D207" s="34"/>
      <c r="E207" s="34"/>
      <c r="F207" s="35"/>
      <c r="G207" s="9"/>
      <c r="H207" s="9"/>
      <c r="I207" s="34"/>
      <c r="J207" s="30" t="str">
        <f aca="false">IF(F207="","",G207-B207)</f>
        <v/>
      </c>
      <c r="K207" s="31" t="str">
        <f aca="false">IF(F207="","",IF(H207&lt;&gt;"",H207,MAX('Vade Sapması'!$D$3,G207)))</f>
        <v/>
      </c>
      <c r="L207" s="30" t="str">
        <f aca="false">IF(F207="","",K207-B207)</f>
        <v/>
      </c>
      <c r="M207" s="30" t="str">
        <f aca="false">IF(F207="","",L207-J207)</f>
        <v/>
      </c>
      <c r="N207" s="32" t="str">
        <f aca="false">IF(F207="","",IF(H207&lt;&gt;"","Kapandı",IF('Vade Sapması'!$D$3&gt;G207,"Açık · vadesi geçti","Açık · vadesi gelmedi")))</f>
        <v/>
      </c>
      <c r="O207" s="30" t="str">
        <f aca="false">IF(F207="","",IF(AND(H207="",'Vade Sapması'!$D$3&gt;G207),'Vade Sapması'!$D$3-G207,0))</f>
        <v/>
      </c>
      <c r="P207" s="33" t="str">
        <f aca="false">IF(F207="","",F207*J207)</f>
        <v/>
      </c>
      <c r="Q207" s="33" t="str">
        <f aca="false">IF(F207="","",F207*L207)</f>
        <v/>
      </c>
      <c r="R207" s="33" t="str">
        <f aca="false">IF(F207="","",IF(H207="",F207,0))</f>
        <v/>
      </c>
      <c r="S207" s="32" t="str">
        <f aca="false">IF(F207="","",IF(N(O207)=0,"",IF(O207&lt;=30,"1-30",IF(O207&lt;=60,"31-60",IF(O207&lt;=90,"61-90","90+")))))</f>
        <v/>
      </c>
      <c r="T207" s="32" t="str">
        <f aca="false">IF(F207="","",IF(E207="","Diğer",E207))</f>
        <v/>
      </c>
      <c r="U207" s="32" t="str">
        <f aca="false">IF(OR(F207="",C207=""),"",IF(COUNTIF($C$2:C207,C207)=1,MAX($U$1:U206)+1,""))</f>
        <v/>
      </c>
    </row>
    <row r="208" customFormat="false" ht="15" hidden="false" customHeight="false" outlineLevel="0" collapsed="false">
      <c r="A208" s="34"/>
      <c r="B208" s="9"/>
      <c r="C208" s="34"/>
      <c r="D208" s="34"/>
      <c r="E208" s="34"/>
      <c r="F208" s="35"/>
      <c r="G208" s="9"/>
      <c r="H208" s="9"/>
      <c r="I208" s="34"/>
      <c r="J208" s="30" t="str">
        <f aca="false">IF(F208="","",G208-B208)</f>
        <v/>
      </c>
      <c r="K208" s="31" t="str">
        <f aca="false">IF(F208="","",IF(H208&lt;&gt;"",H208,MAX('Vade Sapması'!$D$3,G208)))</f>
        <v/>
      </c>
      <c r="L208" s="30" t="str">
        <f aca="false">IF(F208="","",K208-B208)</f>
        <v/>
      </c>
      <c r="M208" s="30" t="str">
        <f aca="false">IF(F208="","",L208-J208)</f>
        <v/>
      </c>
      <c r="N208" s="32" t="str">
        <f aca="false">IF(F208="","",IF(H208&lt;&gt;"","Kapandı",IF('Vade Sapması'!$D$3&gt;G208,"Açık · vadesi geçti","Açık · vadesi gelmedi")))</f>
        <v/>
      </c>
      <c r="O208" s="30" t="str">
        <f aca="false">IF(F208="","",IF(AND(H208="",'Vade Sapması'!$D$3&gt;G208),'Vade Sapması'!$D$3-G208,0))</f>
        <v/>
      </c>
      <c r="P208" s="33" t="str">
        <f aca="false">IF(F208="","",F208*J208)</f>
        <v/>
      </c>
      <c r="Q208" s="33" t="str">
        <f aca="false">IF(F208="","",F208*L208)</f>
        <v/>
      </c>
      <c r="R208" s="33" t="str">
        <f aca="false">IF(F208="","",IF(H208="",F208,0))</f>
        <v/>
      </c>
      <c r="S208" s="32" t="str">
        <f aca="false">IF(F208="","",IF(N(O208)=0,"",IF(O208&lt;=30,"1-30",IF(O208&lt;=60,"31-60",IF(O208&lt;=90,"61-90","90+")))))</f>
        <v/>
      </c>
      <c r="T208" s="32" t="str">
        <f aca="false">IF(F208="","",IF(E208="","Diğer",E208))</f>
        <v/>
      </c>
      <c r="U208" s="32" t="str">
        <f aca="false">IF(OR(F208="",C208=""),"",IF(COUNTIF($C$2:C208,C208)=1,MAX($U$1:U207)+1,""))</f>
        <v/>
      </c>
    </row>
    <row r="209" customFormat="false" ht="15" hidden="false" customHeight="false" outlineLevel="0" collapsed="false">
      <c r="A209" s="34"/>
      <c r="B209" s="9"/>
      <c r="C209" s="34"/>
      <c r="D209" s="34"/>
      <c r="E209" s="34"/>
      <c r="F209" s="35"/>
      <c r="G209" s="9"/>
      <c r="H209" s="9"/>
      <c r="I209" s="34"/>
      <c r="J209" s="30" t="str">
        <f aca="false">IF(F209="","",G209-B209)</f>
        <v/>
      </c>
      <c r="K209" s="31" t="str">
        <f aca="false">IF(F209="","",IF(H209&lt;&gt;"",H209,MAX('Vade Sapması'!$D$3,G209)))</f>
        <v/>
      </c>
      <c r="L209" s="30" t="str">
        <f aca="false">IF(F209="","",K209-B209)</f>
        <v/>
      </c>
      <c r="M209" s="30" t="str">
        <f aca="false">IF(F209="","",L209-J209)</f>
        <v/>
      </c>
      <c r="N209" s="32" t="str">
        <f aca="false">IF(F209="","",IF(H209&lt;&gt;"","Kapandı",IF('Vade Sapması'!$D$3&gt;G209,"Açık · vadesi geçti","Açık · vadesi gelmedi")))</f>
        <v/>
      </c>
      <c r="O209" s="30" t="str">
        <f aca="false">IF(F209="","",IF(AND(H209="",'Vade Sapması'!$D$3&gt;G209),'Vade Sapması'!$D$3-G209,0))</f>
        <v/>
      </c>
      <c r="P209" s="33" t="str">
        <f aca="false">IF(F209="","",F209*J209)</f>
        <v/>
      </c>
      <c r="Q209" s="33" t="str">
        <f aca="false">IF(F209="","",F209*L209)</f>
        <v/>
      </c>
      <c r="R209" s="33" t="str">
        <f aca="false">IF(F209="","",IF(H209="",F209,0))</f>
        <v/>
      </c>
      <c r="S209" s="32" t="str">
        <f aca="false">IF(F209="","",IF(N(O209)=0,"",IF(O209&lt;=30,"1-30",IF(O209&lt;=60,"31-60",IF(O209&lt;=90,"61-90","90+")))))</f>
        <v/>
      </c>
      <c r="T209" s="32" t="str">
        <f aca="false">IF(F209="","",IF(E209="","Diğer",E209))</f>
        <v/>
      </c>
      <c r="U209" s="32" t="str">
        <f aca="false">IF(OR(F209="",C209=""),"",IF(COUNTIF($C$2:C209,C209)=1,MAX($U$1:U208)+1,""))</f>
        <v/>
      </c>
    </row>
    <row r="210" customFormat="false" ht="15" hidden="false" customHeight="false" outlineLevel="0" collapsed="false">
      <c r="A210" s="34"/>
      <c r="B210" s="9"/>
      <c r="C210" s="34"/>
      <c r="D210" s="34"/>
      <c r="E210" s="34"/>
      <c r="F210" s="35"/>
      <c r="G210" s="9"/>
      <c r="H210" s="9"/>
      <c r="I210" s="34"/>
      <c r="J210" s="30" t="str">
        <f aca="false">IF(F210="","",G210-B210)</f>
        <v/>
      </c>
      <c r="K210" s="31" t="str">
        <f aca="false">IF(F210="","",IF(H210&lt;&gt;"",H210,MAX('Vade Sapması'!$D$3,G210)))</f>
        <v/>
      </c>
      <c r="L210" s="30" t="str">
        <f aca="false">IF(F210="","",K210-B210)</f>
        <v/>
      </c>
      <c r="M210" s="30" t="str">
        <f aca="false">IF(F210="","",L210-J210)</f>
        <v/>
      </c>
      <c r="N210" s="32" t="str">
        <f aca="false">IF(F210="","",IF(H210&lt;&gt;"","Kapandı",IF('Vade Sapması'!$D$3&gt;G210,"Açık · vadesi geçti","Açık · vadesi gelmedi")))</f>
        <v/>
      </c>
      <c r="O210" s="30" t="str">
        <f aca="false">IF(F210="","",IF(AND(H210="",'Vade Sapması'!$D$3&gt;G210),'Vade Sapması'!$D$3-G210,0))</f>
        <v/>
      </c>
      <c r="P210" s="33" t="str">
        <f aca="false">IF(F210="","",F210*J210)</f>
        <v/>
      </c>
      <c r="Q210" s="33" t="str">
        <f aca="false">IF(F210="","",F210*L210)</f>
        <v/>
      </c>
      <c r="R210" s="33" t="str">
        <f aca="false">IF(F210="","",IF(H210="",F210,0))</f>
        <v/>
      </c>
      <c r="S210" s="32" t="str">
        <f aca="false">IF(F210="","",IF(N(O210)=0,"",IF(O210&lt;=30,"1-30",IF(O210&lt;=60,"31-60",IF(O210&lt;=90,"61-90","90+")))))</f>
        <v/>
      </c>
      <c r="T210" s="32" t="str">
        <f aca="false">IF(F210="","",IF(E210="","Diğer",E210))</f>
        <v/>
      </c>
      <c r="U210" s="32" t="str">
        <f aca="false">IF(OR(F210="",C210=""),"",IF(COUNTIF($C$2:C210,C210)=1,MAX($U$1:U209)+1,""))</f>
        <v/>
      </c>
    </row>
    <row r="211" customFormat="false" ht="15" hidden="false" customHeight="false" outlineLevel="0" collapsed="false">
      <c r="A211" s="34"/>
      <c r="B211" s="9"/>
      <c r="C211" s="34"/>
      <c r="D211" s="34"/>
      <c r="E211" s="34"/>
      <c r="F211" s="35"/>
      <c r="G211" s="9"/>
      <c r="H211" s="9"/>
      <c r="I211" s="34"/>
      <c r="J211" s="30" t="str">
        <f aca="false">IF(F211="","",G211-B211)</f>
        <v/>
      </c>
      <c r="K211" s="31" t="str">
        <f aca="false">IF(F211="","",IF(H211&lt;&gt;"",H211,MAX('Vade Sapması'!$D$3,G211)))</f>
        <v/>
      </c>
      <c r="L211" s="30" t="str">
        <f aca="false">IF(F211="","",K211-B211)</f>
        <v/>
      </c>
      <c r="M211" s="30" t="str">
        <f aca="false">IF(F211="","",L211-J211)</f>
        <v/>
      </c>
      <c r="N211" s="32" t="str">
        <f aca="false">IF(F211="","",IF(H211&lt;&gt;"","Kapandı",IF('Vade Sapması'!$D$3&gt;G211,"Açık · vadesi geçti","Açık · vadesi gelmedi")))</f>
        <v/>
      </c>
      <c r="O211" s="30" t="str">
        <f aca="false">IF(F211="","",IF(AND(H211="",'Vade Sapması'!$D$3&gt;G211),'Vade Sapması'!$D$3-G211,0))</f>
        <v/>
      </c>
      <c r="P211" s="33" t="str">
        <f aca="false">IF(F211="","",F211*J211)</f>
        <v/>
      </c>
      <c r="Q211" s="33" t="str">
        <f aca="false">IF(F211="","",F211*L211)</f>
        <v/>
      </c>
      <c r="R211" s="33" t="str">
        <f aca="false">IF(F211="","",IF(H211="",F211,0))</f>
        <v/>
      </c>
      <c r="S211" s="32" t="str">
        <f aca="false">IF(F211="","",IF(N(O211)=0,"",IF(O211&lt;=30,"1-30",IF(O211&lt;=60,"31-60",IF(O211&lt;=90,"61-90","90+")))))</f>
        <v/>
      </c>
      <c r="T211" s="32" t="str">
        <f aca="false">IF(F211="","",IF(E211="","Diğer",E211))</f>
        <v/>
      </c>
      <c r="U211" s="32" t="str">
        <f aca="false">IF(OR(F211="",C211=""),"",IF(COUNTIF($C$2:C211,C211)=1,MAX($U$1:U210)+1,""))</f>
        <v/>
      </c>
    </row>
    <row r="212" customFormat="false" ht="15" hidden="false" customHeight="false" outlineLevel="0" collapsed="false">
      <c r="A212" s="34"/>
      <c r="B212" s="9"/>
      <c r="C212" s="34"/>
      <c r="D212" s="34"/>
      <c r="E212" s="34"/>
      <c r="F212" s="35"/>
      <c r="G212" s="9"/>
      <c r="H212" s="9"/>
      <c r="I212" s="34"/>
      <c r="J212" s="30" t="str">
        <f aca="false">IF(F212="","",G212-B212)</f>
        <v/>
      </c>
      <c r="K212" s="31" t="str">
        <f aca="false">IF(F212="","",IF(H212&lt;&gt;"",H212,MAX('Vade Sapması'!$D$3,G212)))</f>
        <v/>
      </c>
      <c r="L212" s="30" t="str">
        <f aca="false">IF(F212="","",K212-B212)</f>
        <v/>
      </c>
      <c r="M212" s="30" t="str">
        <f aca="false">IF(F212="","",L212-J212)</f>
        <v/>
      </c>
      <c r="N212" s="32" t="str">
        <f aca="false">IF(F212="","",IF(H212&lt;&gt;"","Kapandı",IF('Vade Sapması'!$D$3&gt;G212,"Açık · vadesi geçti","Açık · vadesi gelmedi")))</f>
        <v/>
      </c>
      <c r="O212" s="30" t="str">
        <f aca="false">IF(F212="","",IF(AND(H212="",'Vade Sapması'!$D$3&gt;G212),'Vade Sapması'!$D$3-G212,0))</f>
        <v/>
      </c>
      <c r="P212" s="33" t="str">
        <f aca="false">IF(F212="","",F212*J212)</f>
        <v/>
      </c>
      <c r="Q212" s="33" t="str">
        <f aca="false">IF(F212="","",F212*L212)</f>
        <v/>
      </c>
      <c r="R212" s="33" t="str">
        <f aca="false">IF(F212="","",IF(H212="",F212,0))</f>
        <v/>
      </c>
      <c r="S212" s="32" t="str">
        <f aca="false">IF(F212="","",IF(N(O212)=0,"",IF(O212&lt;=30,"1-30",IF(O212&lt;=60,"31-60",IF(O212&lt;=90,"61-90","90+")))))</f>
        <v/>
      </c>
      <c r="T212" s="32" t="str">
        <f aca="false">IF(F212="","",IF(E212="","Diğer",E212))</f>
        <v/>
      </c>
      <c r="U212" s="32" t="str">
        <f aca="false">IF(OR(F212="",C212=""),"",IF(COUNTIF($C$2:C212,C212)=1,MAX($U$1:U211)+1,""))</f>
        <v/>
      </c>
    </row>
    <row r="213" customFormat="false" ht="15" hidden="false" customHeight="false" outlineLevel="0" collapsed="false">
      <c r="A213" s="34"/>
      <c r="B213" s="9"/>
      <c r="C213" s="34"/>
      <c r="D213" s="34"/>
      <c r="E213" s="34"/>
      <c r="F213" s="35"/>
      <c r="G213" s="9"/>
      <c r="H213" s="9"/>
      <c r="I213" s="34"/>
      <c r="J213" s="30" t="str">
        <f aca="false">IF(F213="","",G213-B213)</f>
        <v/>
      </c>
      <c r="K213" s="31" t="str">
        <f aca="false">IF(F213="","",IF(H213&lt;&gt;"",H213,MAX('Vade Sapması'!$D$3,G213)))</f>
        <v/>
      </c>
      <c r="L213" s="30" t="str">
        <f aca="false">IF(F213="","",K213-B213)</f>
        <v/>
      </c>
      <c r="M213" s="30" t="str">
        <f aca="false">IF(F213="","",L213-J213)</f>
        <v/>
      </c>
      <c r="N213" s="32" t="str">
        <f aca="false">IF(F213="","",IF(H213&lt;&gt;"","Kapandı",IF('Vade Sapması'!$D$3&gt;G213,"Açık · vadesi geçti","Açık · vadesi gelmedi")))</f>
        <v/>
      </c>
      <c r="O213" s="30" t="str">
        <f aca="false">IF(F213="","",IF(AND(H213="",'Vade Sapması'!$D$3&gt;G213),'Vade Sapması'!$D$3-G213,0))</f>
        <v/>
      </c>
      <c r="P213" s="33" t="str">
        <f aca="false">IF(F213="","",F213*J213)</f>
        <v/>
      </c>
      <c r="Q213" s="33" t="str">
        <f aca="false">IF(F213="","",F213*L213)</f>
        <v/>
      </c>
      <c r="R213" s="33" t="str">
        <f aca="false">IF(F213="","",IF(H213="",F213,0))</f>
        <v/>
      </c>
      <c r="S213" s="32" t="str">
        <f aca="false">IF(F213="","",IF(N(O213)=0,"",IF(O213&lt;=30,"1-30",IF(O213&lt;=60,"31-60",IF(O213&lt;=90,"61-90","90+")))))</f>
        <v/>
      </c>
      <c r="T213" s="32" t="str">
        <f aca="false">IF(F213="","",IF(E213="","Diğer",E213))</f>
        <v/>
      </c>
      <c r="U213" s="32" t="str">
        <f aca="false">IF(OR(F213="",C213=""),"",IF(COUNTIF($C$2:C213,C213)=1,MAX($U$1:U212)+1,""))</f>
        <v/>
      </c>
    </row>
    <row r="214" customFormat="false" ht="15" hidden="false" customHeight="false" outlineLevel="0" collapsed="false">
      <c r="A214" s="34"/>
      <c r="B214" s="9"/>
      <c r="C214" s="34"/>
      <c r="D214" s="34"/>
      <c r="E214" s="34"/>
      <c r="F214" s="35"/>
      <c r="G214" s="9"/>
      <c r="H214" s="9"/>
      <c r="I214" s="34"/>
      <c r="J214" s="30" t="str">
        <f aca="false">IF(F214="","",G214-B214)</f>
        <v/>
      </c>
      <c r="K214" s="31" t="str">
        <f aca="false">IF(F214="","",IF(H214&lt;&gt;"",H214,MAX('Vade Sapması'!$D$3,G214)))</f>
        <v/>
      </c>
      <c r="L214" s="30" t="str">
        <f aca="false">IF(F214="","",K214-B214)</f>
        <v/>
      </c>
      <c r="M214" s="30" t="str">
        <f aca="false">IF(F214="","",L214-J214)</f>
        <v/>
      </c>
      <c r="N214" s="32" t="str">
        <f aca="false">IF(F214="","",IF(H214&lt;&gt;"","Kapandı",IF('Vade Sapması'!$D$3&gt;G214,"Açık · vadesi geçti","Açık · vadesi gelmedi")))</f>
        <v/>
      </c>
      <c r="O214" s="30" t="str">
        <f aca="false">IF(F214="","",IF(AND(H214="",'Vade Sapması'!$D$3&gt;G214),'Vade Sapması'!$D$3-G214,0))</f>
        <v/>
      </c>
      <c r="P214" s="33" t="str">
        <f aca="false">IF(F214="","",F214*J214)</f>
        <v/>
      </c>
      <c r="Q214" s="33" t="str">
        <f aca="false">IF(F214="","",F214*L214)</f>
        <v/>
      </c>
      <c r="R214" s="33" t="str">
        <f aca="false">IF(F214="","",IF(H214="",F214,0))</f>
        <v/>
      </c>
      <c r="S214" s="32" t="str">
        <f aca="false">IF(F214="","",IF(N(O214)=0,"",IF(O214&lt;=30,"1-30",IF(O214&lt;=60,"31-60",IF(O214&lt;=90,"61-90","90+")))))</f>
        <v/>
      </c>
      <c r="T214" s="32" t="str">
        <f aca="false">IF(F214="","",IF(E214="","Diğer",E214))</f>
        <v/>
      </c>
      <c r="U214" s="32" t="str">
        <f aca="false">IF(OR(F214="",C214=""),"",IF(COUNTIF($C$2:C214,C214)=1,MAX($U$1:U213)+1,""))</f>
        <v/>
      </c>
    </row>
    <row r="215" customFormat="false" ht="15" hidden="false" customHeight="false" outlineLevel="0" collapsed="false">
      <c r="A215" s="34"/>
      <c r="B215" s="9"/>
      <c r="C215" s="34"/>
      <c r="D215" s="34"/>
      <c r="E215" s="34"/>
      <c r="F215" s="35"/>
      <c r="G215" s="9"/>
      <c r="H215" s="9"/>
      <c r="I215" s="34"/>
      <c r="J215" s="30" t="str">
        <f aca="false">IF(F215="","",G215-B215)</f>
        <v/>
      </c>
      <c r="K215" s="31" t="str">
        <f aca="false">IF(F215="","",IF(H215&lt;&gt;"",H215,MAX('Vade Sapması'!$D$3,G215)))</f>
        <v/>
      </c>
      <c r="L215" s="30" t="str">
        <f aca="false">IF(F215="","",K215-B215)</f>
        <v/>
      </c>
      <c r="M215" s="30" t="str">
        <f aca="false">IF(F215="","",L215-J215)</f>
        <v/>
      </c>
      <c r="N215" s="32" t="str">
        <f aca="false">IF(F215="","",IF(H215&lt;&gt;"","Kapandı",IF('Vade Sapması'!$D$3&gt;G215,"Açık · vadesi geçti","Açık · vadesi gelmedi")))</f>
        <v/>
      </c>
      <c r="O215" s="30" t="str">
        <f aca="false">IF(F215="","",IF(AND(H215="",'Vade Sapması'!$D$3&gt;G215),'Vade Sapması'!$D$3-G215,0))</f>
        <v/>
      </c>
      <c r="P215" s="33" t="str">
        <f aca="false">IF(F215="","",F215*J215)</f>
        <v/>
      </c>
      <c r="Q215" s="33" t="str">
        <f aca="false">IF(F215="","",F215*L215)</f>
        <v/>
      </c>
      <c r="R215" s="33" t="str">
        <f aca="false">IF(F215="","",IF(H215="",F215,0))</f>
        <v/>
      </c>
      <c r="S215" s="32" t="str">
        <f aca="false">IF(F215="","",IF(N(O215)=0,"",IF(O215&lt;=30,"1-30",IF(O215&lt;=60,"31-60",IF(O215&lt;=90,"61-90","90+")))))</f>
        <v/>
      </c>
      <c r="T215" s="32" t="str">
        <f aca="false">IF(F215="","",IF(E215="","Diğer",E215))</f>
        <v/>
      </c>
      <c r="U215" s="32" t="str">
        <f aca="false">IF(OR(F215="",C215=""),"",IF(COUNTIF($C$2:C215,C215)=1,MAX($U$1:U214)+1,""))</f>
        <v/>
      </c>
    </row>
    <row r="216" customFormat="false" ht="15" hidden="false" customHeight="false" outlineLevel="0" collapsed="false">
      <c r="A216" s="34"/>
      <c r="B216" s="9"/>
      <c r="C216" s="34"/>
      <c r="D216" s="34"/>
      <c r="E216" s="34"/>
      <c r="F216" s="35"/>
      <c r="G216" s="9"/>
      <c r="H216" s="9"/>
      <c r="I216" s="34"/>
      <c r="J216" s="30" t="str">
        <f aca="false">IF(F216="","",G216-B216)</f>
        <v/>
      </c>
      <c r="K216" s="31" t="str">
        <f aca="false">IF(F216="","",IF(H216&lt;&gt;"",H216,MAX('Vade Sapması'!$D$3,G216)))</f>
        <v/>
      </c>
      <c r="L216" s="30" t="str">
        <f aca="false">IF(F216="","",K216-B216)</f>
        <v/>
      </c>
      <c r="M216" s="30" t="str">
        <f aca="false">IF(F216="","",L216-J216)</f>
        <v/>
      </c>
      <c r="N216" s="32" t="str">
        <f aca="false">IF(F216="","",IF(H216&lt;&gt;"","Kapandı",IF('Vade Sapması'!$D$3&gt;G216,"Açık · vadesi geçti","Açık · vadesi gelmedi")))</f>
        <v/>
      </c>
      <c r="O216" s="30" t="str">
        <f aca="false">IF(F216="","",IF(AND(H216="",'Vade Sapması'!$D$3&gt;G216),'Vade Sapması'!$D$3-G216,0))</f>
        <v/>
      </c>
      <c r="P216" s="33" t="str">
        <f aca="false">IF(F216="","",F216*J216)</f>
        <v/>
      </c>
      <c r="Q216" s="33" t="str">
        <f aca="false">IF(F216="","",F216*L216)</f>
        <v/>
      </c>
      <c r="R216" s="33" t="str">
        <f aca="false">IF(F216="","",IF(H216="",F216,0))</f>
        <v/>
      </c>
      <c r="S216" s="32" t="str">
        <f aca="false">IF(F216="","",IF(N(O216)=0,"",IF(O216&lt;=30,"1-30",IF(O216&lt;=60,"31-60",IF(O216&lt;=90,"61-90","90+")))))</f>
        <v/>
      </c>
      <c r="T216" s="32" t="str">
        <f aca="false">IF(F216="","",IF(E216="","Diğer",E216))</f>
        <v/>
      </c>
      <c r="U216" s="32" t="str">
        <f aca="false">IF(OR(F216="",C216=""),"",IF(COUNTIF($C$2:C216,C216)=1,MAX($U$1:U215)+1,""))</f>
        <v/>
      </c>
    </row>
    <row r="217" customFormat="false" ht="15" hidden="false" customHeight="false" outlineLevel="0" collapsed="false">
      <c r="A217" s="34"/>
      <c r="B217" s="9"/>
      <c r="C217" s="34"/>
      <c r="D217" s="34"/>
      <c r="E217" s="34"/>
      <c r="F217" s="35"/>
      <c r="G217" s="9"/>
      <c r="H217" s="9"/>
      <c r="I217" s="34"/>
      <c r="J217" s="30" t="str">
        <f aca="false">IF(F217="","",G217-B217)</f>
        <v/>
      </c>
      <c r="K217" s="31" t="str">
        <f aca="false">IF(F217="","",IF(H217&lt;&gt;"",H217,MAX('Vade Sapması'!$D$3,G217)))</f>
        <v/>
      </c>
      <c r="L217" s="30" t="str">
        <f aca="false">IF(F217="","",K217-B217)</f>
        <v/>
      </c>
      <c r="M217" s="30" t="str">
        <f aca="false">IF(F217="","",L217-J217)</f>
        <v/>
      </c>
      <c r="N217" s="32" t="str">
        <f aca="false">IF(F217="","",IF(H217&lt;&gt;"","Kapandı",IF('Vade Sapması'!$D$3&gt;G217,"Açık · vadesi geçti","Açık · vadesi gelmedi")))</f>
        <v/>
      </c>
      <c r="O217" s="30" t="str">
        <f aca="false">IF(F217="","",IF(AND(H217="",'Vade Sapması'!$D$3&gt;G217),'Vade Sapması'!$D$3-G217,0))</f>
        <v/>
      </c>
      <c r="P217" s="33" t="str">
        <f aca="false">IF(F217="","",F217*J217)</f>
        <v/>
      </c>
      <c r="Q217" s="33" t="str">
        <f aca="false">IF(F217="","",F217*L217)</f>
        <v/>
      </c>
      <c r="R217" s="33" t="str">
        <f aca="false">IF(F217="","",IF(H217="",F217,0))</f>
        <v/>
      </c>
      <c r="S217" s="32" t="str">
        <f aca="false">IF(F217="","",IF(N(O217)=0,"",IF(O217&lt;=30,"1-30",IF(O217&lt;=60,"31-60",IF(O217&lt;=90,"61-90","90+")))))</f>
        <v/>
      </c>
      <c r="T217" s="32" t="str">
        <f aca="false">IF(F217="","",IF(E217="","Diğer",E217))</f>
        <v/>
      </c>
      <c r="U217" s="32" t="str">
        <f aca="false">IF(OR(F217="",C217=""),"",IF(COUNTIF($C$2:C217,C217)=1,MAX($U$1:U216)+1,""))</f>
        <v/>
      </c>
    </row>
    <row r="218" customFormat="false" ht="15" hidden="false" customHeight="false" outlineLevel="0" collapsed="false">
      <c r="A218" s="34"/>
      <c r="B218" s="9"/>
      <c r="C218" s="34"/>
      <c r="D218" s="34"/>
      <c r="E218" s="34"/>
      <c r="F218" s="35"/>
      <c r="G218" s="9"/>
      <c r="H218" s="9"/>
      <c r="I218" s="34"/>
      <c r="J218" s="30" t="str">
        <f aca="false">IF(F218="","",G218-B218)</f>
        <v/>
      </c>
      <c r="K218" s="31" t="str">
        <f aca="false">IF(F218="","",IF(H218&lt;&gt;"",H218,MAX('Vade Sapması'!$D$3,G218)))</f>
        <v/>
      </c>
      <c r="L218" s="30" t="str">
        <f aca="false">IF(F218="","",K218-B218)</f>
        <v/>
      </c>
      <c r="M218" s="30" t="str">
        <f aca="false">IF(F218="","",L218-J218)</f>
        <v/>
      </c>
      <c r="N218" s="32" t="str">
        <f aca="false">IF(F218="","",IF(H218&lt;&gt;"","Kapandı",IF('Vade Sapması'!$D$3&gt;G218,"Açık · vadesi geçti","Açık · vadesi gelmedi")))</f>
        <v/>
      </c>
      <c r="O218" s="30" t="str">
        <f aca="false">IF(F218="","",IF(AND(H218="",'Vade Sapması'!$D$3&gt;G218),'Vade Sapması'!$D$3-G218,0))</f>
        <v/>
      </c>
      <c r="P218" s="33" t="str">
        <f aca="false">IF(F218="","",F218*J218)</f>
        <v/>
      </c>
      <c r="Q218" s="33" t="str">
        <f aca="false">IF(F218="","",F218*L218)</f>
        <v/>
      </c>
      <c r="R218" s="33" t="str">
        <f aca="false">IF(F218="","",IF(H218="",F218,0))</f>
        <v/>
      </c>
      <c r="S218" s="32" t="str">
        <f aca="false">IF(F218="","",IF(N(O218)=0,"",IF(O218&lt;=30,"1-30",IF(O218&lt;=60,"31-60",IF(O218&lt;=90,"61-90","90+")))))</f>
        <v/>
      </c>
      <c r="T218" s="32" t="str">
        <f aca="false">IF(F218="","",IF(E218="","Diğer",E218))</f>
        <v/>
      </c>
      <c r="U218" s="32" t="str">
        <f aca="false">IF(OR(F218="",C218=""),"",IF(COUNTIF($C$2:C218,C218)=1,MAX($U$1:U217)+1,""))</f>
        <v/>
      </c>
    </row>
    <row r="219" customFormat="false" ht="15" hidden="false" customHeight="false" outlineLevel="0" collapsed="false">
      <c r="A219" s="34"/>
      <c r="B219" s="9"/>
      <c r="C219" s="34"/>
      <c r="D219" s="34"/>
      <c r="E219" s="34"/>
      <c r="F219" s="35"/>
      <c r="G219" s="9"/>
      <c r="H219" s="9"/>
      <c r="I219" s="34"/>
      <c r="J219" s="30" t="str">
        <f aca="false">IF(F219="","",G219-B219)</f>
        <v/>
      </c>
      <c r="K219" s="31" t="str">
        <f aca="false">IF(F219="","",IF(H219&lt;&gt;"",H219,MAX('Vade Sapması'!$D$3,G219)))</f>
        <v/>
      </c>
      <c r="L219" s="30" t="str">
        <f aca="false">IF(F219="","",K219-B219)</f>
        <v/>
      </c>
      <c r="M219" s="30" t="str">
        <f aca="false">IF(F219="","",L219-J219)</f>
        <v/>
      </c>
      <c r="N219" s="32" t="str">
        <f aca="false">IF(F219="","",IF(H219&lt;&gt;"","Kapandı",IF('Vade Sapması'!$D$3&gt;G219,"Açık · vadesi geçti","Açık · vadesi gelmedi")))</f>
        <v/>
      </c>
      <c r="O219" s="30" t="str">
        <f aca="false">IF(F219="","",IF(AND(H219="",'Vade Sapması'!$D$3&gt;G219),'Vade Sapması'!$D$3-G219,0))</f>
        <v/>
      </c>
      <c r="P219" s="33" t="str">
        <f aca="false">IF(F219="","",F219*J219)</f>
        <v/>
      </c>
      <c r="Q219" s="33" t="str">
        <f aca="false">IF(F219="","",F219*L219)</f>
        <v/>
      </c>
      <c r="R219" s="33" t="str">
        <f aca="false">IF(F219="","",IF(H219="",F219,0))</f>
        <v/>
      </c>
      <c r="S219" s="32" t="str">
        <f aca="false">IF(F219="","",IF(N(O219)=0,"",IF(O219&lt;=30,"1-30",IF(O219&lt;=60,"31-60",IF(O219&lt;=90,"61-90","90+")))))</f>
        <v/>
      </c>
      <c r="T219" s="32" t="str">
        <f aca="false">IF(F219="","",IF(E219="","Diğer",E219))</f>
        <v/>
      </c>
      <c r="U219" s="32" t="str">
        <f aca="false">IF(OR(F219="",C219=""),"",IF(COUNTIF($C$2:C219,C219)=1,MAX($U$1:U218)+1,""))</f>
        <v/>
      </c>
    </row>
    <row r="220" customFormat="false" ht="15" hidden="false" customHeight="false" outlineLevel="0" collapsed="false">
      <c r="A220" s="34"/>
      <c r="B220" s="9"/>
      <c r="C220" s="34"/>
      <c r="D220" s="34"/>
      <c r="E220" s="34"/>
      <c r="F220" s="35"/>
      <c r="G220" s="9"/>
      <c r="H220" s="9"/>
      <c r="I220" s="34"/>
      <c r="J220" s="30" t="str">
        <f aca="false">IF(F220="","",G220-B220)</f>
        <v/>
      </c>
      <c r="K220" s="31" t="str">
        <f aca="false">IF(F220="","",IF(H220&lt;&gt;"",H220,MAX('Vade Sapması'!$D$3,G220)))</f>
        <v/>
      </c>
      <c r="L220" s="30" t="str">
        <f aca="false">IF(F220="","",K220-B220)</f>
        <v/>
      </c>
      <c r="M220" s="30" t="str">
        <f aca="false">IF(F220="","",L220-J220)</f>
        <v/>
      </c>
      <c r="N220" s="32" t="str">
        <f aca="false">IF(F220="","",IF(H220&lt;&gt;"","Kapandı",IF('Vade Sapması'!$D$3&gt;G220,"Açık · vadesi geçti","Açık · vadesi gelmedi")))</f>
        <v/>
      </c>
      <c r="O220" s="30" t="str">
        <f aca="false">IF(F220="","",IF(AND(H220="",'Vade Sapması'!$D$3&gt;G220),'Vade Sapması'!$D$3-G220,0))</f>
        <v/>
      </c>
      <c r="P220" s="33" t="str">
        <f aca="false">IF(F220="","",F220*J220)</f>
        <v/>
      </c>
      <c r="Q220" s="33" t="str">
        <f aca="false">IF(F220="","",F220*L220)</f>
        <v/>
      </c>
      <c r="R220" s="33" t="str">
        <f aca="false">IF(F220="","",IF(H220="",F220,0))</f>
        <v/>
      </c>
      <c r="S220" s="32" t="str">
        <f aca="false">IF(F220="","",IF(N(O220)=0,"",IF(O220&lt;=30,"1-30",IF(O220&lt;=60,"31-60",IF(O220&lt;=90,"61-90","90+")))))</f>
        <v/>
      </c>
      <c r="T220" s="32" t="str">
        <f aca="false">IF(F220="","",IF(E220="","Diğer",E220))</f>
        <v/>
      </c>
      <c r="U220" s="32" t="str">
        <f aca="false">IF(OR(F220="",C220=""),"",IF(COUNTIF($C$2:C220,C220)=1,MAX($U$1:U219)+1,""))</f>
        <v/>
      </c>
    </row>
    <row r="221" customFormat="false" ht="15" hidden="false" customHeight="false" outlineLevel="0" collapsed="false">
      <c r="A221" s="34"/>
      <c r="B221" s="9"/>
      <c r="C221" s="34"/>
      <c r="D221" s="34"/>
      <c r="E221" s="34"/>
      <c r="F221" s="35"/>
      <c r="G221" s="9"/>
      <c r="H221" s="9"/>
      <c r="I221" s="34"/>
      <c r="J221" s="30" t="str">
        <f aca="false">IF(F221="","",G221-B221)</f>
        <v/>
      </c>
      <c r="K221" s="31" t="str">
        <f aca="false">IF(F221="","",IF(H221&lt;&gt;"",H221,MAX('Vade Sapması'!$D$3,G221)))</f>
        <v/>
      </c>
      <c r="L221" s="30" t="str">
        <f aca="false">IF(F221="","",K221-B221)</f>
        <v/>
      </c>
      <c r="M221" s="30" t="str">
        <f aca="false">IF(F221="","",L221-J221)</f>
        <v/>
      </c>
      <c r="N221" s="32" t="str">
        <f aca="false">IF(F221="","",IF(H221&lt;&gt;"","Kapandı",IF('Vade Sapması'!$D$3&gt;G221,"Açık · vadesi geçti","Açık · vadesi gelmedi")))</f>
        <v/>
      </c>
      <c r="O221" s="30" t="str">
        <f aca="false">IF(F221="","",IF(AND(H221="",'Vade Sapması'!$D$3&gt;G221),'Vade Sapması'!$D$3-G221,0))</f>
        <v/>
      </c>
      <c r="P221" s="33" t="str">
        <f aca="false">IF(F221="","",F221*J221)</f>
        <v/>
      </c>
      <c r="Q221" s="33" t="str">
        <f aca="false">IF(F221="","",F221*L221)</f>
        <v/>
      </c>
      <c r="R221" s="33" t="str">
        <f aca="false">IF(F221="","",IF(H221="",F221,0))</f>
        <v/>
      </c>
      <c r="S221" s="32" t="str">
        <f aca="false">IF(F221="","",IF(N(O221)=0,"",IF(O221&lt;=30,"1-30",IF(O221&lt;=60,"31-60",IF(O221&lt;=90,"61-90","90+")))))</f>
        <v/>
      </c>
      <c r="T221" s="32" t="str">
        <f aca="false">IF(F221="","",IF(E221="","Diğer",E221))</f>
        <v/>
      </c>
      <c r="U221" s="32" t="str">
        <f aca="false">IF(OR(F221="",C221=""),"",IF(COUNTIF($C$2:C221,C221)=1,MAX($U$1:U220)+1,""))</f>
        <v/>
      </c>
    </row>
    <row r="222" customFormat="false" ht="15" hidden="false" customHeight="false" outlineLevel="0" collapsed="false">
      <c r="A222" s="34"/>
      <c r="B222" s="9"/>
      <c r="C222" s="34"/>
      <c r="D222" s="34"/>
      <c r="E222" s="34"/>
      <c r="F222" s="35"/>
      <c r="G222" s="9"/>
      <c r="H222" s="9"/>
      <c r="I222" s="34"/>
      <c r="J222" s="30" t="str">
        <f aca="false">IF(F222="","",G222-B222)</f>
        <v/>
      </c>
      <c r="K222" s="31" t="str">
        <f aca="false">IF(F222="","",IF(H222&lt;&gt;"",H222,MAX('Vade Sapması'!$D$3,G222)))</f>
        <v/>
      </c>
      <c r="L222" s="30" t="str">
        <f aca="false">IF(F222="","",K222-B222)</f>
        <v/>
      </c>
      <c r="M222" s="30" t="str">
        <f aca="false">IF(F222="","",L222-J222)</f>
        <v/>
      </c>
      <c r="N222" s="32" t="str">
        <f aca="false">IF(F222="","",IF(H222&lt;&gt;"","Kapandı",IF('Vade Sapması'!$D$3&gt;G222,"Açık · vadesi geçti","Açık · vadesi gelmedi")))</f>
        <v/>
      </c>
      <c r="O222" s="30" t="str">
        <f aca="false">IF(F222="","",IF(AND(H222="",'Vade Sapması'!$D$3&gt;G222),'Vade Sapması'!$D$3-G222,0))</f>
        <v/>
      </c>
      <c r="P222" s="33" t="str">
        <f aca="false">IF(F222="","",F222*J222)</f>
        <v/>
      </c>
      <c r="Q222" s="33" t="str">
        <f aca="false">IF(F222="","",F222*L222)</f>
        <v/>
      </c>
      <c r="R222" s="33" t="str">
        <f aca="false">IF(F222="","",IF(H222="",F222,0))</f>
        <v/>
      </c>
      <c r="S222" s="32" t="str">
        <f aca="false">IF(F222="","",IF(N(O222)=0,"",IF(O222&lt;=30,"1-30",IF(O222&lt;=60,"31-60",IF(O222&lt;=90,"61-90","90+")))))</f>
        <v/>
      </c>
      <c r="T222" s="32" t="str">
        <f aca="false">IF(F222="","",IF(E222="","Diğer",E222))</f>
        <v/>
      </c>
      <c r="U222" s="32" t="str">
        <f aca="false">IF(OR(F222="",C222=""),"",IF(COUNTIF($C$2:C222,C222)=1,MAX($U$1:U221)+1,""))</f>
        <v/>
      </c>
    </row>
    <row r="223" customFormat="false" ht="15" hidden="false" customHeight="false" outlineLevel="0" collapsed="false">
      <c r="A223" s="34"/>
      <c r="B223" s="9"/>
      <c r="C223" s="34"/>
      <c r="D223" s="34"/>
      <c r="E223" s="34"/>
      <c r="F223" s="35"/>
      <c r="G223" s="9"/>
      <c r="H223" s="9"/>
      <c r="I223" s="34"/>
      <c r="J223" s="30" t="str">
        <f aca="false">IF(F223="","",G223-B223)</f>
        <v/>
      </c>
      <c r="K223" s="31" t="str">
        <f aca="false">IF(F223="","",IF(H223&lt;&gt;"",H223,MAX('Vade Sapması'!$D$3,G223)))</f>
        <v/>
      </c>
      <c r="L223" s="30" t="str">
        <f aca="false">IF(F223="","",K223-B223)</f>
        <v/>
      </c>
      <c r="M223" s="30" t="str">
        <f aca="false">IF(F223="","",L223-J223)</f>
        <v/>
      </c>
      <c r="N223" s="32" t="str">
        <f aca="false">IF(F223="","",IF(H223&lt;&gt;"","Kapandı",IF('Vade Sapması'!$D$3&gt;G223,"Açık · vadesi geçti","Açık · vadesi gelmedi")))</f>
        <v/>
      </c>
      <c r="O223" s="30" t="str">
        <f aca="false">IF(F223="","",IF(AND(H223="",'Vade Sapması'!$D$3&gt;G223),'Vade Sapması'!$D$3-G223,0))</f>
        <v/>
      </c>
      <c r="P223" s="33" t="str">
        <f aca="false">IF(F223="","",F223*J223)</f>
        <v/>
      </c>
      <c r="Q223" s="33" t="str">
        <f aca="false">IF(F223="","",F223*L223)</f>
        <v/>
      </c>
      <c r="R223" s="33" t="str">
        <f aca="false">IF(F223="","",IF(H223="",F223,0))</f>
        <v/>
      </c>
      <c r="S223" s="32" t="str">
        <f aca="false">IF(F223="","",IF(N(O223)=0,"",IF(O223&lt;=30,"1-30",IF(O223&lt;=60,"31-60",IF(O223&lt;=90,"61-90","90+")))))</f>
        <v/>
      </c>
      <c r="T223" s="32" t="str">
        <f aca="false">IF(F223="","",IF(E223="","Diğer",E223))</f>
        <v/>
      </c>
      <c r="U223" s="32" t="str">
        <f aca="false">IF(OR(F223="",C223=""),"",IF(COUNTIF($C$2:C223,C223)=1,MAX($U$1:U222)+1,""))</f>
        <v/>
      </c>
    </row>
    <row r="224" customFormat="false" ht="15" hidden="false" customHeight="false" outlineLevel="0" collapsed="false">
      <c r="A224" s="34"/>
      <c r="B224" s="9"/>
      <c r="C224" s="34"/>
      <c r="D224" s="34"/>
      <c r="E224" s="34"/>
      <c r="F224" s="35"/>
      <c r="G224" s="9"/>
      <c r="H224" s="9"/>
      <c r="I224" s="34"/>
      <c r="J224" s="30" t="str">
        <f aca="false">IF(F224="","",G224-B224)</f>
        <v/>
      </c>
      <c r="K224" s="31" t="str">
        <f aca="false">IF(F224="","",IF(H224&lt;&gt;"",H224,MAX('Vade Sapması'!$D$3,G224)))</f>
        <v/>
      </c>
      <c r="L224" s="30" t="str">
        <f aca="false">IF(F224="","",K224-B224)</f>
        <v/>
      </c>
      <c r="M224" s="30" t="str">
        <f aca="false">IF(F224="","",L224-J224)</f>
        <v/>
      </c>
      <c r="N224" s="32" t="str">
        <f aca="false">IF(F224="","",IF(H224&lt;&gt;"","Kapandı",IF('Vade Sapması'!$D$3&gt;G224,"Açık · vadesi geçti","Açık · vadesi gelmedi")))</f>
        <v/>
      </c>
      <c r="O224" s="30" t="str">
        <f aca="false">IF(F224="","",IF(AND(H224="",'Vade Sapması'!$D$3&gt;G224),'Vade Sapması'!$D$3-G224,0))</f>
        <v/>
      </c>
      <c r="P224" s="33" t="str">
        <f aca="false">IF(F224="","",F224*J224)</f>
        <v/>
      </c>
      <c r="Q224" s="33" t="str">
        <f aca="false">IF(F224="","",F224*L224)</f>
        <v/>
      </c>
      <c r="R224" s="33" t="str">
        <f aca="false">IF(F224="","",IF(H224="",F224,0))</f>
        <v/>
      </c>
      <c r="S224" s="32" t="str">
        <f aca="false">IF(F224="","",IF(N(O224)=0,"",IF(O224&lt;=30,"1-30",IF(O224&lt;=60,"31-60",IF(O224&lt;=90,"61-90","90+")))))</f>
        <v/>
      </c>
      <c r="T224" s="32" t="str">
        <f aca="false">IF(F224="","",IF(E224="","Diğer",E224))</f>
        <v/>
      </c>
      <c r="U224" s="32" t="str">
        <f aca="false">IF(OR(F224="",C224=""),"",IF(COUNTIF($C$2:C224,C224)=1,MAX($U$1:U223)+1,""))</f>
        <v/>
      </c>
    </row>
    <row r="225" customFormat="false" ht="15" hidden="false" customHeight="false" outlineLevel="0" collapsed="false">
      <c r="A225" s="34"/>
      <c r="B225" s="9"/>
      <c r="C225" s="34"/>
      <c r="D225" s="34"/>
      <c r="E225" s="34"/>
      <c r="F225" s="35"/>
      <c r="G225" s="9"/>
      <c r="H225" s="9"/>
      <c r="I225" s="34"/>
      <c r="J225" s="30" t="str">
        <f aca="false">IF(F225="","",G225-B225)</f>
        <v/>
      </c>
      <c r="K225" s="31" t="str">
        <f aca="false">IF(F225="","",IF(H225&lt;&gt;"",H225,MAX('Vade Sapması'!$D$3,G225)))</f>
        <v/>
      </c>
      <c r="L225" s="30" t="str">
        <f aca="false">IF(F225="","",K225-B225)</f>
        <v/>
      </c>
      <c r="M225" s="30" t="str">
        <f aca="false">IF(F225="","",L225-J225)</f>
        <v/>
      </c>
      <c r="N225" s="32" t="str">
        <f aca="false">IF(F225="","",IF(H225&lt;&gt;"","Kapandı",IF('Vade Sapması'!$D$3&gt;G225,"Açık · vadesi geçti","Açık · vadesi gelmedi")))</f>
        <v/>
      </c>
      <c r="O225" s="30" t="str">
        <f aca="false">IF(F225="","",IF(AND(H225="",'Vade Sapması'!$D$3&gt;G225),'Vade Sapması'!$D$3-G225,0))</f>
        <v/>
      </c>
      <c r="P225" s="33" t="str">
        <f aca="false">IF(F225="","",F225*J225)</f>
        <v/>
      </c>
      <c r="Q225" s="33" t="str">
        <f aca="false">IF(F225="","",F225*L225)</f>
        <v/>
      </c>
      <c r="R225" s="33" t="str">
        <f aca="false">IF(F225="","",IF(H225="",F225,0))</f>
        <v/>
      </c>
      <c r="S225" s="32" t="str">
        <f aca="false">IF(F225="","",IF(N(O225)=0,"",IF(O225&lt;=30,"1-30",IF(O225&lt;=60,"31-60",IF(O225&lt;=90,"61-90","90+")))))</f>
        <v/>
      </c>
      <c r="T225" s="32" t="str">
        <f aca="false">IF(F225="","",IF(E225="","Diğer",E225))</f>
        <v/>
      </c>
      <c r="U225" s="32" t="str">
        <f aca="false">IF(OR(F225="",C225=""),"",IF(COUNTIF($C$2:C225,C225)=1,MAX($U$1:U224)+1,""))</f>
        <v/>
      </c>
    </row>
    <row r="226" customFormat="false" ht="15" hidden="false" customHeight="false" outlineLevel="0" collapsed="false">
      <c r="A226" s="34"/>
      <c r="B226" s="9"/>
      <c r="C226" s="34"/>
      <c r="D226" s="34"/>
      <c r="E226" s="34"/>
      <c r="F226" s="35"/>
      <c r="G226" s="9"/>
      <c r="H226" s="9"/>
      <c r="I226" s="34"/>
      <c r="J226" s="30" t="str">
        <f aca="false">IF(F226="","",G226-B226)</f>
        <v/>
      </c>
      <c r="K226" s="31" t="str">
        <f aca="false">IF(F226="","",IF(H226&lt;&gt;"",H226,MAX('Vade Sapması'!$D$3,G226)))</f>
        <v/>
      </c>
      <c r="L226" s="30" t="str">
        <f aca="false">IF(F226="","",K226-B226)</f>
        <v/>
      </c>
      <c r="M226" s="30" t="str">
        <f aca="false">IF(F226="","",L226-J226)</f>
        <v/>
      </c>
      <c r="N226" s="32" t="str">
        <f aca="false">IF(F226="","",IF(H226&lt;&gt;"","Kapandı",IF('Vade Sapması'!$D$3&gt;G226,"Açık · vadesi geçti","Açık · vadesi gelmedi")))</f>
        <v/>
      </c>
      <c r="O226" s="30" t="str">
        <f aca="false">IF(F226="","",IF(AND(H226="",'Vade Sapması'!$D$3&gt;G226),'Vade Sapması'!$D$3-G226,0))</f>
        <v/>
      </c>
      <c r="P226" s="33" t="str">
        <f aca="false">IF(F226="","",F226*J226)</f>
        <v/>
      </c>
      <c r="Q226" s="33" t="str">
        <f aca="false">IF(F226="","",F226*L226)</f>
        <v/>
      </c>
      <c r="R226" s="33" t="str">
        <f aca="false">IF(F226="","",IF(H226="",F226,0))</f>
        <v/>
      </c>
      <c r="S226" s="32" t="str">
        <f aca="false">IF(F226="","",IF(N(O226)=0,"",IF(O226&lt;=30,"1-30",IF(O226&lt;=60,"31-60",IF(O226&lt;=90,"61-90","90+")))))</f>
        <v/>
      </c>
      <c r="T226" s="32" t="str">
        <f aca="false">IF(F226="","",IF(E226="","Diğer",E226))</f>
        <v/>
      </c>
      <c r="U226" s="32" t="str">
        <f aca="false">IF(OR(F226="",C226=""),"",IF(COUNTIF($C$2:C226,C226)=1,MAX($U$1:U225)+1,""))</f>
        <v/>
      </c>
    </row>
    <row r="227" customFormat="false" ht="15" hidden="false" customHeight="false" outlineLevel="0" collapsed="false">
      <c r="A227" s="34"/>
      <c r="B227" s="9"/>
      <c r="C227" s="34"/>
      <c r="D227" s="34"/>
      <c r="E227" s="34"/>
      <c r="F227" s="35"/>
      <c r="G227" s="9"/>
      <c r="H227" s="9"/>
      <c r="I227" s="34"/>
      <c r="J227" s="30" t="str">
        <f aca="false">IF(F227="","",G227-B227)</f>
        <v/>
      </c>
      <c r="K227" s="31" t="str">
        <f aca="false">IF(F227="","",IF(H227&lt;&gt;"",H227,MAX('Vade Sapması'!$D$3,G227)))</f>
        <v/>
      </c>
      <c r="L227" s="30" t="str">
        <f aca="false">IF(F227="","",K227-B227)</f>
        <v/>
      </c>
      <c r="M227" s="30" t="str">
        <f aca="false">IF(F227="","",L227-J227)</f>
        <v/>
      </c>
      <c r="N227" s="32" t="str">
        <f aca="false">IF(F227="","",IF(H227&lt;&gt;"","Kapandı",IF('Vade Sapması'!$D$3&gt;G227,"Açık · vadesi geçti","Açık · vadesi gelmedi")))</f>
        <v/>
      </c>
      <c r="O227" s="30" t="str">
        <f aca="false">IF(F227="","",IF(AND(H227="",'Vade Sapması'!$D$3&gt;G227),'Vade Sapması'!$D$3-G227,0))</f>
        <v/>
      </c>
      <c r="P227" s="33" t="str">
        <f aca="false">IF(F227="","",F227*J227)</f>
        <v/>
      </c>
      <c r="Q227" s="33" t="str">
        <f aca="false">IF(F227="","",F227*L227)</f>
        <v/>
      </c>
      <c r="R227" s="33" t="str">
        <f aca="false">IF(F227="","",IF(H227="",F227,0))</f>
        <v/>
      </c>
      <c r="S227" s="32" t="str">
        <f aca="false">IF(F227="","",IF(N(O227)=0,"",IF(O227&lt;=30,"1-30",IF(O227&lt;=60,"31-60",IF(O227&lt;=90,"61-90","90+")))))</f>
        <v/>
      </c>
      <c r="T227" s="32" t="str">
        <f aca="false">IF(F227="","",IF(E227="","Diğer",E227))</f>
        <v/>
      </c>
      <c r="U227" s="32" t="str">
        <f aca="false">IF(OR(F227="",C227=""),"",IF(COUNTIF($C$2:C227,C227)=1,MAX($U$1:U226)+1,""))</f>
        <v/>
      </c>
    </row>
    <row r="228" customFormat="false" ht="15" hidden="false" customHeight="false" outlineLevel="0" collapsed="false">
      <c r="A228" s="34"/>
      <c r="B228" s="9"/>
      <c r="C228" s="34"/>
      <c r="D228" s="34"/>
      <c r="E228" s="34"/>
      <c r="F228" s="35"/>
      <c r="G228" s="9"/>
      <c r="H228" s="9"/>
      <c r="I228" s="34"/>
      <c r="J228" s="30" t="str">
        <f aca="false">IF(F228="","",G228-B228)</f>
        <v/>
      </c>
      <c r="K228" s="31" t="str">
        <f aca="false">IF(F228="","",IF(H228&lt;&gt;"",H228,MAX('Vade Sapması'!$D$3,G228)))</f>
        <v/>
      </c>
      <c r="L228" s="30" t="str">
        <f aca="false">IF(F228="","",K228-B228)</f>
        <v/>
      </c>
      <c r="M228" s="30" t="str">
        <f aca="false">IF(F228="","",L228-J228)</f>
        <v/>
      </c>
      <c r="N228" s="32" t="str">
        <f aca="false">IF(F228="","",IF(H228&lt;&gt;"","Kapandı",IF('Vade Sapması'!$D$3&gt;G228,"Açık · vadesi geçti","Açık · vadesi gelmedi")))</f>
        <v/>
      </c>
      <c r="O228" s="30" t="str">
        <f aca="false">IF(F228="","",IF(AND(H228="",'Vade Sapması'!$D$3&gt;G228),'Vade Sapması'!$D$3-G228,0))</f>
        <v/>
      </c>
      <c r="P228" s="33" t="str">
        <f aca="false">IF(F228="","",F228*J228)</f>
        <v/>
      </c>
      <c r="Q228" s="33" t="str">
        <f aca="false">IF(F228="","",F228*L228)</f>
        <v/>
      </c>
      <c r="R228" s="33" t="str">
        <f aca="false">IF(F228="","",IF(H228="",F228,0))</f>
        <v/>
      </c>
      <c r="S228" s="32" t="str">
        <f aca="false">IF(F228="","",IF(N(O228)=0,"",IF(O228&lt;=30,"1-30",IF(O228&lt;=60,"31-60",IF(O228&lt;=90,"61-90","90+")))))</f>
        <v/>
      </c>
      <c r="T228" s="32" t="str">
        <f aca="false">IF(F228="","",IF(E228="","Diğer",E228))</f>
        <v/>
      </c>
      <c r="U228" s="32" t="str">
        <f aca="false">IF(OR(F228="",C228=""),"",IF(COUNTIF($C$2:C228,C228)=1,MAX($U$1:U227)+1,""))</f>
        <v/>
      </c>
    </row>
    <row r="229" customFormat="false" ht="15" hidden="false" customHeight="false" outlineLevel="0" collapsed="false">
      <c r="A229" s="34"/>
      <c r="B229" s="9"/>
      <c r="C229" s="34"/>
      <c r="D229" s="34"/>
      <c r="E229" s="34"/>
      <c r="F229" s="35"/>
      <c r="G229" s="9"/>
      <c r="H229" s="9"/>
      <c r="I229" s="34"/>
      <c r="J229" s="30" t="str">
        <f aca="false">IF(F229="","",G229-B229)</f>
        <v/>
      </c>
      <c r="K229" s="31" t="str">
        <f aca="false">IF(F229="","",IF(H229&lt;&gt;"",H229,MAX('Vade Sapması'!$D$3,G229)))</f>
        <v/>
      </c>
      <c r="L229" s="30" t="str">
        <f aca="false">IF(F229="","",K229-B229)</f>
        <v/>
      </c>
      <c r="M229" s="30" t="str">
        <f aca="false">IF(F229="","",L229-J229)</f>
        <v/>
      </c>
      <c r="N229" s="32" t="str">
        <f aca="false">IF(F229="","",IF(H229&lt;&gt;"","Kapandı",IF('Vade Sapması'!$D$3&gt;G229,"Açık · vadesi geçti","Açık · vadesi gelmedi")))</f>
        <v/>
      </c>
      <c r="O229" s="30" t="str">
        <f aca="false">IF(F229="","",IF(AND(H229="",'Vade Sapması'!$D$3&gt;G229),'Vade Sapması'!$D$3-G229,0))</f>
        <v/>
      </c>
      <c r="P229" s="33" t="str">
        <f aca="false">IF(F229="","",F229*J229)</f>
        <v/>
      </c>
      <c r="Q229" s="33" t="str">
        <f aca="false">IF(F229="","",F229*L229)</f>
        <v/>
      </c>
      <c r="R229" s="33" t="str">
        <f aca="false">IF(F229="","",IF(H229="",F229,0))</f>
        <v/>
      </c>
      <c r="S229" s="32" t="str">
        <f aca="false">IF(F229="","",IF(N(O229)=0,"",IF(O229&lt;=30,"1-30",IF(O229&lt;=60,"31-60",IF(O229&lt;=90,"61-90","90+")))))</f>
        <v/>
      </c>
      <c r="T229" s="32" t="str">
        <f aca="false">IF(F229="","",IF(E229="","Diğer",E229))</f>
        <v/>
      </c>
      <c r="U229" s="32" t="str">
        <f aca="false">IF(OR(F229="",C229=""),"",IF(COUNTIF($C$2:C229,C229)=1,MAX($U$1:U228)+1,""))</f>
        <v/>
      </c>
    </row>
    <row r="230" customFormat="false" ht="15" hidden="false" customHeight="false" outlineLevel="0" collapsed="false">
      <c r="A230" s="34"/>
      <c r="B230" s="9"/>
      <c r="C230" s="34"/>
      <c r="D230" s="34"/>
      <c r="E230" s="34"/>
      <c r="F230" s="35"/>
      <c r="G230" s="9"/>
      <c r="H230" s="9"/>
      <c r="I230" s="34"/>
      <c r="J230" s="30" t="str">
        <f aca="false">IF(F230="","",G230-B230)</f>
        <v/>
      </c>
      <c r="K230" s="31" t="str">
        <f aca="false">IF(F230="","",IF(H230&lt;&gt;"",H230,MAX('Vade Sapması'!$D$3,G230)))</f>
        <v/>
      </c>
      <c r="L230" s="30" t="str">
        <f aca="false">IF(F230="","",K230-B230)</f>
        <v/>
      </c>
      <c r="M230" s="30" t="str">
        <f aca="false">IF(F230="","",L230-J230)</f>
        <v/>
      </c>
      <c r="N230" s="32" t="str">
        <f aca="false">IF(F230="","",IF(H230&lt;&gt;"","Kapandı",IF('Vade Sapması'!$D$3&gt;G230,"Açık · vadesi geçti","Açık · vadesi gelmedi")))</f>
        <v/>
      </c>
      <c r="O230" s="30" t="str">
        <f aca="false">IF(F230="","",IF(AND(H230="",'Vade Sapması'!$D$3&gt;G230),'Vade Sapması'!$D$3-G230,0))</f>
        <v/>
      </c>
      <c r="P230" s="33" t="str">
        <f aca="false">IF(F230="","",F230*J230)</f>
        <v/>
      </c>
      <c r="Q230" s="33" t="str">
        <f aca="false">IF(F230="","",F230*L230)</f>
        <v/>
      </c>
      <c r="R230" s="33" t="str">
        <f aca="false">IF(F230="","",IF(H230="",F230,0))</f>
        <v/>
      </c>
      <c r="S230" s="32" t="str">
        <f aca="false">IF(F230="","",IF(N(O230)=0,"",IF(O230&lt;=30,"1-30",IF(O230&lt;=60,"31-60",IF(O230&lt;=90,"61-90","90+")))))</f>
        <v/>
      </c>
      <c r="T230" s="32" t="str">
        <f aca="false">IF(F230="","",IF(E230="","Diğer",E230))</f>
        <v/>
      </c>
      <c r="U230" s="32" t="str">
        <f aca="false">IF(OR(F230="",C230=""),"",IF(COUNTIF($C$2:C230,C230)=1,MAX($U$1:U229)+1,""))</f>
        <v/>
      </c>
    </row>
    <row r="231" customFormat="false" ht="15" hidden="false" customHeight="false" outlineLevel="0" collapsed="false">
      <c r="A231" s="34"/>
      <c r="B231" s="9"/>
      <c r="C231" s="34"/>
      <c r="D231" s="34"/>
      <c r="E231" s="34"/>
      <c r="F231" s="35"/>
      <c r="G231" s="9"/>
      <c r="H231" s="9"/>
      <c r="I231" s="34"/>
      <c r="J231" s="30" t="str">
        <f aca="false">IF(F231="","",G231-B231)</f>
        <v/>
      </c>
      <c r="K231" s="31" t="str">
        <f aca="false">IF(F231="","",IF(H231&lt;&gt;"",H231,MAX('Vade Sapması'!$D$3,G231)))</f>
        <v/>
      </c>
      <c r="L231" s="30" t="str">
        <f aca="false">IF(F231="","",K231-B231)</f>
        <v/>
      </c>
      <c r="M231" s="30" t="str">
        <f aca="false">IF(F231="","",L231-J231)</f>
        <v/>
      </c>
      <c r="N231" s="32" t="str">
        <f aca="false">IF(F231="","",IF(H231&lt;&gt;"","Kapandı",IF('Vade Sapması'!$D$3&gt;G231,"Açık · vadesi geçti","Açık · vadesi gelmedi")))</f>
        <v/>
      </c>
      <c r="O231" s="30" t="str">
        <f aca="false">IF(F231="","",IF(AND(H231="",'Vade Sapması'!$D$3&gt;G231),'Vade Sapması'!$D$3-G231,0))</f>
        <v/>
      </c>
      <c r="P231" s="33" t="str">
        <f aca="false">IF(F231="","",F231*J231)</f>
        <v/>
      </c>
      <c r="Q231" s="33" t="str">
        <f aca="false">IF(F231="","",F231*L231)</f>
        <v/>
      </c>
      <c r="R231" s="33" t="str">
        <f aca="false">IF(F231="","",IF(H231="",F231,0))</f>
        <v/>
      </c>
      <c r="S231" s="32" t="str">
        <f aca="false">IF(F231="","",IF(N(O231)=0,"",IF(O231&lt;=30,"1-30",IF(O231&lt;=60,"31-60",IF(O231&lt;=90,"61-90","90+")))))</f>
        <v/>
      </c>
      <c r="T231" s="32" t="str">
        <f aca="false">IF(F231="","",IF(E231="","Diğer",E231))</f>
        <v/>
      </c>
      <c r="U231" s="32" t="str">
        <f aca="false">IF(OR(F231="",C231=""),"",IF(COUNTIF($C$2:C231,C231)=1,MAX($U$1:U230)+1,""))</f>
        <v/>
      </c>
    </row>
    <row r="232" customFormat="false" ht="15" hidden="false" customHeight="false" outlineLevel="0" collapsed="false">
      <c r="A232" s="34"/>
      <c r="B232" s="9"/>
      <c r="C232" s="34"/>
      <c r="D232" s="34"/>
      <c r="E232" s="34"/>
      <c r="F232" s="35"/>
      <c r="G232" s="9"/>
      <c r="H232" s="9"/>
      <c r="I232" s="34"/>
      <c r="J232" s="30" t="str">
        <f aca="false">IF(F232="","",G232-B232)</f>
        <v/>
      </c>
      <c r="K232" s="31" t="str">
        <f aca="false">IF(F232="","",IF(H232&lt;&gt;"",H232,MAX('Vade Sapması'!$D$3,G232)))</f>
        <v/>
      </c>
      <c r="L232" s="30" t="str">
        <f aca="false">IF(F232="","",K232-B232)</f>
        <v/>
      </c>
      <c r="M232" s="30" t="str">
        <f aca="false">IF(F232="","",L232-J232)</f>
        <v/>
      </c>
      <c r="N232" s="32" t="str">
        <f aca="false">IF(F232="","",IF(H232&lt;&gt;"","Kapandı",IF('Vade Sapması'!$D$3&gt;G232,"Açık · vadesi geçti","Açık · vadesi gelmedi")))</f>
        <v/>
      </c>
      <c r="O232" s="30" t="str">
        <f aca="false">IF(F232="","",IF(AND(H232="",'Vade Sapması'!$D$3&gt;G232),'Vade Sapması'!$D$3-G232,0))</f>
        <v/>
      </c>
      <c r="P232" s="33" t="str">
        <f aca="false">IF(F232="","",F232*J232)</f>
        <v/>
      </c>
      <c r="Q232" s="33" t="str">
        <f aca="false">IF(F232="","",F232*L232)</f>
        <v/>
      </c>
      <c r="R232" s="33" t="str">
        <f aca="false">IF(F232="","",IF(H232="",F232,0))</f>
        <v/>
      </c>
      <c r="S232" s="32" t="str">
        <f aca="false">IF(F232="","",IF(N(O232)=0,"",IF(O232&lt;=30,"1-30",IF(O232&lt;=60,"31-60",IF(O232&lt;=90,"61-90","90+")))))</f>
        <v/>
      </c>
      <c r="T232" s="32" t="str">
        <f aca="false">IF(F232="","",IF(E232="","Diğer",E232))</f>
        <v/>
      </c>
      <c r="U232" s="32" t="str">
        <f aca="false">IF(OR(F232="",C232=""),"",IF(COUNTIF($C$2:C232,C232)=1,MAX($U$1:U231)+1,""))</f>
        <v/>
      </c>
    </row>
    <row r="233" customFormat="false" ht="15" hidden="false" customHeight="false" outlineLevel="0" collapsed="false">
      <c r="A233" s="34"/>
      <c r="B233" s="9"/>
      <c r="C233" s="34"/>
      <c r="D233" s="34"/>
      <c r="E233" s="34"/>
      <c r="F233" s="35"/>
      <c r="G233" s="9"/>
      <c r="H233" s="9"/>
      <c r="I233" s="34"/>
      <c r="J233" s="30" t="str">
        <f aca="false">IF(F233="","",G233-B233)</f>
        <v/>
      </c>
      <c r="K233" s="31" t="str">
        <f aca="false">IF(F233="","",IF(H233&lt;&gt;"",H233,MAX('Vade Sapması'!$D$3,G233)))</f>
        <v/>
      </c>
      <c r="L233" s="30" t="str">
        <f aca="false">IF(F233="","",K233-B233)</f>
        <v/>
      </c>
      <c r="M233" s="30" t="str">
        <f aca="false">IF(F233="","",L233-J233)</f>
        <v/>
      </c>
      <c r="N233" s="32" t="str">
        <f aca="false">IF(F233="","",IF(H233&lt;&gt;"","Kapandı",IF('Vade Sapması'!$D$3&gt;G233,"Açık · vadesi geçti","Açık · vadesi gelmedi")))</f>
        <v/>
      </c>
      <c r="O233" s="30" t="str">
        <f aca="false">IF(F233="","",IF(AND(H233="",'Vade Sapması'!$D$3&gt;G233),'Vade Sapması'!$D$3-G233,0))</f>
        <v/>
      </c>
      <c r="P233" s="33" t="str">
        <f aca="false">IF(F233="","",F233*J233)</f>
        <v/>
      </c>
      <c r="Q233" s="33" t="str">
        <f aca="false">IF(F233="","",F233*L233)</f>
        <v/>
      </c>
      <c r="R233" s="33" t="str">
        <f aca="false">IF(F233="","",IF(H233="",F233,0))</f>
        <v/>
      </c>
      <c r="S233" s="32" t="str">
        <f aca="false">IF(F233="","",IF(N(O233)=0,"",IF(O233&lt;=30,"1-30",IF(O233&lt;=60,"31-60",IF(O233&lt;=90,"61-90","90+")))))</f>
        <v/>
      </c>
      <c r="T233" s="32" t="str">
        <f aca="false">IF(F233="","",IF(E233="","Diğer",E233))</f>
        <v/>
      </c>
      <c r="U233" s="32" t="str">
        <f aca="false">IF(OR(F233="",C233=""),"",IF(COUNTIF($C$2:C233,C233)=1,MAX($U$1:U232)+1,""))</f>
        <v/>
      </c>
    </row>
    <row r="234" customFormat="false" ht="15" hidden="false" customHeight="false" outlineLevel="0" collapsed="false">
      <c r="A234" s="34"/>
      <c r="B234" s="9"/>
      <c r="C234" s="34"/>
      <c r="D234" s="34"/>
      <c r="E234" s="34"/>
      <c r="F234" s="35"/>
      <c r="G234" s="9"/>
      <c r="H234" s="9"/>
      <c r="I234" s="34"/>
      <c r="J234" s="30" t="str">
        <f aca="false">IF(F234="","",G234-B234)</f>
        <v/>
      </c>
      <c r="K234" s="31" t="str">
        <f aca="false">IF(F234="","",IF(H234&lt;&gt;"",H234,MAX('Vade Sapması'!$D$3,G234)))</f>
        <v/>
      </c>
      <c r="L234" s="30" t="str">
        <f aca="false">IF(F234="","",K234-B234)</f>
        <v/>
      </c>
      <c r="M234" s="30" t="str">
        <f aca="false">IF(F234="","",L234-J234)</f>
        <v/>
      </c>
      <c r="N234" s="32" t="str">
        <f aca="false">IF(F234="","",IF(H234&lt;&gt;"","Kapandı",IF('Vade Sapması'!$D$3&gt;G234,"Açık · vadesi geçti","Açık · vadesi gelmedi")))</f>
        <v/>
      </c>
      <c r="O234" s="30" t="str">
        <f aca="false">IF(F234="","",IF(AND(H234="",'Vade Sapması'!$D$3&gt;G234),'Vade Sapması'!$D$3-G234,0))</f>
        <v/>
      </c>
      <c r="P234" s="33" t="str">
        <f aca="false">IF(F234="","",F234*J234)</f>
        <v/>
      </c>
      <c r="Q234" s="33" t="str">
        <f aca="false">IF(F234="","",F234*L234)</f>
        <v/>
      </c>
      <c r="R234" s="33" t="str">
        <f aca="false">IF(F234="","",IF(H234="",F234,0))</f>
        <v/>
      </c>
      <c r="S234" s="32" t="str">
        <f aca="false">IF(F234="","",IF(N(O234)=0,"",IF(O234&lt;=30,"1-30",IF(O234&lt;=60,"31-60",IF(O234&lt;=90,"61-90","90+")))))</f>
        <v/>
      </c>
      <c r="T234" s="32" t="str">
        <f aca="false">IF(F234="","",IF(E234="","Diğer",E234))</f>
        <v/>
      </c>
      <c r="U234" s="32" t="str">
        <f aca="false">IF(OR(F234="",C234=""),"",IF(COUNTIF($C$2:C234,C234)=1,MAX($U$1:U233)+1,""))</f>
        <v/>
      </c>
    </row>
    <row r="235" customFormat="false" ht="15" hidden="false" customHeight="false" outlineLevel="0" collapsed="false">
      <c r="A235" s="34"/>
      <c r="B235" s="9"/>
      <c r="C235" s="34"/>
      <c r="D235" s="34"/>
      <c r="E235" s="34"/>
      <c r="F235" s="35"/>
      <c r="G235" s="9"/>
      <c r="H235" s="9"/>
      <c r="I235" s="34"/>
      <c r="J235" s="30" t="str">
        <f aca="false">IF(F235="","",G235-B235)</f>
        <v/>
      </c>
      <c r="K235" s="31" t="str">
        <f aca="false">IF(F235="","",IF(H235&lt;&gt;"",H235,MAX('Vade Sapması'!$D$3,G235)))</f>
        <v/>
      </c>
      <c r="L235" s="30" t="str">
        <f aca="false">IF(F235="","",K235-B235)</f>
        <v/>
      </c>
      <c r="M235" s="30" t="str">
        <f aca="false">IF(F235="","",L235-J235)</f>
        <v/>
      </c>
      <c r="N235" s="32" t="str">
        <f aca="false">IF(F235="","",IF(H235&lt;&gt;"","Kapandı",IF('Vade Sapması'!$D$3&gt;G235,"Açık · vadesi geçti","Açık · vadesi gelmedi")))</f>
        <v/>
      </c>
      <c r="O235" s="30" t="str">
        <f aca="false">IF(F235="","",IF(AND(H235="",'Vade Sapması'!$D$3&gt;G235),'Vade Sapması'!$D$3-G235,0))</f>
        <v/>
      </c>
      <c r="P235" s="33" t="str">
        <f aca="false">IF(F235="","",F235*J235)</f>
        <v/>
      </c>
      <c r="Q235" s="33" t="str">
        <f aca="false">IF(F235="","",F235*L235)</f>
        <v/>
      </c>
      <c r="R235" s="33" t="str">
        <f aca="false">IF(F235="","",IF(H235="",F235,0))</f>
        <v/>
      </c>
      <c r="S235" s="32" t="str">
        <f aca="false">IF(F235="","",IF(N(O235)=0,"",IF(O235&lt;=30,"1-30",IF(O235&lt;=60,"31-60",IF(O235&lt;=90,"61-90","90+")))))</f>
        <v/>
      </c>
      <c r="T235" s="32" t="str">
        <f aca="false">IF(F235="","",IF(E235="","Diğer",E235))</f>
        <v/>
      </c>
      <c r="U235" s="32" t="str">
        <f aca="false">IF(OR(F235="",C235=""),"",IF(COUNTIF($C$2:C235,C235)=1,MAX($U$1:U234)+1,""))</f>
        <v/>
      </c>
    </row>
    <row r="236" customFormat="false" ht="15" hidden="false" customHeight="false" outlineLevel="0" collapsed="false">
      <c r="A236" s="34"/>
      <c r="B236" s="9"/>
      <c r="C236" s="34"/>
      <c r="D236" s="34"/>
      <c r="E236" s="34"/>
      <c r="F236" s="35"/>
      <c r="G236" s="9"/>
      <c r="H236" s="9"/>
      <c r="I236" s="34"/>
      <c r="J236" s="30" t="str">
        <f aca="false">IF(F236="","",G236-B236)</f>
        <v/>
      </c>
      <c r="K236" s="31" t="str">
        <f aca="false">IF(F236="","",IF(H236&lt;&gt;"",H236,MAX('Vade Sapması'!$D$3,G236)))</f>
        <v/>
      </c>
      <c r="L236" s="30" t="str">
        <f aca="false">IF(F236="","",K236-B236)</f>
        <v/>
      </c>
      <c r="M236" s="30" t="str">
        <f aca="false">IF(F236="","",L236-J236)</f>
        <v/>
      </c>
      <c r="N236" s="32" t="str">
        <f aca="false">IF(F236="","",IF(H236&lt;&gt;"","Kapandı",IF('Vade Sapması'!$D$3&gt;G236,"Açık · vadesi geçti","Açık · vadesi gelmedi")))</f>
        <v/>
      </c>
      <c r="O236" s="30" t="str">
        <f aca="false">IF(F236="","",IF(AND(H236="",'Vade Sapması'!$D$3&gt;G236),'Vade Sapması'!$D$3-G236,0))</f>
        <v/>
      </c>
      <c r="P236" s="33" t="str">
        <f aca="false">IF(F236="","",F236*J236)</f>
        <v/>
      </c>
      <c r="Q236" s="33" t="str">
        <f aca="false">IF(F236="","",F236*L236)</f>
        <v/>
      </c>
      <c r="R236" s="33" t="str">
        <f aca="false">IF(F236="","",IF(H236="",F236,0))</f>
        <v/>
      </c>
      <c r="S236" s="32" t="str">
        <f aca="false">IF(F236="","",IF(N(O236)=0,"",IF(O236&lt;=30,"1-30",IF(O236&lt;=60,"31-60",IF(O236&lt;=90,"61-90","90+")))))</f>
        <v/>
      </c>
      <c r="T236" s="32" t="str">
        <f aca="false">IF(F236="","",IF(E236="","Diğer",E236))</f>
        <v/>
      </c>
      <c r="U236" s="32" t="str">
        <f aca="false">IF(OR(F236="",C236=""),"",IF(COUNTIF($C$2:C236,C236)=1,MAX($U$1:U235)+1,""))</f>
        <v/>
      </c>
    </row>
    <row r="237" customFormat="false" ht="15" hidden="false" customHeight="false" outlineLevel="0" collapsed="false">
      <c r="A237" s="34"/>
      <c r="B237" s="9"/>
      <c r="C237" s="34"/>
      <c r="D237" s="34"/>
      <c r="E237" s="34"/>
      <c r="F237" s="35"/>
      <c r="G237" s="9"/>
      <c r="H237" s="9"/>
      <c r="I237" s="34"/>
      <c r="J237" s="30" t="str">
        <f aca="false">IF(F237="","",G237-B237)</f>
        <v/>
      </c>
      <c r="K237" s="31" t="str">
        <f aca="false">IF(F237="","",IF(H237&lt;&gt;"",H237,MAX('Vade Sapması'!$D$3,G237)))</f>
        <v/>
      </c>
      <c r="L237" s="30" t="str">
        <f aca="false">IF(F237="","",K237-B237)</f>
        <v/>
      </c>
      <c r="M237" s="30" t="str">
        <f aca="false">IF(F237="","",L237-J237)</f>
        <v/>
      </c>
      <c r="N237" s="32" t="str">
        <f aca="false">IF(F237="","",IF(H237&lt;&gt;"","Kapandı",IF('Vade Sapması'!$D$3&gt;G237,"Açık · vadesi geçti","Açık · vadesi gelmedi")))</f>
        <v/>
      </c>
      <c r="O237" s="30" t="str">
        <f aca="false">IF(F237="","",IF(AND(H237="",'Vade Sapması'!$D$3&gt;G237),'Vade Sapması'!$D$3-G237,0))</f>
        <v/>
      </c>
      <c r="P237" s="33" t="str">
        <f aca="false">IF(F237="","",F237*J237)</f>
        <v/>
      </c>
      <c r="Q237" s="33" t="str">
        <f aca="false">IF(F237="","",F237*L237)</f>
        <v/>
      </c>
      <c r="R237" s="33" t="str">
        <f aca="false">IF(F237="","",IF(H237="",F237,0))</f>
        <v/>
      </c>
      <c r="S237" s="32" t="str">
        <f aca="false">IF(F237="","",IF(N(O237)=0,"",IF(O237&lt;=30,"1-30",IF(O237&lt;=60,"31-60",IF(O237&lt;=90,"61-90","90+")))))</f>
        <v/>
      </c>
      <c r="T237" s="32" t="str">
        <f aca="false">IF(F237="","",IF(E237="","Diğer",E237))</f>
        <v/>
      </c>
      <c r="U237" s="32" t="str">
        <f aca="false">IF(OR(F237="",C237=""),"",IF(COUNTIF($C$2:C237,C237)=1,MAX($U$1:U236)+1,""))</f>
        <v/>
      </c>
    </row>
    <row r="238" customFormat="false" ht="15" hidden="false" customHeight="false" outlineLevel="0" collapsed="false">
      <c r="A238" s="34"/>
      <c r="B238" s="9"/>
      <c r="C238" s="34"/>
      <c r="D238" s="34"/>
      <c r="E238" s="34"/>
      <c r="F238" s="35"/>
      <c r="G238" s="9"/>
      <c r="H238" s="9"/>
      <c r="I238" s="34"/>
      <c r="J238" s="30" t="str">
        <f aca="false">IF(F238="","",G238-B238)</f>
        <v/>
      </c>
      <c r="K238" s="31" t="str">
        <f aca="false">IF(F238="","",IF(H238&lt;&gt;"",H238,MAX('Vade Sapması'!$D$3,G238)))</f>
        <v/>
      </c>
      <c r="L238" s="30" t="str">
        <f aca="false">IF(F238="","",K238-B238)</f>
        <v/>
      </c>
      <c r="M238" s="30" t="str">
        <f aca="false">IF(F238="","",L238-J238)</f>
        <v/>
      </c>
      <c r="N238" s="32" t="str">
        <f aca="false">IF(F238="","",IF(H238&lt;&gt;"","Kapandı",IF('Vade Sapması'!$D$3&gt;G238,"Açık · vadesi geçti","Açık · vadesi gelmedi")))</f>
        <v/>
      </c>
      <c r="O238" s="30" t="str">
        <f aca="false">IF(F238="","",IF(AND(H238="",'Vade Sapması'!$D$3&gt;G238),'Vade Sapması'!$D$3-G238,0))</f>
        <v/>
      </c>
      <c r="P238" s="33" t="str">
        <f aca="false">IF(F238="","",F238*J238)</f>
        <v/>
      </c>
      <c r="Q238" s="33" t="str">
        <f aca="false">IF(F238="","",F238*L238)</f>
        <v/>
      </c>
      <c r="R238" s="33" t="str">
        <f aca="false">IF(F238="","",IF(H238="",F238,0))</f>
        <v/>
      </c>
      <c r="S238" s="32" t="str">
        <f aca="false">IF(F238="","",IF(N(O238)=0,"",IF(O238&lt;=30,"1-30",IF(O238&lt;=60,"31-60",IF(O238&lt;=90,"61-90","90+")))))</f>
        <v/>
      </c>
      <c r="T238" s="32" t="str">
        <f aca="false">IF(F238="","",IF(E238="","Diğer",E238))</f>
        <v/>
      </c>
      <c r="U238" s="32" t="str">
        <f aca="false">IF(OR(F238="",C238=""),"",IF(COUNTIF($C$2:C238,C238)=1,MAX($U$1:U237)+1,""))</f>
        <v/>
      </c>
    </row>
    <row r="239" customFormat="false" ht="15" hidden="false" customHeight="false" outlineLevel="0" collapsed="false">
      <c r="A239" s="34"/>
      <c r="B239" s="9"/>
      <c r="C239" s="34"/>
      <c r="D239" s="34"/>
      <c r="E239" s="34"/>
      <c r="F239" s="35"/>
      <c r="G239" s="9"/>
      <c r="H239" s="9"/>
      <c r="I239" s="34"/>
      <c r="J239" s="30" t="str">
        <f aca="false">IF(F239="","",G239-B239)</f>
        <v/>
      </c>
      <c r="K239" s="31" t="str">
        <f aca="false">IF(F239="","",IF(H239&lt;&gt;"",H239,MAX('Vade Sapması'!$D$3,G239)))</f>
        <v/>
      </c>
      <c r="L239" s="30" t="str">
        <f aca="false">IF(F239="","",K239-B239)</f>
        <v/>
      </c>
      <c r="M239" s="30" t="str">
        <f aca="false">IF(F239="","",L239-J239)</f>
        <v/>
      </c>
      <c r="N239" s="32" t="str">
        <f aca="false">IF(F239="","",IF(H239&lt;&gt;"","Kapandı",IF('Vade Sapması'!$D$3&gt;G239,"Açık · vadesi geçti","Açık · vadesi gelmedi")))</f>
        <v/>
      </c>
      <c r="O239" s="30" t="str">
        <f aca="false">IF(F239="","",IF(AND(H239="",'Vade Sapması'!$D$3&gt;G239),'Vade Sapması'!$D$3-G239,0))</f>
        <v/>
      </c>
      <c r="P239" s="33" t="str">
        <f aca="false">IF(F239="","",F239*J239)</f>
        <v/>
      </c>
      <c r="Q239" s="33" t="str">
        <f aca="false">IF(F239="","",F239*L239)</f>
        <v/>
      </c>
      <c r="R239" s="33" t="str">
        <f aca="false">IF(F239="","",IF(H239="",F239,0))</f>
        <v/>
      </c>
      <c r="S239" s="32" t="str">
        <f aca="false">IF(F239="","",IF(N(O239)=0,"",IF(O239&lt;=30,"1-30",IF(O239&lt;=60,"31-60",IF(O239&lt;=90,"61-90","90+")))))</f>
        <v/>
      </c>
      <c r="T239" s="32" t="str">
        <f aca="false">IF(F239="","",IF(E239="","Diğer",E239))</f>
        <v/>
      </c>
      <c r="U239" s="32" t="str">
        <f aca="false">IF(OR(F239="",C239=""),"",IF(COUNTIF($C$2:C239,C239)=1,MAX($U$1:U238)+1,""))</f>
        <v/>
      </c>
    </row>
    <row r="240" customFormat="false" ht="15" hidden="false" customHeight="false" outlineLevel="0" collapsed="false">
      <c r="A240" s="34"/>
      <c r="B240" s="9"/>
      <c r="C240" s="34"/>
      <c r="D240" s="34"/>
      <c r="E240" s="34"/>
      <c r="F240" s="35"/>
      <c r="G240" s="9"/>
      <c r="H240" s="9"/>
      <c r="I240" s="34"/>
      <c r="J240" s="30" t="str">
        <f aca="false">IF(F240="","",G240-B240)</f>
        <v/>
      </c>
      <c r="K240" s="31" t="str">
        <f aca="false">IF(F240="","",IF(H240&lt;&gt;"",H240,MAX('Vade Sapması'!$D$3,G240)))</f>
        <v/>
      </c>
      <c r="L240" s="30" t="str">
        <f aca="false">IF(F240="","",K240-B240)</f>
        <v/>
      </c>
      <c r="M240" s="30" t="str">
        <f aca="false">IF(F240="","",L240-J240)</f>
        <v/>
      </c>
      <c r="N240" s="32" t="str">
        <f aca="false">IF(F240="","",IF(H240&lt;&gt;"","Kapandı",IF('Vade Sapması'!$D$3&gt;G240,"Açık · vadesi geçti","Açık · vadesi gelmedi")))</f>
        <v/>
      </c>
      <c r="O240" s="30" t="str">
        <f aca="false">IF(F240="","",IF(AND(H240="",'Vade Sapması'!$D$3&gt;G240),'Vade Sapması'!$D$3-G240,0))</f>
        <v/>
      </c>
      <c r="P240" s="33" t="str">
        <f aca="false">IF(F240="","",F240*J240)</f>
        <v/>
      </c>
      <c r="Q240" s="33" t="str">
        <f aca="false">IF(F240="","",F240*L240)</f>
        <v/>
      </c>
      <c r="R240" s="33" t="str">
        <f aca="false">IF(F240="","",IF(H240="",F240,0))</f>
        <v/>
      </c>
      <c r="S240" s="32" t="str">
        <f aca="false">IF(F240="","",IF(N(O240)=0,"",IF(O240&lt;=30,"1-30",IF(O240&lt;=60,"31-60",IF(O240&lt;=90,"61-90","90+")))))</f>
        <v/>
      </c>
      <c r="T240" s="32" t="str">
        <f aca="false">IF(F240="","",IF(E240="","Diğer",E240))</f>
        <v/>
      </c>
      <c r="U240" s="32" t="str">
        <f aca="false">IF(OR(F240="",C240=""),"",IF(COUNTIF($C$2:C240,C240)=1,MAX($U$1:U239)+1,""))</f>
        <v/>
      </c>
    </row>
    <row r="241" customFormat="false" ht="15" hidden="false" customHeight="false" outlineLevel="0" collapsed="false">
      <c r="A241" s="34"/>
      <c r="B241" s="9"/>
      <c r="C241" s="34"/>
      <c r="D241" s="34"/>
      <c r="E241" s="34"/>
      <c r="F241" s="35"/>
      <c r="G241" s="9"/>
      <c r="H241" s="9"/>
      <c r="I241" s="34"/>
      <c r="J241" s="30" t="str">
        <f aca="false">IF(F241="","",G241-B241)</f>
        <v/>
      </c>
      <c r="K241" s="31" t="str">
        <f aca="false">IF(F241="","",IF(H241&lt;&gt;"",H241,MAX('Vade Sapması'!$D$3,G241)))</f>
        <v/>
      </c>
      <c r="L241" s="30" t="str">
        <f aca="false">IF(F241="","",K241-B241)</f>
        <v/>
      </c>
      <c r="M241" s="30" t="str">
        <f aca="false">IF(F241="","",L241-J241)</f>
        <v/>
      </c>
      <c r="N241" s="32" t="str">
        <f aca="false">IF(F241="","",IF(H241&lt;&gt;"","Kapandı",IF('Vade Sapması'!$D$3&gt;G241,"Açık · vadesi geçti","Açık · vadesi gelmedi")))</f>
        <v/>
      </c>
      <c r="O241" s="30" t="str">
        <f aca="false">IF(F241="","",IF(AND(H241="",'Vade Sapması'!$D$3&gt;G241),'Vade Sapması'!$D$3-G241,0))</f>
        <v/>
      </c>
      <c r="P241" s="33" t="str">
        <f aca="false">IF(F241="","",F241*J241)</f>
        <v/>
      </c>
      <c r="Q241" s="33" t="str">
        <f aca="false">IF(F241="","",F241*L241)</f>
        <v/>
      </c>
      <c r="R241" s="33" t="str">
        <f aca="false">IF(F241="","",IF(H241="",F241,0))</f>
        <v/>
      </c>
      <c r="S241" s="32" t="str">
        <f aca="false">IF(F241="","",IF(N(O241)=0,"",IF(O241&lt;=30,"1-30",IF(O241&lt;=60,"31-60",IF(O241&lt;=90,"61-90","90+")))))</f>
        <v/>
      </c>
      <c r="T241" s="32" t="str">
        <f aca="false">IF(F241="","",IF(E241="","Diğer",E241))</f>
        <v/>
      </c>
      <c r="U241" s="32" t="str">
        <f aca="false">IF(OR(F241="",C241=""),"",IF(COUNTIF($C$2:C241,C241)=1,MAX($U$1:U240)+1,""))</f>
        <v/>
      </c>
    </row>
    <row r="242" customFormat="false" ht="15" hidden="false" customHeight="false" outlineLevel="0" collapsed="false">
      <c r="A242" s="34"/>
      <c r="B242" s="9"/>
      <c r="C242" s="34"/>
      <c r="D242" s="34"/>
      <c r="E242" s="34"/>
      <c r="F242" s="35"/>
      <c r="G242" s="9"/>
      <c r="H242" s="9"/>
      <c r="I242" s="34"/>
      <c r="J242" s="30" t="str">
        <f aca="false">IF(F242="","",G242-B242)</f>
        <v/>
      </c>
      <c r="K242" s="31" t="str">
        <f aca="false">IF(F242="","",IF(H242&lt;&gt;"",H242,MAX('Vade Sapması'!$D$3,G242)))</f>
        <v/>
      </c>
      <c r="L242" s="30" t="str">
        <f aca="false">IF(F242="","",K242-B242)</f>
        <v/>
      </c>
      <c r="M242" s="30" t="str">
        <f aca="false">IF(F242="","",L242-J242)</f>
        <v/>
      </c>
      <c r="N242" s="32" t="str">
        <f aca="false">IF(F242="","",IF(H242&lt;&gt;"","Kapandı",IF('Vade Sapması'!$D$3&gt;G242,"Açık · vadesi geçti","Açık · vadesi gelmedi")))</f>
        <v/>
      </c>
      <c r="O242" s="30" t="str">
        <f aca="false">IF(F242="","",IF(AND(H242="",'Vade Sapması'!$D$3&gt;G242),'Vade Sapması'!$D$3-G242,0))</f>
        <v/>
      </c>
      <c r="P242" s="33" t="str">
        <f aca="false">IF(F242="","",F242*J242)</f>
        <v/>
      </c>
      <c r="Q242" s="33" t="str">
        <f aca="false">IF(F242="","",F242*L242)</f>
        <v/>
      </c>
      <c r="R242" s="33" t="str">
        <f aca="false">IF(F242="","",IF(H242="",F242,0))</f>
        <v/>
      </c>
      <c r="S242" s="32" t="str">
        <f aca="false">IF(F242="","",IF(N(O242)=0,"",IF(O242&lt;=30,"1-30",IF(O242&lt;=60,"31-60",IF(O242&lt;=90,"61-90","90+")))))</f>
        <v/>
      </c>
      <c r="T242" s="32" t="str">
        <f aca="false">IF(F242="","",IF(E242="","Diğer",E242))</f>
        <v/>
      </c>
      <c r="U242" s="32" t="str">
        <f aca="false">IF(OR(F242="",C242=""),"",IF(COUNTIF($C$2:C242,C242)=1,MAX($U$1:U241)+1,""))</f>
        <v/>
      </c>
    </row>
    <row r="243" customFormat="false" ht="15" hidden="false" customHeight="false" outlineLevel="0" collapsed="false">
      <c r="A243" s="34"/>
      <c r="B243" s="9"/>
      <c r="C243" s="34"/>
      <c r="D243" s="34"/>
      <c r="E243" s="34"/>
      <c r="F243" s="35"/>
      <c r="G243" s="9"/>
      <c r="H243" s="9"/>
      <c r="I243" s="34"/>
      <c r="J243" s="30" t="str">
        <f aca="false">IF(F243="","",G243-B243)</f>
        <v/>
      </c>
      <c r="K243" s="31" t="str">
        <f aca="false">IF(F243="","",IF(H243&lt;&gt;"",H243,MAX('Vade Sapması'!$D$3,G243)))</f>
        <v/>
      </c>
      <c r="L243" s="30" t="str">
        <f aca="false">IF(F243="","",K243-B243)</f>
        <v/>
      </c>
      <c r="M243" s="30" t="str">
        <f aca="false">IF(F243="","",L243-J243)</f>
        <v/>
      </c>
      <c r="N243" s="32" t="str">
        <f aca="false">IF(F243="","",IF(H243&lt;&gt;"","Kapandı",IF('Vade Sapması'!$D$3&gt;G243,"Açık · vadesi geçti","Açık · vadesi gelmedi")))</f>
        <v/>
      </c>
      <c r="O243" s="30" t="str">
        <f aca="false">IF(F243="","",IF(AND(H243="",'Vade Sapması'!$D$3&gt;G243),'Vade Sapması'!$D$3-G243,0))</f>
        <v/>
      </c>
      <c r="P243" s="33" t="str">
        <f aca="false">IF(F243="","",F243*J243)</f>
        <v/>
      </c>
      <c r="Q243" s="33" t="str">
        <f aca="false">IF(F243="","",F243*L243)</f>
        <v/>
      </c>
      <c r="R243" s="33" t="str">
        <f aca="false">IF(F243="","",IF(H243="",F243,0))</f>
        <v/>
      </c>
      <c r="S243" s="32" t="str">
        <f aca="false">IF(F243="","",IF(N(O243)=0,"",IF(O243&lt;=30,"1-30",IF(O243&lt;=60,"31-60",IF(O243&lt;=90,"61-90","90+")))))</f>
        <v/>
      </c>
      <c r="T243" s="32" t="str">
        <f aca="false">IF(F243="","",IF(E243="","Diğer",E243))</f>
        <v/>
      </c>
      <c r="U243" s="32" t="str">
        <f aca="false">IF(OR(F243="",C243=""),"",IF(COUNTIF($C$2:C243,C243)=1,MAX($U$1:U242)+1,""))</f>
        <v/>
      </c>
    </row>
    <row r="244" customFormat="false" ht="15" hidden="false" customHeight="false" outlineLevel="0" collapsed="false">
      <c r="A244" s="34"/>
      <c r="B244" s="9"/>
      <c r="C244" s="34"/>
      <c r="D244" s="34"/>
      <c r="E244" s="34"/>
      <c r="F244" s="35"/>
      <c r="G244" s="9"/>
      <c r="H244" s="9"/>
      <c r="I244" s="34"/>
      <c r="J244" s="30" t="str">
        <f aca="false">IF(F244="","",G244-B244)</f>
        <v/>
      </c>
      <c r="K244" s="31" t="str">
        <f aca="false">IF(F244="","",IF(H244&lt;&gt;"",H244,MAX('Vade Sapması'!$D$3,G244)))</f>
        <v/>
      </c>
      <c r="L244" s="30" t="str">
        <f aca="false">IF(F244="","",K244-B244)</f>
        <v/>
      </c>
      <c r="M244" s="30" t="str">
        <f aca="false">IF(F244="","",L244-J244)</f>
        <v/>
      </c>
      <c r="N244" s="32" t="str">
        <f aca="false">IF(F244="","",IF(H244&lt;&gt;"","Kapandı",IF('Vade Sapması'!$D$3&gt;G244,"Açık · vadesi geçti","Açık · vadesi gelmedi")))</f>
        <v/>
      </c>
      <c r="O244" s="30" t="str">
        <f aca="false">IF(F244="","",IF(AND(H244="",'Vade Sapması'!$D$3&gt;G244),'Vade Sapması'!$D$3-G244,0))</f>
        <v/>
      </c>
      <c r="P244" s="33" t="str">
        <f aca="false">IF(F244="","",F244*J244)</f>
        <v/>
      </c>
      <c r="Q244" s="33" t="str">
        <f aca="false">IF(F244="","",F244*L244)</f>
        <v/>
      </c>
      <c r="R244" s="33" t="str">
        <f aca="false">IF(F244="","",IF(H244="",F244,0))</f>
        <v/>
      </c>
      <c r="S244" s="32" t="str">
        <f aca="false">IF(F244="","",IF(N(O244)=0,"",IF(O244&lt;=30,"1-30",IF(O244&lt;=60,"31-60",IF(O244&lt;=90,"61-90","90+")))))</f>
        <v/>
      </c>
      <c r="T244" s="32" t="str">
        <f aca="false">IF(F244="","",IF(E244="","Diğer",E244))</f>
        <v/>
      </c>
      <c r="U244" s="32" t="str">
        <f aca="false">IF(OR(F244="",C244=""),"",IF(COUNTIF($C$2:C244,C244)=1,MAX($U$1:U243)+1,""))</f>
        <v/>
      </c>
    </row>
    <row r="245" customFormat="false" ht="15" hidden="false" customHeight="false" outlineLevel="0" collapsed="false">
      <c r="A245" s="34"/>
      <c r="B245" s="9"/>
      <c r="C245" s="34"/>
      <c r="D245" s="34"/>
      <c r="E245" s="34"/>
      <c r="F245" s="35"/>
      <c r="G245" s="9"/>
      <c r="H245" s="9"/>
      <c r="I245" s="34"/>
      <c r="J245" s="30" t="str">
        <f aca="false">IF(F245="","",G245-B245)</f>
        <v/>
      </c>
      <c r="K245" s="31" t="str">
        <f aca="false">IF(F245="","",IF(H245&lt;&gt;"",H245,MAX('Vade Sapması'!$D$3,G245)))</f>
        <v/>
      </c>
      <c r="L245" s="30" t="str">
        <f aca="false">IF(F245="","",K245-B245)</f>
        <v/>
      </c>
      <c r="M245" s="30" t="str">
        <f aca="false">IF(F245="","",L245-J245)</f>
        <v/>
      </c>
      <c r="N245" s="32" t="str">
        <f aca="false">IF(F245="","",IF(H245&lt;&gt;"","Kapandı",IF('Vade Sapması'!$D$3&gt;G245,"Açık · vadesi geçti","Açık · vadesi gelmedi")))</f>
        <v/>
      </c>
      <c r="O245" s="30" t="str">
        <f aca="false">IF(F245="","",IF(AND(H245="",'Vade Sapması'!$D$3&gt;G245),'Vade Sapması'!$D$3-G245,0))</f>
        <v/>
      </c>
      <c r="P245" s="33" t="str">
        <f aca="false">IF(F245="","",F245*J245)</f>
        <v/>
      </c>
      <c r="Q245" s="33" t="str">
        <f aca="false">IF(F245="","",F245*L245)</f>
        <v/>
      </c>
      <c r="R245" s="33" t="str">
        <f aca="false">IF(F245="","",IF(H245="",F245,0))</f>
        <v/>
      </c>
      <c r="S245" s="32" t="str">
        <f aca="false">IF(F245="","",IF(N(O245)=0,"",IF(O245&lt;=30,"1-30",IF(O245&lt;=60,"31-60",IF(O245&lt;=90,"61-90","90+")))))</f>
        <v/>
      </c>
      <c r="T245" s="32" t="str">
        <f aca="false">IF(F245="","",IF(E245="","Diğer",E245))</f>
        <v/>
      </c>
      <c r="U245" s="32" t="str">
        <f aca="false">IF(OR(F245="",C245=""),"",IF(COUNTIF($C$2:C245,C245)=1,MAX($U$1:U244)+1,""))</f>
        <v/>
      </c>
    </row>
    <row r="246" customFormat="false" ht="15" hidden="false" customHeight="false" outlineLevel="0" collapsed="false">
      <c r="A246" s="34"/>
      <c r="B246" s="9"/>
      <c r="C246" s="34"/>
      <c r="D246" s="34"/>
      <c r="E246" s="34"/>
      <c r="F246" s="35"/>
      <c r="G246" s="9"/>
      <c r="H246" s="9"/>
      <c r="I246" s="34"/>
      <c r="J246" s="30" t="str">
        <f aca="false">IF(F246="","",G246-B246)</f>
        <v/>
      </c>
      <c r="K246" s="31" t="str">
        <f aca="false">IF(F246="","",IF(H246&lt;&gt;"",H246,MAX('Vade Sapması'!$D$3,G246)))</f>
        <v/>
      </c>
      <c r="L246" s="30" t="str">
        <f aca="false">IF(F246="","",K246-B246)</f>
        <v/>
      </c>
      <c r="M246" s="30" t="str">
        <f aca="false">IF(F246="","",L246-J246)</f>
        <v/>
      </c>
      <c r="N246" s="32" t="str">
        <f aca="false">IF(F246="","",IF(H246&lt;&gt;"","Kapandı",IF('Vade Sapması'!$D$3&gt;G246,"Açık · vadesi geçti","Açık · vadesi gelmedi")))</f>
        <v/>
      </c>
      <c r="O246" s="30" t="str">
        <f aca="false">IF(F246="","",IF(AND(H246="",'Vade Sapması'!$D$3&gt;G246),'Vade Sapması'!$D$3-G246,0))</f>
        <v/>
      </c>
      <c r="P246" s="33" t="str">
        <f aca="false">IF(F246="","",F246*J246)</f>
        <v/>
      </c>
      <c r="Q246" s="33" t="str">
        <f aca="false">IF(F246="","",F246*L246)</f>
        <v/>
      </c>
      <c r="R246" s="33" t="str">
        <f aca="false">IF(F246="","",IF(H246="",F246,0))</f>
        <v/>
      </c>
      <c r="S246" s="32" t="str">
        <f aca="false">IF(F246="","",IF(N(O246)=0,"",IF(O246&lt;=30,"1-30",IF(O246&lt;=60,"31-60",IF(O246&lt;=90,"61-90","90+")))))</f>
        <v/>
      </c>
      <c r="T246" s="32" t="str">
        <f aca="false">IF(F246="","",IF(E246="","Diğer",E246))</f>
        <v/>
      </c>
      <c r="U246" s="32" t="str">
        <f aca="false">IF(OR(F246="",C246=""),"",IF(COUNTIF($C$2:C246,C246)=1,MAX($U$1:U245)+1,""))</f>
        <v/>
      </c>
    </row>
    <row r="247" customFormat="false" ht="15" hidden="false" customHeight="false" outlineLevel="0" collapsed="false">
      <c r="A247" s="34"/>
      <c r="B247" s="9"/>
      <c r="C247" s="34"/>
      <c r="D247" s="34"/>
      <c r="E247" s="34"/>
      <c r="F247" s="35"/>
      <c r="G247" s="9"/>
      <c r="H247" s="9"/>
      <c r="I247" s="34"/>
      <c r="J247" s="30" t="str">
        <f aca="false">IF(F247="","",G247-B247)</f>
        <v/>
      </c>
      <c r="K247" s="31" t="str">
        <f aca="false">IF(F247="","",IF(H247&lt;&gt;"",H247,MAX('Vade Sapması'!$D$3,G247)))</f>
        <v/>
      </c>
      <c r="L247" s="30" t="str">
        <f aca="false">IF(F247="","",K247-B247)</f>
        <v/>
      </c>
      <c r="M247" s="30" t="str">
        <f aca="false">IF(F247="","",L247-J247)</f>
        <v/>
      </c>
      <c r="N247" s="32" t="str">
        <f aca="false">IF(F247="","",IF(H247&lt;&gt;"","Kapandı",IF('Vade Sapması'!$D$3&gt;G247,"Açık · vadesi geçti","Açık · vadesi gelmedi")))</f>
        <v/>
      </c>
      <c r="O247" s="30" t="str">
        <f aca="false">IF(F247="","",IF(AND(H247="",'Vade Sapması'!$D$3&gt;G247),'Vade Sapması'!$D$3-G247,0))</f>
        <v/>
      </c>
      <c r="P247" s="33" t="str">
        <f aca="false">IF(F247="","",F247*J247)</f>
        <v/>
      </c>
      <c r="Q247" s="33" t="str">
        <f aca="false">IF(F247="","",F247*L247)</f>
        <v/>
      </c>
      <c r="R247" s="33" t="str">
        <f aca="false">IF(F247="","",IF(H247="",F247,0))</f>
        <v/>
      </c>
      <c r="S247" s="32" t="str">
        <f aca="false">IF(F247="","",IF(N(O247)=0,"",IF(O247&lt;=30,"1-30",IF(O247&lt;=60,"31-60",IF(O247&lt;=90,"61-90","90+")))))</f>
        <v/>
      </c>
      <c r="T247" s="32" t="str">
        <f aca="false">IF(F247="","",IF(E247="","Diğer",E247))</f>
        <v/>
      </c>
      <c r="U247" s="32" t="str">
        <f aca="false">IF(OR(F247="",C247=""),"",IF(COUNTIF($C$2:C247,C247)=1,MAX($U$1:U246)+1,""))</f>
        <v/>
      </c>
    </row>
    <row r="248" customFormat="false" ht="15" hidden="false" customHeight="false" outlineLevel="0" collapsed="false">
      <c r="A248" s="34"/>
      <c r="B248" s="9"/>
      <c r="C248" s="34"/>
      <c r="D248" s="34"/>
      <c r="E248" s="34"/>
      <c r="F248" s="35"/>
      <c r="G248" s="9"/>
      <c r="H248" s="9"/>
      <c r="I248" s="34"/>
      <c r="J248" s="30" t="str">
        <f aca="false">IF(F248="","",G248-B248)</f>
        <v/>
      </c>
      <c r="K248" s="31" t="str">
        <f aca="false">IF(F248="","",IF(H248&lt;&gt;"",H248,MAX('Vade Sapması'!$D$3,G248)))</f>
        <v/>
      </c>
      <c r="L248" s="30" t="str">
        <f aca="false">IF(F248="","",K248-B248)</f>
        <v/>
      </c>
      <c r="M248" s="30" t="str">
        <f aca="false">IF(F248="","",L248-J248)</f>
        <v/>
      </c>
      <c r="N248" s="32" t="str">
        <f aca="false">IF(F248="","",IF(H248&lt;&gt;"","Kapandı",IF('Vade Sapması'!$D$3&gt;G248,"Açık · vadesi geçti","Açık · vadesi gelmedi")))</f>
        <v/>
      </c>
      <c r="O248" s="30" t="str">
        <f aca="false">IF(F248="","",IF(AND(H248="",'Vade Sapması'!$D$3&gt;G248),'Vade Sapması'!$D$3-G248,0))</f>
        <v/>
      </c>
      <c r="P248" s="33" t="str">
        <f aca="false">IF(F248="","",F248*J248)</f>
        <v/>
      </c>
      <c r="Q248" s="33" t="str">
        <f aca="false">IF(F248="","",F248*L248)</f>
        <v/>
      </c>
      <c r="R248" s="33" t="str">
        <f aca="false">IF(F248="","",IF(H248="",F248,0))</f>
        <v/>
      </c>
      <c r="S248" s="32" t="str">
        <f aca="false">IF(F248="","",IF(N(O248)=0,"",IF(O248&lt;=30,"1-30",IF(O248&lt;=60,"31-60",IF(O248&lt;=90,"61-90","90+")))))</f>
        <v/>
      </c>
      <c r="T248" s="32" t="str">
        <f aca="false">IF(F248="","",IF(E248="","Diğer",E248))</f>
        <v/>
      </c>
      <c r="U248" s="32" t="str">
        <f aca="false">IF(OR(F248="",C248=""),"",IF(COUNTIF($C$2:C248,C248)=1,MAX($U$1:U247)+1,""))</f>
        <v/>
      </c>
    </row>
    <row r="249" customFormat="false" ht="15" hidden="false" customHeight="false" outlineLevel="0" collapsed="false">
      <c r="A249" s="34"/>
      <c r="B249" s="9"/>
      <c r="C249" s="34"/>
      <c r="D249" s="34"/>
      <c r="E249" s="34"/>
      <c r="F249" s="35"/>
      <c r="G249" s="9"/>
      <c r="H249" s="9"/>
      <c r="I249" s="34"/>
      <c r="J249" s="30" t="str">
        <f aca="false">IF(F249="","",G249-B249)</f>
        <v/>
      </c>
      <c r="K249" s="31" t="str">
        <f aca="false">IF(F249="","",IF(H249&lt;&gt;"",H249,MAX('Vade Sapması'!$D$3,G249)))</f>
        <v/>
      </c>
      <c r="L249" s="30" t="str">
        <f aca="false">IF(F249="","",K249-B249)</f>
        <v/>
      </c>
      <c r="M249" s="30" t="str">
        <f aca="false">IF(F249="","",L249-J249)</f>
        <v/>
      </c>
      <c r="N249" s="32" t="str">
        <f aca="false">IF(F249="","",IF(H249&lt;&gt;"","Kapandı",IF('Vade Sapması'!$D$3&gt;G249,"Açık · vadesi geçti","Açık · vadesi gelmedi")))</f>
        <v/>
      </c>
      <c r="O249" s="30" t="str">
        <f aca="false">IF(F249="","",IF(AND(H249="",'Vade Sapması'!$D$3&gt;G249),'Vade Sapması'!$D$3-G249,0))</f>
        <v/>
      </c>
      <c r="P249" s="33" t="str">
        <f aca="false">IF(F249="","",F249*J249)</f>
        <v/>
      </c>
      <c r="Q249" s="33" t="str">
        <f aca="false">IF(F249="","",F249*L249)</f>
        <v/>
      </c>
      <c r="R249" s="33" t="str">
        <f aca="false">IF(F249="","",IF(H249="",F249,0))</f>
        <v/>
      </c>
      <c r="S249" s="32" t="str">
        <f aca="false">IF(F249="","",IF(N(O249)=0,"",IF(O249&lt;=30,"1-30",IF(O249&lt;=60,"31-60",IF(O249&lt;=90,"61-90","90+")))))</f>
        <v/>
      </c>
      <c r="T249" s="32" t="str">
        <f aca="false">IF(F249="","",IF(E249="","Diğer",E249))</f>
        <v/>
      </c>
      <c r="U249" s="32" t="str">
        <f aca="false">IF(OR(F249="",C249=""),"",IF(COUNTIF($C$2:C249,C249)=1,MAX($U$1:U248)+1,""))</f>
        <v/>
      </c>
    </row>
    <row r="250" customFormat="false" ht="15" hidden="false" customHeight="false" outlineLevel="0" collapsed="false">
      <c r="A250" s="34"/>
      <c r="B250" s="9"/>
      <c r="C250" s="34"/>
      <c r="D250" s="34"/>
      <c r="E250" s="34"/>
      <c r="F250" s="35"/>
      <c r="G250" s="9"/>
      <c r="H250" s="9"/>
      <c r="I250" s="34"/>
      <c r="J250" s="30" t="str">
        <f aca="false">IF(F250="","",G250-B250)</f>
        <v/>
      </c>
      <c r="K250" s="31" t="str">
        <f aca="false">IF(F250="","",IF(H250&lt;&gt;"",H250,MAX('Vade Sapması'!$D$3,G250)))</f>
        <v/>
      </c>
      <c r="L250" s="30" t="str">
        <f aca="false">IF(F250="","",K250-B250)</f>
        <v/>
      </c>
      <c r="M250" s="30" t="str">
        <f aca="false">IF(F250="","",L250-J250)</f>
        <v/>
      </c>
      <c r="N250" s="32" t="str">
        <f aca="false">IF(F250="","",IF(H250&lt;&gt;"","Kapandı",IF('Vade Sapması'!$D$3&gt;G250,"Açık · vadesi geçti","Açık · vadesi gelmedi")))</f>
        <v/>
      </c>
      <c r="O250" s="30" t="str">
        <f aca="false">IF(F250="","",IF(AND(H250="",'Vade Sapması'!$D$3&gt;G250),'Vade Sapması'!$D$3-G250,0))</f>
        <v/>
      </c>
      <c r="P250" s="33" t="str">
        <f aca="false">IF(F250="","",F250*J250)</f>
        <v/>
      </c>
      <c r="Q250" s="33" t="str">
        <f aca="false">IF(F250="","",F250*L250)</f>
        <v/>
      </c>
      <c r="R250" s="33" t="str">
        <f aca="false">IF(F250="","",IF(H250="",F250,0))</f>
        <v/>
      </c>
      <c r="S250" s="32" t="str">
        <f aca="false">IF(F250="","",IF(N(O250)=0,"",IF(O250&lt;=30,"1-30",IF(O250&lt;=60,"31-60",IF(O250&lt;=90,"61-90","90+")))))</f>
        <v/>
      </c>
      <c r="T250" s="32" t="str">
        <f aca="false">IF(F250="","",IF(E250="","Diğer",E250))</f>
        <v/>
      </c>
      <c r="U250" s="32" t="str">
        <f aca="false">IF(OR(F250="",C250=""),"",IF(COUNTIF($C$2:C250,C250)=1,MAX($U$1:U249)+1,""))</f>
        <v/>
      </c>
    </row>
    <row r="251" customFormat="false" ht="15" hidden="false" customHeight="false" outlineLevel="0" collapsed="false">
      <c r="A251" s="34"/>
      <c r="B251" s="9"/>
      <c r="C251" s="34"/>
      <c r="D251" s="34"/>
      <c r="E251" s="34"/>
      <c r="F251" s="35"/>
      <c r="G251" s="9"/>
      <c r="H251" s="9"/>
      <c r="I251" s="34"/>
      <c r="J251" s="30" t="str">
        <f aca="false">IF(F251="","",G251-B251)</f>
        <v/>
      </c>
      <c r="K251" s="31" t="str">
        <f aca="false">IF(F251="","",IF(H251&lt;&gt;"",H251,MAX('Vade Sapması'!$D$3,G251)))</f>
        <v/>
      </c>
      <c r="L251" s="30" t="str">
        <f aca="false">IF(F251="","",K251-B251)</f>
        <v/>
      </c>
      <c r="M251" s="30" t="str">
        <f aca="false">IF(F251="","",L251-J251)</f>
        <v/>
      </c>
      <c r="N251" s="32" t="str">
        <f aca="false">IF(F251="","",IF(H251&lt;&gt;"","Kapandı",IF('Vade Sapması'!$D$3&gt;G251,"Açık · vadesi geçti","Açık · vadesi gelmedi")))</f>
        <v/>
      </c>
      <c r="O251" s="30" t="str">
        <f aca="false">IF(F251="","",IF(AND(H251="",'Vade Sapması'!$D$3&gt;G251),'Vade Sapması'!$D$3-G251,0))</f>
        <v/>
      </c>
      <c r="P251" s="33" t="str">
        <f aca="false">IF(F251="","",F251*J251)</f>
        <v/>
      </c>
      <c r="Q251" s="33" t="str">
        <f aca="false">IF(F251="","",F251*L251)</f>
        <v/>
      </c>
      <c r="R251" s="33" t="str">
        <f aca="false">IF(F251="","",IF(H251="",F251,0))</f>
        <v/>
      </c>
      <c r="S251" s="32" t="str">
        <f aca="false">IF(F251="","",IF(N(O251)=0,"",IF(O251&lt;=30,"1-30",IF(O251&lt;=60,"31-60",IF(O251&lt;=90,"61-90","90+")))))</f>
        <v/>
      </c>
      <c r="T251" s="32" t="str">
        <f aca="false">IF(F251="","",IF(E251="","Diğer",E251))</f>
        <v/>
      </c>
      <c r="U251" s="32" t="str">
        <f aca="false">IF(OR(F251="",C251=""),"",IF(COUNTIF($C$2:C251,C251)=1,MAX($U$1:U250)+1,""))</f>
        <v/>
      </c>
    </row>
    <row r="252" customFormat="false" ht="15" hidden="false" customHeight="false" outlineLevel="0" collapsed="false">
      <c r="A252" s="34"/>
      <c r="B252" s="9"/>
      <c r="C252" s="34"/>
      <c r="D252" s="34"/>
      <c r="E252" s="34"/>
      <c r="F252" s="35"/>
      <c r="G252" s="9"/>
      <c r="H252" s="9"/>
      <c r="I252" s="34"/>
      <c r="J252" s="30" t="str">
        <f aca="false">IF(F252="","",G252-B252)</f>
        <v/>
      </c>
      <c r="K252" s="31" t="str">
        <f aca="false">IF(F252="","",IF(H252&lt;&gt;"",H252,MAX('Vade Sapması'!$D$3,G252)))</f>
        <v/>
      </c>
      <c r="L252" s="30" t="str">
        <f aca="false">IF(F252="","",K252-B252)</f>
        <v/>
      </c>
      <c r="M252" s="30" t="str">
        <f aca="false">IF(F252="","",L252-J252)</f>
        <v/>
      </c>
      <c r="N252" s="32" t="str">
        <f aca="false">IF(F252="","",IF(H252&lt;&gt;"","Kapandı",IF('Vade Sapması'!$D$3&gt;G252,"Açık · vadesi geçti","Açık · vadesi gelmedi")))</f>
        <v/>
      </c>
      <c r="O252" s="30" t="str">
        <f aca="false">IF(F252="","",IF(AND(H252="",'Vade Sapması'!$D$3&gt;G252),'Vade Sapması'!$D$3-G252,0))</f>
        <v/>
      </c>
      <c r="P252" s="33" t="str">
        <f aca="false">IF(F252="","",F252*J252)</f>
        <v/>
      </c>
      <c r="Q252" s="33" t="str">
        <f aca="false">IF(F252="","",F252*L252)</f>
        <v/>
      </c>
      <c r="R252" s="33" t="str">
        <f aca="false">IF(F252="","",IF(H252="",F252,0))</f>
        <v/>
      </c>
      <c r="S252" s="32" t="str">
        <f aca="false">IF(F252="","",IF(N(O252)=0,"",IF(O252&lt;=30,"1-30",IF(O252&lt;=60,"31-60",IF(O252&lt;=90,"61-90","90+")))))</f>
        <v/>
      </c>
      <c r="T252" s="32" t="str">
        <f aca="false">IF(F252="","",IF(E252="","Diğer",E252))</f>
        <v/>
      </c>
      <c r="U252" s="32" t="str">
        <f aca="false">IF(OR(F252="",C252=""),"",IF(COUNTIF($C$2:C252,C252)=1,MAX($U$1:U251)+1,""))</f>
        <v/>
      </c>
    </row>
    <row r="253" customFormat="false" ht="15" hidden="false" customHeight="false" outlineLevel="0" collapsed="false">
      <c r="A253" s="34"/>
      <c r="B253" s="9"/>
      <c r="C253" s="34"/>
      <c r="D253" s="34"/>
      <c r="E253" s="34"/>
      <c r="F253" s="35"/>
      <c r="G253" s="9"/>
      <c r="H253" s="9"/>
      <c r="I253" s="34"/>
      <c r="J253" s="30" t="str">
        <f aca="false">IF(F253="","",G253-B253)</f>
        <v/>
      </c>
      <c r="K253" s="31" t="str">
        <f aca="false">IF(F253="","",IF(H253&lt;&gt;"",H253,MAX('Vade Sapması'!$D$3,G253)))</f>
        <v/>
      </c>
      <c r="L253" s="30" t="str">
        <f aca="false">IF(F253="","",K253-B253)</f>
        <v/>
      </c>
      <c r="M253" s="30" t="str">
        <f aca="false">IF(F253="","",L253-J253)</f>
        <v/>
      </c>
      <c r="N253" s="32" t="str">
        <f aca="false">IF(F253="","",IF(H253&lt;&gt;"","Kapandı",IF('Vade Sapması'!$D$3&gt;G253,"Açık · vadesi geçti","Açık · vadesi gelmedi")))</f>
        <v/>
      </c>
      <c r="O253" s="30" t="str">
        <f aca="false">IF(F253="","",IF(AND(H253="",'Vade Sapması'!$D$3&gt;G253),'Vade Sapması'!$D$3-G253,0))</f>
        <v/>
      </c>
      <c r="P253" s="33" t="str">
        <f aca="false">IF(F253="","",F253*J253)</f>
        <v/>
      </c>
      <c r="Q253" s="33" t="str">
        <f aca="false">IF(F253="","",F253*L253)</f>
        <v/>
      </c>
      <c r="R253" s="33" t="str">
        <f aca="false">IF(F253="","",IF(H253="",F253,0))</f>
        <v/>
      </c>
      <c r="S253" s="32" t="str">
        <f aca="false">IF(F253="","",IF(N(O253)=0,"",IF(O253&lt;=30,"1-30",IF(O253&lt;=60,"31-60",IF(O253&lt;=90,"61-90","90+")))))</f>
        <v/>
      </c>
      <c r="T253" s="32" t="str">
        <f aca="false">IF(F253="","",IF(E253="","Diğer",E253))</f>
        <v/>
      </c>
      <c r="U253" s="32" t="str">
        <f aca="false">IF(OR(F253="",C253=""),"",IF(COUNTIF($C$2:C253,C253)=1,MAX($U$1:U252)+1,""))</f>
        <v/>
      </c>
    </row>
    <row r="254" customFormat="false" ht="15" hidden="false" customHeight="false" outlineLevel="0" collapsed="false">
      <c r="A254" s="34"/>
      <c r="B254" s="9"/>
      <c r="C254" s="34"/>
      <c r="D254" s="34"/>
      <c r="E254" s="34"/>
      <c r="F254" s="35"/>
      <c r="G254" s="9"/>
      <c r="H254" s="9"/>
      <c r="I254" s="34"/>
      <c r="J254" s="30" t="str">
        <f aca="false">IF(F254="","",G254-B254)</f>
        <v/>
      </c>
      <c r="K254" s="31" t="str">
        <f aca="false">IF(F254="","",IF(H254&lt;&gt;"",H254,MAX('Vade Sapması'!$D$3,G254)))</f>
        <v/>
      </c>
      <c r="L254" s="30" t="str">
        <f aca="false">IF(F254="","",K254-B254)</f>
        <v/>
      </c>
      <c r="M254" s="30" t="str">
        <f aca="false">IF(F254="","",L254-J254)</f>
        <v/>
      </c>
      <c r="N254" s="32" t="str">
        <f aca="false">IF(F254="","",IF(H254&lt;&gt;"","Kapandı",IF('Vade Sapması'!$D$3&gt;G254,"Açık · vadesi geçti","Açık · vadesi gelmedi")))</f>
        <v/>
      </c>
      <c r="O254" s="30" t="str">
        <f aca="false">IF(F254="","",IF(AND(H254="",'Vade Sapması'!$D$3&gt;G254),'Vade Sapması'!$D$3-G254,0))</f>
        <v/>
      </c>
      <c r="P254" s="33" t="str">
        <f aca="false">IF(F254="","",F254*J254)</f>
        <v/>
      </c>
      <c r="Q254" s="33" t="str">
        <f aca="false">IF(F254="","",F254*L254)</f>
        <v/>
      </c>
      <c r="R254" s="33" t="str">
        <f aca="false">IF(F254="","",IF(H254="",F254,0))</f>
        <v/>
      </c>
      <c r="S254" s="32" t="str">
        <f aca="false">IF(F254="","",IF(N(O254)=0,"",IF(O254&lt;=30,"1-30",IF(O254&lt;=60,"31-60",IF(O254&lt;=90,"61-90","90+")))))</f>
        <v/>
      </c>
      <c r="T254" s="32" t="str">
        <f aca="false">IF(F254="","",IF(E254="","Diğer",E254))</f>
        <v/>
      </c>
      <c r="U254" s="32" t="str">
        <f aca="false">IF(OR(F254="",C254=""),"",IF(COUNTIF($C$2:C254,C254)=1,MAX($U$1:U253)+1,""))</f>
        <v/>
      </c>
    </row>
    <row r="255" customFormat="false" ht="15" hidden="false" customHeight="false" outlineLevel="0" collapsed="false">
      <c r="A255" s="34"/>
      <c r="B255" s="9"/>
      <c r="C255" s="34"/>
      <c r="D255" s="34"/>
      <c r="E255" s="34"/>
      <c r="F255" s="35"/>
      <c r="G255" s="9"/>
      <c r="H255" s="9"/>
      <c r="I255" s="34"/>
      <c r="J255" s="30" t="str">
        <f aca="false">IF(F255="","",G255-B255)</f>
        <v/>
      </c>
      <c r="K255" s="31" t="str">
        <f aca="false">IF(F255="","",IF(H255&lt;&gt;"",H255,MAX('Vade Sapması'!$D$3,G255)))</f>
        <v/>
      </c>
      <c r="L255" s="30" t="str">
        <f aca="false">IF(F255="","",K255-B255)</f>
        <v/>
      </c>
      <c r="M255" s="30" t="str">
        <f aca="false">IF(F255="","",L255-J255)</f>
        <v/>
      </c>
      <c r="N255" s="32" t="str">
        <f aca="false">IF(F255="","",IF(H255&lt;&gt;"","Kapandı",IF('Vade Sapması'!$D$3&gt;G255,"Açık · vadesi geçti","Açık · vadesi gelmedi")))</f>
        <v/>
      </c>
      <c r="O255" s="30" t="str">
        <f aca="false">IF(F255="","",IF(AND(H255="",'Vade Sapması'!$D$3&gt;G255),'Vade Sapması'!$D$3-G255,0))</f>
        <v/>
      </c>
      <c r="P255" s="33" t="str">
        <f aca="false">IF(F255="","",F255*J255)</f>
        <v/>
      </c>
      <c r="Q255" s="33" t="str">
        <f aca="false">IF(F255="","",F255*L255)</f>
        <v/>
      </c>
      <c r="R255" s="33" t="str">
        <f aca="false">IF(F255="","",IF(H255="",F255,0))</f>
        <v/>
      </c>
      <c r="S255" s="32" t="str">
        <f aca="false">IF(F255="","",IF(N(O255)=0,"",IF(O255&lt;=30,"1-30",IF(O255&lt;=60,"31-60",IF(O255&lt;=90,"61-90","90+")))))</f>
        <v/>
      </c>
      <c r="T255" s="32" t="str">
        <f aca="false">IF(F255="","",IF(E255="","Diğer",E255))</f>
        <v/>
      </c>
      <c r="U255" s="32" t="str">
        <f aca="false">IF(OR(F255="",C255=""),"",IF(COUNTIF($C$2:C255,C255)=1,MAX($U$1:U254)+1,""))</f>
        <v/>
      </c>
    </row>
    <row r="256" customFormat="false" ht="15" hidden="false" customHeight="false" outlineLevel="0" collapsed="false">
      <c r="A256" s="34"/>
      <c r="B256" s="9"/>
      <c r="C256" s="34"/>
      <c r="D256" s="34"/>
      <c r="E256" s="34"/>
      <c r="F256" s="35"/>
      <c r="G256" s="9"/>
      <c r="H256" s="9"/>
      <c r="I256" s="34"/>
      <c r="J256" s="30" t="str">
        <f aca="false">IF(F256="","",G256-B256)</f>
        <v/>
      </c>
      <c r="K256" s="31" t="str">
        <f aca="false">IF(F256="","",IF(H256&lt;&gt;"",H256,MAX('Vade Sapması'!$D$3,G256)))</f>
        <v/>
      </c>
      <c r="L256" s="30" t="str">
        <f aca="false">IF(F256="","",K256-B256)</f>
        <v/>
      </c>
      <c r="M256" s="30" t="str">
        <f aca="false">IF(F256="","",L256-J256)</f>
        <v/>
      </c>
      <c r="N256" s="32" t="str">
        <f aca="false">IF(F256="","",IF(H256&lt;&gt;"","Kapandı",IF('Vade Sapması'!$D$3&gt;G256,"Açık · vadesi geçti","Açık · vadesi gelmedi")))</f>
        <v/>
      </c>
      <c r="O256" s="30" t="str">
        <f aca="false">IF(F256="","",IF(AND(H256="",'Vade Sapması'!$D$3&gt;G256),'Vade Sapması'!$D$3-G256,0))</f>
        <v/>
      </c>
      <c r="P256" s="33" t="str">
        <f aca="false">IF(F256="","",F256*J256)</f>
        <v/>
      </c>
      <c r="Q256" s="33" t="str">
        <f aca="false">IF(F256="","",F256*L256)</f>
        <v/>
      </c>
      <c r="R256" s="33" t="str">
        <f aca="false">IF(F256="","",IF(H256="",F256,0))</f>
        <v/>
      </c>
      <c r="S256" s="32" t="str">
        <f aca="false">IF(F256="","",IF(N(O256)=0,"",IF(O256&lt;=30,"1-30",IF(O256&lt;=60,"31-60",IF(O256&lt;=90,"61-90","90+")))))</f>
        <v/>
      </c>
      <c r="T256" s="32" t="str">
        <f aca="false">IF(F256="","",IF(E256="","Diğer",E256))</f>
        <v/>
      </c>
      <c r="U256" s="32" t="str">
        <f aca="false">IF(OR(F256="",C256=""),"",IF(COUNTIF($C$2:C256,C256)=1,MAX($U$1:U255)+1,""))</f>
        <v/>
      </c>
    </row>
    <row r="257" customFormat="false" ht="15" hidden="false" customHeight="false" outlineLevel="0" collapsed="false">
      <c r="A257" s="34"/>
      <c r="B257" s="9"/>
      <c r="C257" s="34"/>
      <c r="D257" s="34"/>
      <c r="E257" s="34"/>
      <c r="F257" s="35"/>
      <c r="G257" s="9"/>
      <c r="H257" s="9"/>
      <c r="I257" s="34"/>
      <c r="J257" s="30" t="str">
        <f aca="false">IF(F257="","",G257-B257)</f>
        <v/>
      </c>
      <c r="K257" s="31" t="str">
        <f aca="false">IF(F257="","",IF(H257&lt;&gt;"",H257,MAX('Vade Sapması'!$D$3,G257)))</f>
        <v/>
      </c>
      <c r="L257" s="30" t="str">
        <f aca="false">IF(F257="","",K257-B257)</f>
        <v/>
      </c>
      <c r="M257" s="30" t="str">
        <f aca="false">IF(F257="","",L257-J257)</f>
        <v/>
      </c>
      <c r="N257" s="32" t="str">
        <f aca="false">IF(F257="","",IF(H257&lt;&gt;"","Kapandı",IF('Vade Sapması'!$D$3&gt;G257,"Açık · vadesi geçti","Açık · vadesi gelmedi")))</f>
        <v/>
      </c>
      <c r="O257" s="30" t="str">
        <f aca="false">IF(F257="","",IF(AND(H257="",'Vade Sapması'!$D$3&gt;G257),'Vade Sapması'!$D$3-G257,0))</f>
        <v/>
      </c>
      <c r="P257" s="33" t="str">
        <f aca="false">IF(F257="","",F257*J257)</f>
        <v/>
      </c>
      <c r="Q257" s="33" t="str">
        <f aca="false">IF(F257="","",F257*L257)</f>
        <v/>
      </c>
      <c r="R257" s="33" t="str">
        <f aca="false">IF(F257="","",IF(H257="",F257,0))</f>
        <v/>
      </c>
      <c r="S257" s="32" t="str">
        <f aca="false">IF(F257="","",IF(N(O257)=0,"",IF(O257&lt;=30,"1-30",IF(O257&lt;=60,"31-60",IF(O257&lt;=90,"61-90","90+")))))</f>
        <v/>
      </c>
      <c r="T257" s="32" t="str">
        <f aca="false">IF(F257="","",IF(E257="","Diğer",E257))</f>
        <v/>
      </c>
      <c r="U257" s="32" t="str">
        <f aca="false">IF(OR(F257="",C257=""),"",IF(COUNTIF($C$2:C257,C257)=1,MAX($U$1:U256)+1,""))</f>
        <v/>
      </c>
    </row>
    <row r="258" customFormat="false" ht="15" hidden="false" customHeight="false" outlineLevel="0" collapsed="false">
      <c r="A258" s="34"/>
      <c r="B258" s="9"/>
      <c r="C258" s="34"/>
      <c r="D258" s="34"/>
      <c r="E258" s="34"/>
      <c r="F258" s="35"/>
      <c r="G258" s="9"/>
      <c r="H258" s="9"/>
      <c r="I258" s="34"/>
      <c r="J258" s="30" t="str">
        <f aca="false">IF(F258="","",G258-B258)</f>
        <v/>
      </c>
      <c r="K258" s="31" t="str">
        <f aca="false">IF(F258="","",IF(H258&lt;&gt;"",H258,MAX('Vade Sapması'!$D$3,G258)))</f>
        <v/>
      </c>
      <c r="L258" s="30" t="str">
        <f aca="false">IF(F258="","",K258-B258)</f>
        <v/>
      </c>
      <c r="M258" s="30" t="str">
        <f aca="false">IF(F258="","",L258-J258)</f>
        <v/>
      </c>
      <c r="N258" s="32" t="str">
        <f aca="false">IF(F258="","",IF(H258&lt;&gt;"","Kapandı",IF('Vade Sapması'!$D$3&gt;G258,"Açık · vadesi geçti","Açık · vadesi gelmedi")))</f>
        <v/>
      </c>
      <c r="O258" s="30" t="str">
        <f aca="false">IF(F258="","",IF(AND(H258="",'Vade Sapması'!$D$3&gt;G258),'Vade Sapması'!$D$3-G258,0))</f>
        <v/>
      </c>
      <c r="P258" s="33" t="str">
        <f aca="false">IF(F258="","",F258*J258)</f>
        <v/>
      </c>
      <c r="Q258" s="33" t="str">
        <f aca="false">IF(F258="","",F258*L258)</f>
        <v/>
      </c>
      <c r="R258" s="33" t="str">
        <f aca="false">IF(F258="","",IF(H258="",F258,0))</f>
        <v/>
      </c>
      <c r="S258" s="32" t="str">
        <f aca="false">IF(F258="","",IF(N(O258)=0,"",IF(O258&lt;=30,"1-30",IF(O258&lt;=60,"31-60",IF(O258&lt;=90,"61-90","90+")))))</f>
        <v/>
      </c>
      <c r="T258" s="32" t="str">
        <f aca="false">IF(F258="","",IF(E258="","Diğer",E258))</f>
        <v/>
      </c>
      <c r="U258" s="32" t="str">
        <f aca="false">IF(OR(F258="",C258=""),"",IF(COUNTIF($C$2:C258,C258)=1,MAX($U$1:U257)+1,""))</f>
        <v/>
      </c>
    </row>
    <row r="259" customFormat="false" ht="15" hidden="false" customHeight="false" outlineLevel="0" collapsed="false">
      <c r="A259" s="34"/>
      <c r="B259" s="9"/>
      <c r="C259" s="34"/>
      <c r="D259" s="34"/>
      <c r="E259" s="34"/>
      <c r="F259" s="35"/>
      <c r="G259" s="9"/>
      <c r="H259" s="9"/>
      <c r="I259" s="34"/>
      <c r="J259" s="30" t="str">
        <f aca="false">IF(F259="","",G259-B259)</f>
        <v/>
      </c>
      <c r="K259" s="31" t="str">
        <f aca="false">IF(F259="","",IF(H259&lt;&gt;"",H259,MAX('Vade Sapması'!$D$3,G259)))</f>
        <v/>
      </c>
      <c r="L259" s="30" t="str">
        <f aca="false">IF(F259="","",K259-B259)</f>
        <v/>
      </c>
      <c r="M259" s="30" t="str">
        <f aca="false">IF(F259="","",L259-J259)</f>
        <v/>
      </c>
      <c r="N259" s="32" t="str">
        <f aca="false">IF(F259="","",IF(H259&lt;&gt;"","Kapandı",IF('Vade Sapması'!$D$3&gt;G259,"Açık · vadesi geçti","Açık · vadesi gelmedi")))</f>
        <v/>
      </c>
      <c r="O259" s="30" t="str">
        <f aca="false">IF(F259="","",IF(AND(H259="",'Vade Sapması'!$D$3&gt;G259),'Vade Sapması'!$D$3-G259,0))</f>
        <v/>
      </c>
      <c r="P259" s="33" t="str">
        <f aca="false">IF(F259="","",F259*J259)</f>
        <v/>
      </c>
      <c r="Q259" s="33" t="str">
        <f aca="false">IF(F259="","",F259*L259)</f>
        <v/>
      </c>
      <c r="R259" s="33" t="str">
        <f aca="false">IF(F259="","",IF(H259="",F259,0))</f>
        <v/>
      </c>
      <c r="S259" s="32" t="str">
        <f aca="false">IF(F259="","",IF(N(O259)=0,"",IF(O259&lt;=30,"1-30",IF(O259&lt;=60,"31-60",IF(O259&lt;=90,"61-90","90+")))))</f>
        <v/>
      </c>
      <c r="T259" s="32" t="str">
        <f aca="false">IF(F259="","",IF(E259="","Diğer",E259))</f>
        <v/>
      </c>
      <c r="U259" s="32" t="str">
        <f aca="false">IF(OR(F259="",C259=""),"",IF(COUNTIF($C$2:C259,C259)=1,MAX($U$1:U258)+1,""))</f>
        <v/>
      </c>
    </row>
    <row r="260" customFormat="false" ht="15" hidden="false" customHeight="false" outlineLevel="0" collapsed="false">
      <c r="A260" s="34"/>
      <c r="B260" s="9"/>
      <c r="C260" s="34"/>
      <c r="D260" s="34"/>
      <c r="E260" s="34"/>
      <c r="F260" s="35"/>
      <c r="G260" s="9"/>
      <c r="H260" s="9"/>
      <c r="I260" s="34"/>
      <c r="J260" s="30" t="str">
        <f aca="false">IF(F260="","",G260-B260)</f>
        <v/>
      </c>
      <c r="K260" s="31" t="str">
        <f aca="false">IF(F260="","",IF(H260&lt;&gt;"",H260,MAX('Vade Sapması'!$D$3,G260)))</f>
        <v/>
      </c>
      <c r="L260" s="30" t="str">
        <f aca="false">IF(F260="","",K260-B260)</f>
        <v/>
      </c>
      <c r="M260" s="30" t="str">
        <f aca="false">IF(F260="","",L260-J260)</f>
        <v/>
      </c>
      <c r="N260" s="32" t="str">
        <f aca="false">IF(F260="","",IF(H260&lt;&gt;"","Kapandı",IF('Vade Sapması'!$D$3&gt;G260,"Açık · vadesi geçti","Açık · vadesi gelmedi")))</f>
        <v/>
      </c>
      <c r="O260" s="30" t="str">
        <f aca="false">IF(F260="","",IF(AND(H260="",'Vade Sapması'!$D$3&gt;G260),'Vade Sapması'!$D$3-G260,0))</f>
        <v/>
      </c>
      <c r="P260" s="33" t="str">
        <f aca="false">IF(F260="","",F260*J260)</f>
        <v/>
      </c>
      <c r="Q260" s="33" t="str">
        <f aca="false">IF(F260="","",F260*L260)</f>
        <v/>
      </c>
      <c r="R260" s="33" t="str">
        <f aca="false">IF(F260="","",IF(H260="",F260,0))</f>
        <v/>
      </c>
      <c r="S260" s="32" t="str">
        <f aca="false">IF(F260="","",IF(N(O260)=0,"",IF(O260&lt;=30,"1-30",IF(O260&lt;=60,"31-60",IF(O260&lt;=90,"61-90","90+")))))</f>
        <v/>
      </c>
      <c r="T260" s="32" t="str">
        <f aca="false">IF(F260="","",IF(E260="","Diğer",E260))</f>
        <v/>
      </c>
      <c r="U260" s="32" t="str">
        <f aca="false">IF(OR(F260="",C260=""),"",IF(COUNTIF($C$2:C260,C260)=1,MAX($U$1:U259)+1,""))</f>
        <v/>
      </c>
    </row>
    <row r="261" customFormat="false" ht="15" hidden="false" customHeight="false" outlineLevel="0" collapsed="false">
      <c r="A261" s="34"/>
      <c r="B261" s="9"/>
      <c r="C261" s="34"/>
      <c r="D261" s="34"/>
      <c r="E261" s="34"/>
      <c r="F261" s="35"/>
      <c r="G261" s="9"/>
      <c r="H261" s="9"/>
      <c r="I261" s="34"/>
      <c r="J261" s="30" t="str">
        <f aca="false">IF(F261="","",G261-B261)</f>
        <v/>
      </c>
      <c r="K261" s="31" t="str">
        <f aca="false">IF(F261="","",IF(H261&lt;&gt;"",H261,MAX('Vade Sapması'!$D$3,G261)))</f>
        <v/>
      </c>
      <c r="L261" s="30" t="str">
        <f aca="false">IF(F261="","",K261-B261)</f>
        <v/>
      </c>
      <c r="M261" s="30" t="str">
        <f aca="false">IF(F261="","",L261-J261)</f>
        <v/>
      </c>
      <c r="N261" s="32" t="str">
        <f aca="false">IF(F261="","",IF(H261&lt;&gt;"","Kapandı",IF('Vade Sapması'!$D$3&gt;G261,"Açık · vadesi geçti","Açık · vadesi gelmedi")))</f>
        <v/>
      </c>
      <c r="O261" s="30" t="str">
        <f aca="false">IF(F261="","",IF(AND(H261="",'Vade Sapması'!$D$3&gt;G261),'Vade Sapması'!$D$3-G261,0))</f>
        <v/>
      </c>
      <c r="P261" s="33" t="str">
        <f aca="false">IF(F261="","",F261*J261)</f>
        <v/>
      </c>
      <c r="Q261" s="33" t="str">
        <f aca="false">IF(F261="","",F261*L261)</f>
        <v/>
      </c>
      <c r="R261" s="33" t="str">
        <f aca="false">IF(F261="","",IF(H261="",F261,0))</f>
        <v/>
      </c>
      <c r="S261" s="32" t="str">
        <f aca="false">IF(F261="","",IF(N(O261)=0,"",IF(O261&lt;=30,"1-30",IF(O261&lt;=60,"31-60",IF(O261&lt;=90,"61-90","90+")))))</f>
        <v/>
      </c>
      <c r="T261" s="32" t="str">
        <f aca="false">IF(F261="","",IF(E261="","Diğer",E261))</f>
        <v/>
      </c>
      <c r="U261" s="32" t="str">
        <f aca="false">IF(OR(F261="",C261=""),"",IF(COUNTIF($C$2:C261,C261)=1,MAX($U$1:U260)+1,""))</f>
        <v/>
      </c>
    </row>
    <row r="262" customFormat="false" ht="15" hidden="false" customHeight="false" outlineLevel="0" collapsed="false">
      <c r="A262" s="34"/>
      <c r="B262" s="9"/>
      <c r="C262" s="34"/>
      <c r="D262" s="34"/>
      <c r="E262" s="34"/>
      <c r="F262" s="35"/>
      <c r="G262" s="9"/>
      <c r="H262" s="9"/>
      <c r="I262" s="34"/>
      <c r="J262" s="30" t="str">
        <f aca="false">IF(F262="","",G262-B262)</f>
        <v/>
      </c>
      <c r="K262" s="31" t="str">
        <f aca="false">IF(F262="","",IF(H262&lt;&gt;"",H262,MAX('Vade Sapması'!$D$3,G262)))</f>
        <v/>
      </c>
      <c r="L262" s="30" t="str">
        <f aca="false">IF(F262="","",K262-B262)</f>
        <v/>
      </c>
      <c r="M262" s="30" t="str">
        <f aca="false">IF(F262="","",L262-J262)</f>
        <v/>
      </c>
      <c r="N262" s="32" t="str">
        <f aca="false">IF(F262="","",IF(H262&lt;&gt;"","Kapandı",IF('Vade Sapması'!$D$3&gt;G262,"Açık · vadesi geçti","Açık · vadesi gelmedi")))</f>
        <v/>
      </c>
      <c r="O262" s="30" t="str">
        <f aca="false">IF(F262="","",IF(AND(H262="",'Vade Sapması'!$D$3&gt;G262),'Vade Sapması'!$D$3-G262,0))</f>
        <v/>
      </c>
      <c r="P262" s="33" t="str">
        <f aca="false">IF(F262="","",F262*J262)</f>
        <v/>
      </c>
      <c r="Q262" s="33" t="str">
        <f aca="false">IF(F262="","",F262*L262)</f>
        <v/>
      </c>
      <c r="R262" s="33" t="str">
        <f aca="false">IF(F262="","",IF(H262="",F262,0))</f>
        <v/>
      </c>
      <c r="S262" s="32" t="str">
        <f aca="false">IF(F262="","",IF(N(O262)=0,"",IF(O262&lt;=30,"1-30",IF(O262&lt;=60,"31-60",IF(O262&lt;=90,"61-90","90+")))))</f>
        <v/>
      </c>
      <c r="T262" s="32" t="str">
        <f aca="false">IF(F262="","",IF(E262="","Diğer",E262))</f>
        <v/>
      </c>
      <c r="U262" s="32" t="str">
        <f aca="false">IF(OR(F262="",C262=""),"",IF(COUNTIF($C$2:C262,C262)=1,MAX($U$1:U261)+1,""))</f>
        <v/>
      </c>
    </row>
    <row r="263" customFormat="false" ht="15" hidden="false" customHeight="false" outlineLevel="0" collapsed="false">
      <c r="A263" s="34"/>
      <c r="B263" s="9"/>
      <c r="C263" s="34"/>
      <c r="D263" s="34"/>
      <c r="E263" s="34"/>
      <c r="F263" s="35"/>
      <c r="G263" s="9"/>
      <c r="H263" s="9"/>
      <c r="I263" s="34"/>
      <c r="J263" s="30" t="str">
        <f aca="false">IF(F263="","",G263-B263)</f>
        <v/>
      </c>
      <c r="K263" s="31" t="str">
        <f aca="false">IF(F263="","",IF(H263&lt;&gt;"",H263,MAX('Vade Sapması'!$D$3,G263)))</f>
        <v/>
      </c>
      <c r="L263" s="30" t="str">
        <f aca="false">IF(F263="","",K263-B263)</f>
        <v/>
      </c>
      <c r="M263" s="30" t="str">
        <f aca="false">IF(F263="","",L263-J263)</f>
        <v/>
      </c>
      <c r="N263" s="32" t="str">
        <f aca="false">IF(F263="","",IF(H263&lt;&gt;"","Kapandı",IF('Vade Sapması'!$D$3&gt;G263,"Açık · vadesi geçti","Açık · vadesi gelmedi")))</f>
        <v/>
      </c>
      <c r="O263" s="30" t="str">
        <f aca="false">IF(F263="","",IF(AND(H263="",'Vade Sapması'!$D$3&gt;G263),'Vade Sapması'!$D$3-G263,0))</f>
        <v/>
      </c>
      <c r="P263" s="33" t="str">
        <f aca="false">IF(F263="","",F263*J263)</f>
        <v/>
      </c>
      <c r="Q263" s="33" t="str">
        <f aca="false">IF(F263="","",F263*L263)</f>
        <v/>
      </c>
      <c r="R263" s="33" t="str">
        <f aca="false">IF(F263="","",IF(H263="",F263,0))</f>
        <v/>
      </c>
      <c r="S263" s="32" t="str">
        <f aca="false">IF(F263="","",IF(N(O263)=0,"",IF(O263&lt;=30,"1-30",IF(O263&lt;=60,"31-60",IF(O263&lt;=90,"61-90","90+")))))</f>
        <v/>
      </c>
      <c r="T263" s="32" t="str">
        <f aca="false">IF(F263="","",IF(E263="","Diğer",E263))</f>
        <v/>
      </c>
      <c r="U263" s="32" t="str">
        <f aca="false">IF(OR(F263="",C263=""),"",IF(COUNTIF($C$2:C263,C263)=1,MAX($U$1:U262)+1,""))</f>
        <v/>
      </c>
    </row>
    <row r="264" customFormat="false" ht="15" hidden="false" customHeight="false" outlineLevel="0" collapsed="false">
      <c r="A264" s="34"/>
      <c r="B264" s="9"/>
      <c r="C264" s="34"/>
      <c r="D264" s="34"/>
      <c r="E264" s="34"/>
      <c r="F264" s="35"/>
      <c r="G264" s="9"/>
      <c r="H264" s="9"/>
      <c r="I264" s="34"/>
      <c r="J264" s="30" t="str">
        <f aca="false">IF(F264="","",G264-B264)</f>
        <v/>
      </c>
      <c r="K264" s="31" t="str">
        <f aca="false">IF(F264="","",IF(H264&lt;&gt;"",H264,MAX('Vade Sapması'!$D$3,G264)))</f>
        <v/>
      </c>
      <c r="L264" s="30" t="str">
        <f aca="false">IF(F264="","",K264-B264)</f>
        <v/>
      </c>
      <c r="M264" s="30" t="str">
        <f aca="false">IF(F264="","",L264-J264)</f>
        <v/>
      </c>
      <c r="N264" s="32" t="str">
        <f aca="false">IF(F264="","",IF(H264&lt;&gt;"","Kapandı",IF('Vade Sapması'!$D$3&gt;G264,"Açık · vadesi geçti","Açık · vadesi gelmedi")))</f>
        <v/>
      </c>
      <c r="O264" s="30" t="str">
        <f aca="false">IF(F264="","",IF(AND(H264="",'Vade Sapması'!$D$3&gt;G264),'Vade Sapması'!$D$3-G264,0))</f>
        <v/>
      </c>
      <c r="P264" s="33" t="str">
        <f aca="false">IF(F264="","",F264*J264)</f>
        <v/>
      </c>
      <c r="Q264" s="33" t="str">
        <f aca="false">IF(F264="","",F264*L264)</f>
        <v/>
      </c>
      <c r="R264" s="33" t="str">
        <f aca="false">IF(F264="","",IF(H264="",F264,0))</f>
        <v/>
      </c>
      <c r="S264" s="32" t="str">
        <f aca="false">IF(F264="","",IF(N(O264)=0,"",IF(O264&lt;=30,"1-30",IF(O264&lt;=60,"31-60",IF(O264&lt;=90,"61-90","90+")))))</f>
        <v/>
      </c>
      <c r="T264" s="32" t="str">
        <f aca="false">IF(F264="","",IF(E264="","Diğer",E264))</f>
        <v/>
      </c>
      <c r="U264" s="32" t="str">
        <f aca="false">IF(OR(F264="",C264=""),"",IF(COUNTIF($C$2:C264,C264)=1,MAX($U$1:U263)+1,""))</f>
        <v/>
      </c>
    </row>
    <row r="265" customFormat="false" ht="15" hidden="false" customHeight="false" outlineLevel="0" collapsed="false">
      <c r="A265" s="34"/>
      <c r="B265" s="9"/>
      <c r="C265" s="34"/>
      <c r="D265" s="34"/>
      <c r="E265" s="34"/>
      <c r="F265" s="35"/>
      <c r="G265" s="9"/>
      <c r="H265" s="9"/>
      <c r="I265" s="34"/>
      <c r="J265" s="30" t="str">
        <f aca="false">IF(F265="","",G265-B265)</f>
        <v/>
      </c>
      <c r="K265" s="31" t="str">
        <f aca="false">IF(F265="","",IF(H265&lt;&gt;"",H265,MAX('Vade Sapması'!$D$3,G265)))</f>
        <v/>
      </c>
      <c r="L265" s="30" t="str">
        <f aca="false">IF(F265="","",K265-B265)</f>
        <v/>
      </c>
      <c r="M265" s="30" t="str">
        <f aca="false">IF(F265="","",L265-J265)</f>
        <v/>
      </c>
      <c r="N265" s="32" t="str">
        <f aca="false">IF(F265="","",IF(H265&lt;&gt;"","Kapandı",IF('Vade Sapması'!$D$3&gt;G265,"Açık · vadesi geçti","Açık · vadesi gelmedi")))</f>
        <v/>
      </c>
      <c r="O265" s="30" t="str">
        <f aca="false">IF(F265="","",IF(AND(H265="",'Vade Sapması'!$D$3&gt;G265),'Vade Sapması'!$D$3-G265,0))</f>
        <v/>
      </c>
      <c r="P265" s="33" t="str">
        <f aca="false">IF(F265="","",F265*J265)</f>
        <v/>
      </c>
      <c r="Q265" s="33" t="str">
        <f aca="false">IF(F265="","",F265*L265)</f>
        <v/>
      </c>
      <c r="R265" s="33" t="str">
        <f aca="false">IF(F265="","",IF(H265="",F265,0))</f>
        <v/>
      </c>
      <c r="S265" s="32" t="str">
        <f aca="false">IF(F265="","",IF(N(O265)=0,"",IF(O265&lt;=30,"1-30",IF(O265&lt;=60,"31-60",IF(O265&lt;=90,"61-90","90+")))))</f>
        <v/>
      </c>
      <c r="T265" s="32" t="str">
        <f aca="false">IF(F265="","",IF(E265="","Diğer",E265))</f>
        <v/>
      </c>
      <c r="U265" s="32" t="str">
        <f aca="false">IF(OR(F265="",C265=""),"",IF(COUNTIF($C$2:C265,C265)=1,MAX($U$1:U264)+1,""))</f>
        <v/>
      </c>
    </row>
    <row r="266" customFormat="false" ht="15" hidden="false" customHeight="false" outlineLevel="0" collapsed="false">
      <c r="A266" s="34"/>
      <c r="B266" s="9"/>
      <c r="C266" s="34"/>
      <c r="D266" s="34"/>
      <c r="E266" s="34"/>
      <c r="F266" s="35"/>
      <c r="G266" s="9"/>
      <c r="H266" s="9"/>
      <c r="I266" s="34"/>
      <c r="J266" s="30" t="str">
        <f aca="false">IF(F266="","",G266-B266)</f>
        <v/>
      </c>
      <c r="K266" s="31" t="str">
        <f aca="false">IF(F266="","",IF(H266&lt;&gt;"",H266,MAX('Vade Sapması'!$D$3,G266)))</f>
        <v/>
      </c>
      <c r="L266" s="30" t="str">
        <f aca="false">IF(F266="","",K266-B266)</f>
        <v/>
      </c>
      <c r="M266" s="30" t="str">
        <f aca="false">IF(F266="","",L266-J266)</f>
        <v/>
      </c>
      <c r="N266" s="32" t="str">
        <f aca="false">IF(F266="","",IF(H266&lt;&gt;"","Kapandı",IF('Vade Sapması'!$D$3&gt;G266,"Açık · vadesi geçti","Açık · vadesi gelmedi")))</f>
        <v/>
      </c>
      <c r="O266" s="30" t="str">
        <f aca="false">IF(F266="","",IF(AND(H266="",'Vade Sapması'!$D$3&gt;G266),'Vade Sapması'!$D$3-G266,0))</f>
        <v/>
      </c>
      <c r="P266" s="33" t="str">
        <f aca="false">IF(F266="","",F266*J266)</f>
        <v/>
      </c>
      <c r="Q266" s="33" t="str">
        <f aca="false">IF(F266="","",F266*L266)</f>
        <v/>
      </c>
      <c r="R266" s="33" t="str">
        <f aca="false">IF(F266="","",IF(H266="",F266,0))</f>
        <v/>
      </c>
      <c r="S266" s="32" t="str">
        <f aca="false">IF(F266="","",IF(N(O266)=0,"",IF(O266&lt;=30,"1-30",IF(O266&lt;=60,"31-60",IF(O266&lt;=90,"61-90","90+")))))</f>
        <v/>
      </c>
      <c r="T266" s="32" t="str">
        <f aca="false">IF(F266="","",IF(E266="","Diğer",E266))</f>
        <v/>
      </c>
      <c r="U266" s="32" t="str">
        <f aca="false">IF(OR(F266="",C266=""),"",IF(COUNTIF($C$2:C266,C266)=1,MAX($U$1:U265)+1,""))</f>
        <v/>
      </c>
    </row>
    <row r="267" customFormat="false" ht="15" hidden="false" customHeight="false" outlineLevel="0" collapsed="false">
      <c r="A267" s="34"/>
      <c r="B267" s="9"/>
      <c r="C267" s="34"/>
      <c r="D267" s="34"/>
      <c r="E267" s="34"/>
      <c r="F267" s="35"/>
      <c r="G267" s="9"/>
      <c r="H267" s="9"/>
      <c r="I267" s="34"/>
      <c r="J267" s="30" t="str">
        <f aca="false">IF(F267="","",G267-B267)</f>
        <v/>
      </c>
      <c r="K267" s="31" t="str">
        <f aca="false">IF(F267="","",IF(H267&lt;&gt;"",H267,MAX('Vade Sapması'!$D$3,G267)))</f>
        <v/>
      </c>
      <c r="L267" s="30" t="str">
        <f aca="false">IF(F267="","",K267-B267)</f>
        <v/>
      </c>
      <c r="M267" s="30" t="str">
        <f aca="false">IF(F267="","",L267-J267)</f>
        <v/>
      </c>
      <c r="N267" s="32" t="str">
        <f aca="false">IF(F267="","",IF(H267&lt;&gt;"","Kapandı",IF('Vade Sapması'!$D$3&gt;G267,"Açık · vadesi geçti","Açık · vadesi gelmedi")))</f>
        <v/>
      </c>
      <c r="O267" s="30" t="str">
        <f aca="false">IF(F267="","",IF(AND(H267="",'Vade Sapması'!$D$3&gt;G267),'Vade Sapması'!$D$3-G267,0))</f>
        <v/>
      </c>
      <c r="P267" s="33" t="str">
        <f aca="false">IF(F267="","",F267*J267)</f>
        <v/>
      </c>
      <c r="Q267" s="33" t="str">
        <f aca="false">IF(F267="","",F267*L267)</f>
        <v/>
      </c>
      <c r="R267" s="33" t="str">
        <f aca="false">IF(F267="","",IF(H267="",F267,0))</f>
        <v/>
      </c>
      <c r="S267" s="32" t="str">
        <f aca="false">IF(F267="","",IF(N(O267)=0,"",IF(O267&lt;=30,"1-30",IF(O267&lt;=60,"31-60",IF(O267&lt;=90,"61-90","90+")))))</f>
        <v/>
      </c>
      <c r="T267" s="32" t="str">
        <f aca="false">IF(F267="","",IF(E267="","Diğer",E267))</f>
        <v/>
      </c>
      <c r="U267" s="32" t="str">
        <f aca="false">IF(OR(F267="",C267=""),"",IF(COUNTIF($C$2:C267,C267)=1,MAX($U$1:U266)+1,""))</f>
        <v/>
      </c>
    </row>
    <row r="268" customFormat="false" ht="15" hidden="false" customHeight="false" outlineLevel="0" collapsed="false">
      <c r="A268" s="34"/>
      <c r="B268" s="9"/>
      <c r="C268" s="34"/>
      <c r="D268" s="34"/>
      <c r="E268" s="34"/>
      <c r="F268" s="35"/>
      <c r="G268" s="9"/>
      <c r="H268" s="9"/>
      <c r="I268" s="34"/>
      <c r="J268" s="30" t="str">
        <f aca="false">IF(F268="","",G268-B268)</f>
        <v/>
      </c>
      <c r="K268" s="31" t="str">
        <f aca="false">IF(F268="","",IF(H268&lt;&gt;"",H268,MAX('Vade Sapması'!$D$3,G268)))</f>
        <v/>
      </c>
      <c r="L268" s="30" t="str">
        <f aca="false">IF(F268="","",K268-B268)</f>
        <v/>
      </c>
      <c r="M268" s="30" t="str">
        <f aca="false">IF(F268="","",L268-J268)</f>
        <v/>
      </c>
      <c r="N268" s="32" t="str">
        <f aca="false">IF(F268="","",IF(H268&lt;&gt;"","Kapandı",IF('Vade Sapması'!$D$3&gt;G268,"Açık · vadesi geçti","Açık · vadesi gelmedi")))</f>
        <v/>
      </c>
      <c r="O268" s="30" t="str">
        <f aca="false">IF(F268="","",IF(AND(H268="",'Vade Sapması'!$D$3&gt;G268),'Vade Sapması'!$D$3-G268,0))</f>
        <v/>
      </c>
      <c r="P268" s="33" t="str">
        <f aca="false">IF(F268="","",F268*J268)</f>
        <v/>
      </c>
      <c r="Q268" s="33" t="str">
        <f aca="false">IF(F268="","",F268*L268)</f>
        <v/>
      </c>
      <c r="R268" s="33" t="str">
        <f aca="false">IF(F268="","",IF(H268="",F268,0))</f>
        <v/>
      </c>
      <c r="S268" s="32" t="str">
        <f aca="false">IF(F268="","",IF(N(O268)=0,"",IF(O268&lt;=30,"1-30",IF(O268&lt;=60,"31-60",IF(O268&lt;=90,"61-90","90+")))))</f>
        <v/>
      </c>
      <c r="T268" s="32" t="str">
        <f aca="false">IF(F268="","",IF(E268="","Diğer",E268))</f>
        <v/>
      </c>
      <c r="U268" s="32" t="str">
        <f aca="false">IF(OR(F268="",C268=""),"",IF(COUNTIF($C$2:C268,C268)=1,MAX($U$1:U267)+1,""))</f>
        <v/>
      </c>
    </row>
    <row r="269" customFormat="false" ht="15" hidden="false" customHeight="false" outlineLevel="0" collapsed="false">
      <c r="A269" s="34"/>
      <c r="B269" s="9"/>
      <c r="C269" s="34"/>
      <c r="D269" s="34"/>
      <c r="E269" s="34"/>
      <c r="F269" s="35"/>
      <c r="G269" s="9"/>
      <c r="H269" s="9"/>
      <c r="I269" s="34"/>
      <c r="J269" s="30" t="str">
        <f aca="false">IF(F269="","",G269-B269)</f>
        <v/>
      </c>
      <c r="K269" s="31" t="str">
        <f aca="false">IF(F269="","",IF(H269&lt;&gt;"",H269,MAX('Vade Sapması'!$D$3,G269)))</f>
        <v/>
      </c>
      <c r="L269" s="30" t="str">
        <f aca="false">IF(F269="","",K269-B269)</f>
        <v/>
      </c>
      <c r="M269" s="30" t="str">
        <f aca="false">IF(F269="","",L269-J269)</f>
        <v/>
      </c>
      <c r="N269" s="32" t="str">
        <f aca="false">IF(F269="","",IF(H269&lt;&gt;"","Kapandı",IF('Vade Sapması'!$D$3&gt;G269,"Açık · vadesi geçti","Açık · vadesi gelmedi")))</f>
        <v/>
      </c>
      <c r="O269" s="30" t="str">
        <f aca="false">IF(F269="","",IF(AND(H269="",'Vade Sapması'!$D$3&gt;G269),'Vade Sapması'!$D$3-G269,0))</f>
        <v/>
      </c>
      <c r="P269" s="33" t="str">
        <f aca="false">IF(F269="","",F269*J269)</f>
        <v/>
      </c>
      <c r="Q269" s="33" t="str">
        <f aca="false">IF(F269="","",F269*L269)</f>
        <v/>
      </c>
      <c r="R269" s="33" t="str">
        <f aca="false">IF(F269="","",IF(H269="",F269,0))</f>
        <v/>
      </c>
      <c r="S269" s="32" t="str">
        <f aca="false">IF(F269="","",IF(N(O269)=0,"",IF(O269&lt;=30,"1-30",IF(O269&lt;=60,"31-60",IF(O269&lt;=90,"61-90","90+")))))</f>
        <v/>
      </c>
      <c r="T269" s="32" t="str">
        <f aca="false">IF(F269="","",IF(E269="","Diğer",E269))</f>
        <v/>
      </c>
      <c r="U269" s="32" t="str">
        <f aca="false">IF(OR(F269="",C269=""),"",IF(COUNTIF($C$2:C269,C269)=1,MAX($U$1:U268)+1,""))</f>
        <v/>
      </c>
    </row>
    <row r="270" customFormat="false" ht="15" hidden="false" customHeight="false" outlineLevel="0" collapsed="false">
      <c r="A270" s="34"/>
      <c r="B270" s="9"/>
      <c r="C270" s="34"/>
      <c r="D270" s="34"/>
      <c r="E270" s="34"/>
      <c r="F270" s="35"/>
      <c r="G270" s="9"/>
      <c r="H270" s="9"/>
      <c r="I270" s="34"/>
      <c r="J270" s="30" t="str">
        <f aca="false">IF(F270="","",G270-B270)</f>
        <v/>
      </c>
      <c r="K270" s="31" t="str">
        <f aca="false">IF(F270="","",IF(H270&lt;&gt;"",H270,MAX('Vade Sapması'!$D$3,G270)))</f>
        <v/>
      </c>
      <c r="L270" s="30" t="str">
        <f aca="false">IF(F270="","",K270-B270)</f>
        <v/>
      </c>
      <c r="M270" s="30" t="str">
        <f aca="false">IF(F270="","",L270-J270)</f>
        <v/>
      </c>
      <c r="N270" s="32" t="str">
        <f aca="false">IF(F270="","",IF(H270&lt;&gt;"","Kapandı",IF('Vade Sapması'!$D$3&gt;G270,"Açık · vadesi geçti","Açık · vadesi gelmedi")))</f>
        <v/>
      </c>
      <c r="O270" s="30" t="str">
        <f aca="false">IF(F270="","",IF(AND(H270="",'Vade Sapması'!$D$3&gt;G270),'Vade Sapması'!$D$3-G270,0))</f>
        <v/>
      </c>
      <c r="P270" s="33" t="str">
        <f aca="false">IF(F270="","",F270*J270)</f>
        <v/>
      </c>
      <c r="Q270" s="33" t="str">
        <f aca="false">IF(F270="","",F270*L270)</f>
        <v/>
      </c>
      <c r="R270" s="33" t="str">
        <f aca="false">IF(F270="","",IF(H270="",F270,0))</f>
        <v/>
      </c>
      <c r="S270" s="32" t="str">
        <f aca="false">IF(F270="","",IF(N(O270)=0,"",IF(O270&lt;=30,"1-30",IF(O270&lt;=60,"31-60",IF(O270&lt;=90,"61-90","90+")))))</f>
        <v/>
      </c>
      <c r="T270" s="32" t="str">
        <f aca="false">IF(F270="","",IF(E270="","Diğer",E270))</f>
        <v/>
      </c>
      <c r="U270" s="32" t="str">
        <f aca="false">IF(OR(F270="",C270=""),"",IF(COUNTIF($C$2:C270,C270)=1,MAX($U$1:U269)+1,""))</f>
        <v/>
      </c>
    </row>
    <row r="271" customFormat="false" ht="15" hidden="false" customHeight="false" outlineLevel="0" collapsed="false">
      <c r="A271" s="34"/>
      <c r="B271" s="9"/>
      <c r="C271" s="34"/>
      <c r="D271" s="34"/>
      <c r="E271" s="34"/>
      <c r="F271" s="35"/>
      <c r="G271" s="9"/>
      <c r="H271" s="9"/>
      <c r="I271" s="34"/>
      <c r="J271" s="30" t="str">
        <f aca="false">IF(F271="","",G271-B271)</f>
        <v/>
      </c>
      <c r="K271" s="31" t="str">
        <f aca="false">IF(F271="","",IF(H271&lt;&gt;"",H271,MAX('Vade Sapması'!$D$3,G271)))</f>
        <v/>
      </c>
      <c r="L271" s="30" t="str">
        <f aca="false">IF(F271="","",K271-B271)</f>
        <v/>
      </c>
      <c r="M271" s="30" t="str">
        <f aca="false">IF(F271="","",L271-J271)</f>
        <v/>
      </c>
      <c r="N271" s="32" t="str">
        <f aca="false">IF(F271="","",IF(H271&lt;&gt;"","Kapandı",IF('Vade Sapması'!$D$3&gt;G271,"Açık · vadesi geçti","Açık · vadesi gelmedi")))</f>
        <v/>
      </c>
      <c r="O271" s="30" t="str">
        <f aca="false">IF(F271="","",IF(AND(H271="",'Vade Sapması'!$D$3&gt;G271),'Vade Sapması'!$D$3-G271,0))</f>
        <v/>
      </c>
      <c r="P271" s="33" t="str">
        <f aca="false">IF(F271="","",F271*J271)</f>
        <v/>
      </c>
      <c r="Q271" s="33" t="str">
        <f aca="false">IF(F271="","",F271*L271)</f>
        <v/>
      </c>
      <c r="R271" s="33" t="str">
        <f aca="false">IF(F271="","",IF(H271="",F271,0))</f>
        <v/>
      </c>
      <c r="S271" s="32" t="str">
        <f aca="false">IF(F271="","",IF(N(O271)=0,"",IF(O271&lt;=30,"1-30",IF(O271&lt;=60,"31-60",IF(O271&lt;=90,"61-90","90+")))))</f>
        <v/>
      </c>
      <c r="T271" s="32" t="str">
        <f aca="false">IF(F271="","",IF(E271="","Diğer",E271))</f>
        <v/>
      </c>
      <c r="U271" s="32" t="str">
        <f aca="false">IF(OR(F271="",C271=""),"",IF(COUNTIF($C$2:C271,C271)=1,MAX($U$1:U270)+1,""))</f>
        <v/>
      </c>
    </row>
    <row r="272" customFormat="false" ht="15" hidden="false" customHeight="false" outlineLevel="0" collapsed="false">
      <c r="A272" s="34"/>
      <c r="B272" s="9"/>
      <c r="C272" s="34"/>
      <c r="D272" s="34"/>
      <c r="E272" s="34"/>
      <c r="F272" s="35"/>
      <c r="G272" s="9"/>
      <c r="H272" s="9"/>
      <c r="I272" s="34"/>
      <c r="J272" s="30" t="str">
        <f aca="false">IF(F272="","",G272-B272)</f>
        <v/>
      </c>
      <c r="K272" s="31" t="str">
        <f aca="false">IF(F272="","",IF(H272&lt;&gt;"",H272,MAX('Vade Sapması'!$D$3,G272)))</f>
        <v/>
      </c>
      <c r="L272" s="30" t="str">
        <f aca="false">IF(F272="","",K272-B272)</f>
        <v/>
      </c>
      <c r="M272" s="30" t="str">
        <f aca="false">IF(F272="","",L272-J272)</f>
        <v/>
      </c>
      <c r="N272" s="32" t="str">
        <f aca="false">IF(F272="","",IF(H272&lt;&gt;"","Kapandı",IF('Vade Sapması'!$D$3&gt;G272,"Açık · vadesi geçti","Açık · vadesi gelmedi")))</f>
        <v/>
      </c>
      <c r="O272" s="30" t="str">
        <f aca="false">IF(F272="","",IF(AND(H272="",'Vade Sapması'!$D$3&gt;G272),'Vade Sapması'!$D$3-G272,0))</f>
        <v/>
      </c>
      <c r="P272" s="33" t="str">
        <f aca="false">IF(F272="","",F272*J272)</f>
        <v/>
      </c>
      <c r="Q272" s="33" t="str">
        <f aca="false">IF(F272="","",F272*L272)</f>
        <v/>
      </c>
      <c r="R272" s="33" t="str">
        <f aca="false">IF(F272="","",IF(H272="",F272,0))</f>
        <v/>
      </c>
      <c r="S272" s="32" t="str">
        <f aca="false">IF(F272="","",IF(N(O272)=0,"",IF(O272&lt;=30,"1-30",IF(O272&lt;=60,"31-60",IF(O272&lt;=90,"61-90","90+")))))</f>
        <v/>
      </c>
      <c r="T272" s="32" t="str">
        <f aca="false">IF(F272="","",IF(E272="","Diğer",E272))</f>
        <v/>
      </c>
      <c r="U272" s="32" t="str">
        <f aca="false">IF(OR(F272="",C272=""),"",IF(COUNTIF($C$2:C272,C272)=1,MAX($U$1:U271)+1,""))</f>
        <v/>
      </c>
    </row>
    <row r="273" customFormat="false" ht="15" hidden="false" customHeight="false" outlineLevel="0" collapsed="false">
      <c r="A273" s="34"/>
      <c r="B273" s="9"/>
      <c r="C273" s="34"/>
      <c r="D273" s="34"/>
      <c r="E273" s="34"/>
      <c r="F273" s="35"/>
      <c r="G273" s="9"/>
      <c r="H273" s="9"/>
      <c r="I273" s="34"/>
      <c r="J273" s="30" t="str">
        <f aca="false">IF(F273="","",G273-B273)</f>
        <v/>
      </c>
      <c r="K273" s="31" t="str">
        <f aca="false">IF(F273="","",IF(H273&lt;&gt;"",H273,MAX('Vade Sapması'!$D$3,G273)))</f>
        <v/>
      </c>
      <c r="L273" s="30" t="str">
        <f aca="false">IF(F273="","",K273-B273)</f>
        <v/>
      </c>
      <c r="M273" s="30" t="str">
        <f aca="false">IF(F273="","",L273-J273)</f>
        <v/>
      </c>
      <c r="N273" s="32" t="str">
        <f aca="false">IF(F273="","",IF(H273&lt;&gt;"","Kapandı",IF('Vade Sapması'!$D$3&gt;G273,"Açık · vadesi geçti","Açık · vadesi gelmedi")))</f>
        <v/>
      </c>
      <c r="O273" s="30" t="str">
        <f aca="false">IF(F273="","",IF(AND(H273="",'Vade Sapması'!$D$3&gt;G273),'Vade Sapması'!$D$3-G273,0))</f>
        <v/>
      </c>
      <c r="P273" s="33" t="str">
        <f aca="false">IF(F273="","",F273*J273)</f>
        <v/>
      </c>
      <c r="Q273" s="33" t="str">
        <f aca="false">IF(F273="","",F273*L273)</f>
        <v/>
      </c>
      <c r="R273" s="33" t="str">
        <f aca="false">IF(F273="","",IF(H273="",F273,0))</f>
        <v/>
      </c>
      <c r="S273" s="32" t="str">
        <f aca="false">IF(F273="","",IF(N(O273)=0,"",IF(O273&lt;=30,"1-30",IF(O273&lt;=60,"31-60",IF(O273&lt;=90,"61-90","90+")))))</f>
        <v/>
      </c>
      <c r="T273" s="32" t="str">
        <f aca="false">IF(F273="","",IF(E273="","Diğer",E273))</f>
        <v/>
      </c>
      <c r="U273" s="32" t="str">
        <f aca="false">IF(OR(F273="",C273=""),"",IF(COUNTIF($C$2:C273,C273)=1,MAX($U$1:U272)+1,""))</f>
        <v/>
      </c>
    </row>
    <row r="274" customFormat="false" ht="15" hidden="false" customHeight="false" outlineLevel="0" collapsed="false">
      <c r="A274" s="34"/>
      <c r="B274" s="9"/>
      <c r="C274" s="34"/>
      <c r="D274" s="34"/>
      <c r="E274" s="34"/>
      <c r="F274" s="35"/>
      <c r="G274" s="9"/>
      <c r="H274" s="9"/>
      <c r="I274" s="34"/>
      <c r="J274" s="30" t="str">
        <f aca="false">IF(F274="","",G274-B274)</f>
        <v/>
      </c>
      <c r="K274" s="31" t="str">
        <f aca="false">IF(F274="","",IF(H274&lt;&gt;"",H274,MAX('Vade Sapması'!$D$3,G274)))</f>
        <v/>
      </c>
      <c r="L274" s="30" t="str">
        <f aca="false">IF(F274="","",K274-B274)</f>
        <v/>
      </c>
      <c r="M274" s="30" t="str">
        <f aca="false">IF(F274="","",L274-J274)</f>
        <v/>
      </c>
      <c r="N274" s="32" t="str">
        <f aca="false">IF(F274="","",IF(H274&lt;&gt;"","Kapandı",IF('Vade Sapması'!$D$3&gt;G274,"Açık · vadesi geçti","Açık · vadesi gelmedi")))</f>
        <v/>
      </c>
      <c r="O274" s="30" t="str">
        <f aca="false">IF(F274="","",IF(AND(H274="",'Vade Sapması'!$D$3&gt;G274),'Vade Sapması'!$D$3-G274,0))</f>
        <v/>
      </c>
      <c r="P274" s="33" t="str">
        <f aca="false">IF(F274="","",F274*J274)</f>
        <v/>
      </c>
      <c r="Q274" s="33" t="str">
        <f aca="false">IF(F274="","",F274*L274)</f>
        <v/>
      </c>
      <c r="R274" s="33" t="str">
        <f aca="false">IF(F274="","",IF(H274="",F274,0))</f>
        <v/>
      </c>
      <c r="S274" s="32" t="str">
        <f aca="false">IF(F274="","",IF(N(O274)=0,"",IF(O274&lt;=30,"1-30",IF(O274&lt;=60,"31-60",IF(O274&lt;=90,"61-90","90+")))))</f>
        <v/>
      </c>
      <c r="T274" s="32" t="str">
        <f aca="false">IF(F274="","",IF(E274="","Diğer",E274))</f>
        <v/>
      </c>
      <c r="U274" s="32" t="str">
        <f aca="false">IF(OR(F274="",C274=""),"",IF(COUNTIF($C$2:C274,C274)=1,MAX($U$1:U273)+1,""))</f>
        <v/>
      </c>
    </row>
    <row r="275" customFormat="false" ht="15" hidden="false" customHeight="false" outlineLevel="0" collapsed="false">
      <c r="A275" s="34"/>
      <c r="B275" s="9"/>
      <c r="C275" s="34"/>
      <c r="D275" s="34"/>
      <c r="E275" s="34"/>
      <c r="F275" s="35"/>
      <c r="G275" s="9"/>
      <c r="H275" s="9"/>
      <c r="I275" s="34"/>
      <c r="J275" s="30" t="str">
        <f aca="false">IF(F275="","",G275-B275)</f>
        <v/>
      </c>
      <c r="K275" s="31" t="str">
        <f aca="false">IF(F275="","",IF(H275&lt;&gt;"",H275,MAX('Vade Sapması'!$D$3,G275)))</f>
        <v/>
      </c>
      <c r="L275" s="30" t="str">
        <f aca="false">IF(F275="","",K275-B275)</f>
        <v/>
      </c>
      <c r="M275" s="30" t="str">
        <f aca="false">IF(F275="","",L275-J275)</f>
        <v/>
      </c>
      <c r="N275" s="32" t="str">
        <f aca="false">IF(F275="","",IF(H275&lt;&gt;"","Kapandı",IF('Vade Sapması'!$D$3&gt;G275,"Açık · vadesi geçti","Açık · vadesi gelmedi")))</f>
        <v/>
      </c>
      <c r="O275" s="30" t="str">
        <f aca="false">IF(F275="","",IF(AND(H275="",'Vade Sapması'!$D$3&gt;G275),'Vade Sapması'!$D$3-G275,0))</f>
        <v/>
      </c>
      <c r="P275" s="33" t="str">
        <f aca="false">IF(F275="","",F275*J275)</f>
        <v/>
      </c>
      <c r="Q275" s="33" t="str">
        <f aca="false">IF(F275="","",F275*L275)</f>
        <v/>
      </c>
      <c r="R275" s="33" t="str">
        <f aca="false">IF(F275="","",IF(H275="",F275,0))</f>
        <v/>
      </c>
      <c r="S275" s="32" t="str">
        <f aca="false">IF(F275="","",IF(N(O275)=0,"",IF(O275&lt;=30,"1-30",IF(O275&lt;=60,"31-60",IF(O275&lt;=90,"61-90","90+")))))</f>
        <v/>
      </c>
      <c r="T275" s="32" t="str">
        <f aca="false">IF(F275="","",IF(E275="","Diğer",E275))</f>
        <v/>
      </c>
      <c r="U275" s="32" t="str">
        <f aca="false">IF(OR(F275="",C275=""),"",IF(COUNTIF($C$2:C275,C275)=1,MAX($U$1:U274)+1,""))</f>
        <v/>
      </c>
    </row>
    <row r="276" customFormat="false" ht="15" hidden="false" customHeight="false" outlineLevel="0" collapsed="false">
      <c r="A276" s="34"/>
      <c r="B276" s="9"/>
      <c r="C276" s="34"/>
      <c r="D276" s="34"/>
      <c r="E276" s="34"/>
      <c r="F276" s="35"/>
      <c r="G276" s="9"/>
      <c r="H276" s="9"/>
      <c r="I276" s="34"/>
      <c r="J276" s="30" t="str">
        <f aca="false">IF(F276="","",G276-B276)</f>
        <v/>
      </c>
      <c r="K276" s="31" t="str">
        <f aca="false">IF(F276="","",IF(H276&lt;&gt;"",H276,MAX('Vade Sapması'!$D$3,G276)))</f>
        <v/>
      </c>
      <c r="L276" s="30" t="str">
        <f aca="false">IF(F276="","",K276-B276)</f>
        <v/>
      </c>
      <c r="M276" s="30" t="str">
        <f aca="false">IF(F276="","",L276-J276)</f>
        <v/>
      </c>
      <c r="N276" s="32" t="str">
        <f aca="false">IF(F276="","",IF(H276&lt;&gt;"","Kapandı",IF('Vade Sapması'!$D$3&gt;G276,"Açık · vadesi geçti","Açık · vadesi gelmedi")))</f>
        <v/>
      </c>
      <c r="O276" s="30" t="str">
        <f aca="false">IF(F276="","",IF(AND(H276="",'Vade Sapması'!$D$3&gt;G276),'Vade Sapması'!$D$3-G276,0))</f>
        <v/>
      </c>
      <c r="P276" s="33" t="str">
        <f aca="false">IF(F276="","",F276*J276)</f>
        <v/>
      </c>
      <c r="Q276" s="33" t="str">
        <f aca="false">IF(F276="","",F276*L276)</f>
        <v/>
      </c>
      <c r="R276" s="33" t="str">
        <f aca="false">IF(F276="","",IF(H276="",F276,0))</f>
        <v/>
      </c>
      <c r="S276" s="32" t="str">
        <f aca="false">IF(F276="","",IF(N(O276)=0,"",IF(O276&lt;=30,"1-30",IF(O276&lt;=60,"31-60",IF(O276&lt;=90,"61-90","90+")))))</f>
        <v/>
      </c>
      <c r="T276" s="32" t="str">
        <f aca="false">IF(F276="","",IF(E276="","Diğer",E276))</f>
        <v/>
      </c>
      <c r="U276" s="32" t="str">
        <f aca="false">IF(OR(F276="",C276=""),"",IF(COUNTIF($C$2:C276,C276)=1,MAX($U$1:U275)+1,""))</f>
        <v/>
      </c>
    </row>
    <row r="277" customFormat="false" ht="15" hidden="false" customHeight="false" outlineLevel="0" collapsed="false">
      <c r="A277" s="34"/>
      <c r="B277" s="9"/>
      <c r="C277" s="34"/>
      <c r="D277" s="34"/>
      <c r="E277" s="34"/>
      <c r="F277" s="35"/>
      <c r="G277" s="9"/>
      <c r="H277" s="9"/>
      <c r="I277" s="34"/>
      <c r="J277" s="30" t="str">
        <f aca="false">IF(F277="","",G277-B277)</f>
        <v/>
      </c>
      <c r="K277" s="31" t="str">
        <f aca="false">IF(F277="","",IF(H277&lt;&gt;"",H277,MAX('Vade Sapması'!$D$3,G277)))</f>
        <v/>
      </c>
      <c r="L277" s="30" t="str">
        <f aca="false">IF(F277="","",K277-B277)</f>
        <v/>
      </c>
      <c r="M277" s="30" t="str">
        <f aca="false">IF(F277="","",L277-J277)</f>
        <v/>
      </c>
      <c r="N277" s="32" t="str">
        <f aca="false">IF(F277="","",IF(H277&lt;&gt;"","Kapandı",IF('Vade Sapması'!$D$3&gt;G277,"Açık · vadesi geçti","Açık · vadesi gelmedi")))</f>
        <v/>
      </c>
      <c r="O277" s="30" t="str">
        <f aca="false">IF(F277="","",IF(AND(H277="",'Vade Sapması'!$D$3&gt;G277),'Vade Sapması'!$D$3-G277,0))</f>
        <v/>
      </c>
      <c r="P277" s="33" t="str">
        <f aca="false">IF(F277="","",F277*J277)</f>
        <v/>
      </c>
      <c r="Q277" s="33" t="str">
        <f aca="false">IF(F277="","",F277*L277)</f>
        <v/>
      </c>
      <c r="R277" s="33" t="str">
        <f aca="false">IF(F277="","",IF(H277="",F277,0))</f>
        <v/>
      </c>
      <c r="S277" s="32" t="str">
        <f aca="false">IF(F277="","",IF(N(O277)=0,"",IF(O277&lt;=30,"1-30",IF(O277&lt;=60,"31-60",IF(O277&lt;=90,"61-90","90+")))))</f>
        <v/>
      </c>
      <c r="T277" s="32" t="str">
        <f aca="false">IF(F277="","",IF(E277="","Diğer",E277))</f>
        <v/>
      </c>
      <c r="U277" s="32" t="str">
        <f aca="false">IF(OR(F277="",C277=""),"",IF(COUNTIF($C$2:C277,C277)=1,MAX($U$1:U276)+1,""))</f>
        <v/>
      </c>
    </row>
    <row r="278" customFormat="false" ht="15" hidden="false" customHeight="false" outlineLevel="0" collapsed="false">
      <c r="A278" s="34"/>
      <c r="B278" s="9"/>
      <c r="C278" s="34"/>
      <c r="D278" s="34"/>
      <c r="E278" s="34"/>
      <c r="F278" s="35"/>
      <c r="G278" s="9"/>
      <c r="H278" s="9"/>
      <c r="I278" s="34"/>
      <c r="J278" s="30" t="str">
        <f aca="false">IF(F278="","",G278-B278)</f>
        <v/>
      </c>
      <c r="K278" s="31" t="str">
        <f aca="false">IF(F278="","",IF(H278&lt;&gt;"",H278,MAX('Vade Sapması'!$D$3,G278)))</f>
        <v/>
      </c>
      <c r="L278" s="30" t="str">
        <f aca="false">IF(F278="","",K278-B278)</f>
        <v/>
      </c>
      <c r="M278" s="30" t="str">
        <f aca="false">IF(F278="","",L278-J278)</f>
        <v/>
      </c>
      <c r="N278" s="32" t="str">
        <f aca="false">IF(F278="","",IF(H278&lt;&gt;"","Kapandı",IF('Vade Sapması'!$D$3&gt;G278,"Açık · vadesi geçti","Açık · vadesi gelmedi")))</f>
        <v/>
      </c>
      <c r="O278" s="30" t="str">
        <f aca="false">IF(F278="","",IF(AND(H278="",'Vade Sapması'!$D$3&gt;G278),'Vade Sapması'!$D$3-G278,0))</f>
        <v/>
      </c>
      <c r="P278" s="33" t="str">
        <f aca="false">IF(F278="","",F278*J278)</f>
        <v/>
      </c>
      <c r="Q278" s="33" t="str">
        <f aca="false">IF(F278="","",F278*L278)</f>
        <v/>
      </c>
      <c r="R278" s="33" t="str">
        <f aca="false">IF(F278="","",IF(H278="",F278,0))</f>
        <v/>
      </c>
      <c r="S278" s="32" t="str">
        <f aca="false">IF(F278="","",IF(N(O278)=0,"",IF(O278&lt;=30,"1-30",IF(O278&lt;=60,"31-60",IF(O278&lt;=90,"61-90","90+")))))</f>
        <v/>
      </c>
      <c r="T278" s="32" t="str">
        <f aca="false">IF(F278="","",IF(E278="","Diğer",E278))</f>
        <v/>
      </c>
      <c r="U278" s="32" t="str">
        <f aca="false">IF(OR(F278="",C278=""),"",IF(COUNTIF($C$2:C278,C278)=1,MAX($U$1:U277)+1,""))</f>
        <v/>
      </c>
    </row>
    <row r="279" customFormat="false" ht="15" hidden="false" customHeight="false" outlineLevel="0" collapsed="false">
      <c r="A279" s="34"/>
      <c r="B279" s="9"/>
      <c r="C279" s="34"/>
      <c r="D279" s="34"/>
      <c r="E279" s="34"/>
      <c r="F279" s="35"/>
      <c r="G279" s="9"/>
      <c r="H279" s="9"/>
      <c r="I279" s="34"/>
      <c r="J279" s="30" t="str">
        <f aca="false">IF(F279="","",G279-B279)</f>
        <v/>
      </c>
      <c r="K279" s="31" t="str">
        <f aca="false">IF(F279="","",IF(H279&lt;&gt;"",H279,MAX('Vade Sapması'!$D$3,G279)))</f>
        <v/>
      </c>
      <c r="L279" s="30" t="str">
        <f aca="false">IF(F279="","",K279-B279)</f>
        <v/>
      </c>
      <c r="M279" s="30" t="str">
        <f aca="false">IF(F279="","",L279-J279)</f>
        <v/>
      </c>
      <c r="N279" s="32" t="str">
        <f aca="false">IF(F279="","",IF(H279&lt;&gt;"","Kapandı",IF('Vade Sapması'!$D$3&gt;G279,"Açık · vadesi geçti","Açık · vadesi gelmedi")))</f>
        <v/>
      </c>
      <c r="O279" s="30" t="str">
        <f aca="false">IF(F279="","",IF(AND(H279="",'Vade Sapması'!$D$3&gt;G279),'Vade Sapması'!$D$3-G279,0))</f>
        <v/>
      </c>
      <c r="P279" s="33" t="str">
        <f aca="false">IF(F279="","",F279*J279)</f>
        <v/>
      </c>
      <c r="Q279" s="33" t="str">
        <f aca="false">IF(F279="","",F279*L279)</f>
        <v/>
      </c>
      <c r="R279" s="33" t="str">
        <f aca="false">IF(F279="","",IF(H279="",F279,0))</f>
        <v/>
      </c>
      <c r="S279" s="32" t="str">
        <f aca="false">IF(F279="","",IF(N(O279)=0,"",IF(O279&lt;=30,"1-30",IF(O279&lt;=60,"31-60",IF(O279&lt;=90,"61-90","90+")))))</f>
        <v/>
      </c>
      <c r="T279" s="32" t="str">
        <f aca="false">IF(F279="","",IF(E279="","Diğer",E279))</f>
        <v/>
      </c>
      <c r="U279" s="32" t="str">
        <f aca="false">IF(OR(F279="",C279=""),"",IF(COUNTIF($C$2:C279,C279)=1,MAX($U$1:U278)+1,""))</f>
        <v/>
      </c>
    </row>
    <row r="280" customFormat="false" ht="15" hidden="false" customHeight="false" outlineLevel="0" collapsed="false">
      <c r="A280" s="34"/>
      <c r="B280" s="9"/>
      <c r="C280" s="34"/>
      <c r="D280" s="34"/>
      <c r="E280" s="34"/>
      <c r="F280" s="35"/>
      <c r="G280" s="9"/>
      <c r="H280" s="9"/>
      <c r="I280" s="34"/>
      <c r="J280" s="30" t="str">
        <f aca="false">IF(F280="","",G280-B280)</f>
        <v/>
      </c>
      <c r="K280" s="31" t="str">
        <f aca="false">IF(F280="","",IF(H280&lt;&gt;"",H280,MAX('Vade Sapması'!$D$3,G280)))</f>
        <v/>
      </c>
      <c r="L280" s="30" t="str">
        <f aca="false">IF(F280="","",K280-B280)</f>
        <v/>
      </c>
      <c r="M280" s="30" t="str">
        <f aca="false">IF(F280="","",L280-J280)</f>
        <v/>
      </c>
      <c r="N280" s="32" t="str">
        <f aca="false">IF(F280="","",IF(H280&lt;&gt;"","Kapandı",IF('Vade Sapması'!$D$3&gt;G280,"Açık · vadesi geçti","Açık · vadesi gelmedi")))</f>
        <v/>
      </c>
      <c r="O280" s="30" t="str">
        <f aca="false">IF(F280="","",IF(AND(H280="",'Vade Sapması'!$D$3&gt;G280),'Vade Sapması'!$D$3-G280,0))</f>
        <v/>
      </c>
      <c r="P280" s="33" t="str">
        <f aca="false">IF(F280="","",F280*J280)</f>
        <v/>
      </c>
      <c r="Q280" s="33" t="str">
        <f aca="false">IF(F280="","",F280*L280)</f>
        <v/>
      </c>
      <c r="R280" s="33" t="str">
        <f aca="false">IF(F280="","",IF(H280="",F280,0))</f>
        <v/>
      </c>
      <c r="S280" s="32" t="str">
        <f aca="false">IF(F280="","",IF(N(O280)=0,"",IF(O280&lt;=30,"1-30",IF(O280&lt;=60,"31-60",IF(O280&lt;=90,"61-90","90+")))))</f>
        <v/>
      </c>
      <c r="T280" s="32" t="str">
        <f aca="false">IF(F280="","",IF(E280="","Diğer",E280))</f>
        <v/>
      </c>
      <c r="U280" s="32" t="str">
        <f aca="false">IF(OR(F280="",C280=""),"",IF(COUNTIF($C$2:C280,C280)=1,MAX($U$1:U279)+1,""))</f>
        <v/>
      </c>
    </row>
    <row r="281" customFormat="false" ht="15" hidden="false" customHeight="false" outlineLevel="0" collapsed="false">
      <c r="A281" s="34"/>
      <c r="B281" s="9"/>
      <c r="C281" s="34"/>
      <c r="D281" s="34"/>
      <c r="E281" s="34"/>
      <c r="F281" s="35"/>
      <c r="G281" s="9"/>
      <c r="H281" s="9"/>
      <c r="I281" s="34"/>
      <c r="J281" s="30" t="str">
        <f aca="false">IF(F281="","",G281-B281)</f>
        <v/>
      </c>
      <c r="K281" s="31" t="str">
        <f aca="false">IF(F281="","",IF(H281&lt;&gt;"",H281,MAX('Vade Sapması'!$D$3,G281)))</f>
        <v/>
      </c>
      <c r="L281" s="30" t="str">
        <f aca="false">IF(F281="","",K281-B281)</f>
        <v/>
      </c>
      <c r="M281" s="30" t="str">
        <f aca="false">IF(F281="","",L281-J281)</f>
        <v/>
      </c>
      <c r="N281" s="32" t="str">
        <f aca="false">IF(F281="","",IF(H281&lt;&gt;"","Kapandı",IF('Vade Sapması'!$D$3&gt;G281,"Açık · vadesi geçti","Açık · vadesi gelmedi")))</f>
        <v/>
      </c>
      <c r="O281" s="30" t="str">
        <f aca="false">IF(F281="","",IF(AND(H281="",'Vade Sapması'!$D$3&gt;G281),'Vade Sapması'!$D$3-G281,0))</f>
        <v/>
      </c>
      <c r="P281" s="33" t="str">
        <f aca="false">IF(F281="","",F281*J281)</f>
        <v/>
      </c>
      <c r="Q281" s="33" t="str">
        <f aca="false">IF(F281="","",F281*L281)</f>
        <v/>
      </c>
      <c r="R281" s="33" t="str">
        <f aca="false">IF(F281="","",IF(H281="",F281,0))</f>
        <v/>
      </c>
      <c r="S281" s="32" t="str">
        <f aca="false">IF(F281="","",IF(N(O281)=0,"",IF(O281&lt;=30,"1-30",IF(O281&lt;=60,"31-60",IF(O281&lt;=90,"61-90","90+")))))</f>
        <v/>
      </c>
      <c r="T281" s="32" t="str">
        <f aca="false">IF(F281="","",IF(E281="","Diğer",E281))</f>
        <v/>
      </c>
      <c r="U281" s="32" t="str">
        <f aca="false">IF(OR(F281="",C281=""),"",IF(COUNTIF($C$2:C281,C281)=1,MAX($U$1:U280)+1,""))</f>
        <v/>
      </c>
    </row>
    <row r="282" customFormat="false" ht="15" hidden="false" customHeight="false" outlineLevel="0" collapsed="false">
      <c r="A282" s="34"/>
      <c r="B282" s="9"/>
      <c r="C282" s="34"/>
      <c r="D282" s="34"/>
      <c r="E282" s="34"/>
      <c r="F282" s="35"/>
      <c r="G282" s="9"/>
      <c r="H282" s="9"/>
      <c r="I282" s="34"/>
      <c r="J282" s="30" t="str">
        <f aca="false">IF(F282="","",G282-B282)</f>
        <v/>
      </c>
      <c r="K282" s="31" t="str">
        <f aca="false">IF(F282="","",IF(H282&lt;&gt;"",H282,MAX('Vade Sapması'!$D$3,G282)))</f>
        <v/>
      </c>
      <c r="L282" s="30" t="str">
        <f aca="false">IF(F282="","",K282-B282)</f>
        <v/>
      </c>
      <c r="M282" s="30" t="str">
        <f aca="false">IF(F282="","",L282-J282)</f>
        <v/>
      </c>
      <c r="N282" s="32" t="str">
        <f aca="false">IF(F282="","",IF(H282&lt;&gt;"","Kapandı",IF('Vade Sapması'!$D$3&gt;G282,"Açık · vadesi geçti","Açık · vadesi gelmedi")))</f>
        <v/>
      </c>
      <c r="O282" s="30" t="str">
        <f aca="false">IF(F282="","",IF(AND(H282="",'Vade Sapması'!$D$3&gt;G282),'Vade Sapması'!$D$3-G282,0))</f>
        <v/>
      </c>
      <c r="P282" s="33" t="str">
        <f aca="false">IF(F282="","",F282*J282)</f>
        <v/>
      </c>
      <c r="Q282" s="33" t="str">
        <f aca="false">IF(F282="","",F282*L282)</f>
        <v/>
      </c>
      <c r="R282" s="33" t="str">
        <f aca="false">IF(F282="","",IF(H282="",F282,0))</f>
        <v/>
      </c>
      <c r="S282" s="32" t="str">
        <f aca="false">IF(F282="","",IF(N(O282)=0,"",IF(O282&lt;=30,"1-30",IF(O282&lt;=60,"31-60",IF(O282&lt;=90,"61-90","90+")))))</f>
        <v/>
      </c>
      <c r="T282" s="32" t="str">
        <f aca="false">IF(F282="","",IF(E282="","Diğer",E282))</f>
        <v/>
      </c>
      <c r="U282" s="32" t="str">
        <f aca="false">IF(OR(F282="",C282=""),"",IF(COUNTIF($C$2:C282,C282)=1,MAX($U$1:U281)+1,""))</f>
        <v/>
      </c>
    </row>
    <row r="283" customFormat="false" ht="15" hidden="false" customHeight="false" outlineLevel="0" collapsed="false">
      <c r="A283" s="34"/>
      <c r="B283" s="9"/>
      <c r="C283" s="34"/>
      <c r="D283" s="34"/>
      <c r="E283" s="34"/>
      <c r="F283" s="35"/>
      <c r="G283" s="9"/>
      <c r="H283" s="9"/>
      <c r="I283" s="34"/>
      <c r="J283" s="30" t="str">
        <f aca="false">IF(F283="","",G283-B283)</f>
        <v/>
      </c>
      <c r="K283" s="31" t="str">
        <f aca="false">IF(F283="","",IF(H283&lt;&gt;"",H283,MAX('Vade Sapması'!$D$3,G283)))</f>
        <v/>
      </c>
      <c r="L283" s="30" t="str">
        <f aca="false">IF(F283="","",K283-B283)</f>
        <v/>
      </c>
      <c r="M283" s="30" t="str">
        <f aca="false">IF(F283="","",L283-J283)</f>
        <v/>
      </c>
      <c r="N283" s="32" t="str">
        <f aca="false">IF(F283="","",IF(H283&lt;&gt;"","Kapandı",IF('Vade Sapması'!$D$3&gt;G283,"Açık · vadesi geçti","Açık · vadesi gelmedi")))</f>
        <v/>
      </c>
      <c r="O283" s="30" t="str">
        <f aca="false">IF(F283="","",IF(AND(H283="",'Vade Sapması'!$D$3&gt;G283),'Vade Sapması'!$D$3-G283,0))</f>
        <v/>
      </c>
      <c r="P283" s="33" t="str">
        <f aca="false">IF(F283="","",F283*J283)</f>
        <v/>
      </c>
      <c r="Q283" s="33" t="str">
        <f aca="false">IF(F283="","",F283*L283)</f>
        <v/>
      </c>
      <c r="R283" s="33" t="str">
        <f aca="false">IF(F283="","",IF(H283="",F283,0))</f>
        <v/>
      </c>
      <c r="S283" s="32" t="str">
        <f aca="false">IF(F283="","",IF(N(O283)=0,"",IF(O283&lt;=30,"1-30",IF(O283&lt;=60,"31-60",IF(O283&lt;=90,"61-90","90+")))))</f>
        <v/>
      </c>
      <c r="T283" s="32" t="str">
        <f aca="false">IF(F283="","",IF(E283="","Diğer",E283))</f>
        <v/>
      </c>
      <c r="U283" s="32" t="str">
        <f aca="false">IF(OR(F283="",C283=""),"",IF(COUNTIF($C$2:C283,C283)=1,MAX($U$1:U282)+1,""))</f>
        <v/>
      </c>
    </row>
    <row r="284" customFormat="false" ht="15" hidden="false" customHeight="false" outlineLevel="0" collapsed="false">
      <c r="A284" s="34"/>
      <c r="B284" s="9"/>
      <c r="C284" s="34"/>
      <c r="D284" s="34"/>
      <c r="E284" s="34"/>
      <c r="F284" s="35"/>
      <c r="G284" s="9"/>
      <c r="H284" s="9"/>
      <c r="I284" s="34"/>
      <c r="J284" s="30" t="str">
        <f aca="false">IF(F284="","",G284-B284)</f>
        <v/>
      </c>
      <c r="K284" s="31" t="str">
        <f aca="false">IF(F284="","",IF(H284&lt;&gt;"",H284,MAX('Vade Sapması'!$D$3,G284)))</f>
        <v/>
      </c>
      <c r="L284" s="30" t="str">
        <f aca="false">IF(F284="","",K284-B284)</f>
        <v/>
      </c>
      <c r="M284" s="30" t="str">
        <f aca="false">IF(F284="","",L284-J284)</f>
        <v/>
      </c>
      <c r="N284" s="32" t="str">
        <f aca="false">IF(F284="","",IF(H284&lt;&gt;"","Kapandı",IF('Vade Sapması'!$D$3&gt;G284,"Açık · vadesi geçti","Açık · vadesi gelmedi")))</f>
        <v/>
      </c>
      <c r="O284" s="30" t="str">
        <f aca="false">IF(F284="","",IF(AND(H284="",'Vade Sapması'!$D$3&gt;G284),'Vade Sapması'!$D$3-G284,0))</f>
        <v/>
      </c>
      <c r="P284" s="33" t="str">
        <f aca="false">IF(F284="","",F284*J284)</f>
        <v/>
      </c>
      <c r="Q284" s="33" t="str">
        <f aca="false">IF(F284="","",F284*L284)</f>
        <v/>
      </c>
      <c r="R284" s="33" t="str">
        <f aca="false">IF(F284="","",IF(H284="",F284,0))</f>
        <v/>
      </c>
      <c r="S284" s="32" t="str">
        <f aca="false">IF(F284="","",IF(N(O284)=0,"",IF(O284&lt;=30,"1-30",IF(O284&lt;=60,"31-60",IF(O284&lt;=90,"61-90","90+")))))</f>
        <v/>
      </c>
      <c r="T284" s="32" t="str">
        <f aca="false">IF(F284="","",IF(E284="","Diğer",E284))</f>
        <v/>
      </c>
      <c r="U284" s="32" t="str">
        <f aca="false">IF(OR(F284="",C284=""),"",IF(COUNTIF($C$2:C284,C284)=1,MAX($U$1:U283)+1,""))</f>
        <v/>
      </c>
    </row>
    <row r="285" customFormat="false" ht="15" hidden="false" customHeight="false" outlineLevel="0" collapsed="false">
      <c r="A285" s="34"/>
      <c r="B285" s="9"/>
      <c r="C285" s="34"/>
      <c r="D285" s="34"/>
      <c r="E285" s="34"/>
      <c r="F285" s="35"/>
      <c r="G285" s="9"/>
      <c r="H285" s="9"/>
      <c r="I285" s="34"/>
      <c r="J285" s="30" t="str">
        <f aca="false">IF(F285="","",G285-B285)</f>
        <v/>
      </c>
      <c r="K285" s="31" t="str">
        <f aca="false">IF(F285="","",IF(H285&lt;&gt;"",H285,MAX('Vade Sapması'!$D$3,G285)))</f>
        <v/>
      </c>
      <c r="L285" s="30" t="str">
        <f aca="false">IF(F285="","",K285-B285)</f>
        <v/>
      </c>
      <c r="M285" s="30" t="str">
        <f aca="false">IF(F285="","",L285-J285)</f>
        <v/>
      </c>
      <c r="N285" s="32" t="str">
        <f aca="false">IF(F285="","",IF(H285&lt;&gt;"","Kapandı",IF('Vade Sapması'!$D$3&gt;G285,"Açık · vadesi geçti","Açık · vadesi gelmedi")))</f>
        <v/>
      </c>
      <c r="O285" s="30" t="str">
        <f aca="false">IF(F285="","",IF(AND(H285="",'Vade Sapması'!$D$3&gt;G285),'Vade Sapması'!$D$3-G285,0))</f>
        <v/>
      </c>
      <c r="P285" s="33" t="str">
        <f aca="false">IF(F285="","",F285*J285)</f>
        <v/>
      </c>
      <c r="Q285" s="33" t="str">
        <f aca="false">IF(F285="","",F285*L285)</f>
        <v/>
      </c>
      <c r="R285" s="33" t="str">
        <f aca="false">IF(F285="","",IF(H285="",F285,0))</f>
        <v/>
      </c>
      <c r="S285" s="32" t="str">
        <f aca="false">IF(F285="","",IF(N(O285)=0,"",IF(O285&lt;=30,"1-30",IF(O285&lt;=60,"31-60",IF(O285&lt;=90,"61-90","90+")))))</f>
        <v/>
      </c>
      <c r="T285" s="32" t="str">
        <f aca="false">IF(F285="","",IF(E285="","Diğer",E285))</f>
        <v/>
      </c>
      <c r="U285" s="32" t="str">
        <f aca="false">IF(OR(F285="",C285=""),"",IF(COUNTIF($C$2:C285,C285)=1,MAX($U$1:U284)+1,""))</f>
        <v/>
      </c>
    </row>
    <row r="286" customFormat="false" ht="15" hidden="false" customHeight="false" outlineLevel="0" collapsed="false">
      <c r="A286" s="34"/>
      <c r="B286" s="9"/>
      <c r="C286" s="34"/>
      <c r="D286" s="34"/>
      <c r="E286" s="34"/>
      <c r="F286" s="35"/>
      <c r="G286" s="9"/>
      <c r="H286" s="9"/>
      <c r="I286" s="34"/>
      <c r="J286" s="30" t="str">
        <f aca="false">IF(F286="","",G286-B286)</f>
        <v/>
      </c>
      <c r="K286" s="31" t="str">
        <f aca="false">IF(F286="","",IF(H286&lt;&gt;"",H286,MAX('Vade Sapması'!$D$3,G286)))</f>
        <v/>
      </c>
      <c r="L286" s="30" t="str">
        <f aca="false">IF(F286="","",K286-B286)</f>
        <v/>
      </c>
      <c r="M286" s="30" t="str">
        <f aca="false">IF(F286="","",L286-J286)</f>
        <v/>
      </c>
      <c r="N286" s="32" t="str">
        <f aca="false">IF(F286="","",IF(H286&lt;&gt;"","Kapandı",IF('Vade Sapması'!$D$3&gt;G286,"Açık · vadesi geçti","Açık · vadesi gelmedi")))</f>
        <v/>
      </c>
      <c r="O286" s="30" t="str">
        <f aca="false">IF(F286="","",IF(AND(H286="",'Vade Sapması'!$D$3&gt;G286),'Vade Sapması'!$D$3-G286,0))</f>
        <v/>
      </c>
      <c r="P286" s="33" t="str">
        <f aca="false">IF(F286="","",F286*J286)</f>
        <v/>
      </c>
      <c r="Q286" s="33" t="str">
        <f aca="false">IF(F286="","",F286*L286)</f>
        <v/>
      </c>
      <c r="R286" s="33" t="str">
        <f aca="false">IF(F286="","",IF(H286="",F286,0))</f>
        <v/>
      </c>
      <c r="S286" s="32" t="str">
        <f aca="false">IF(F286="","",IF(N(O286)=0,"",IF(O286&lt;=30,"1-30",IF(O286&lt;=60,"31-60",IF(O286&lt;=90,"61-90","90+")))))</f>
        <v/>
      </c>
      <c r="T286" s="32" t="str">
        <f aca="false">IF(F286="","",IF(E286="","Diğer",E286))</f>
        <v/>
      </c>
      <c r="U286" s="32" t="str">
        <f aca="false">IF(OR(F286="",C286=""),"",IF(COUNTIF($C$2:C286,C286)=1,MAX($U$1:U285)+1,""))</f>
        <v/>
      </c>
    </row>
    <row r="287" customFormat="false" ht="15" hidden="false" customHeight="false" outlineLevel="0" collapsed="false">
      <c r="A287" s="34"/>
      <c r="B287" s="9"/>
      <c r="C287" s="34"/>
      <c r="D287" s="34"/>
      <c r="E287" s="34"/>
      <c r="F287" s="35"/>
      <c r="G287" s="9"/>
      <c r="H287" s="9"/>
      <c r="I287" s="34"/>
      <c r="J287" s="30" t="str">
        <f aca="false">IF(F287="","",G287-B287)</f>
        <v/>
      </c>
      <c r="K287" s="31" t="str">
        <f aca="false">IF(F287="","",IF(H287&lt;&gt;"",H287,MAX('Vade Sapması'!$D$3,G287)))</f>
        <v/>
      </c>
      <c r="L287" s="30" t="str">
        <f aca="false">IF(F287="","",K287-B287)</f>
        <v/>
      </c>
      <c r="M287" s="30" t="str">
        <f aca="false">IF(F287="","",L287-J287)</f>
        <v/>
      </c>
      <c r="N287" s="32" t="str">
        <f aca="false">IF(F287="","",IF(H287&lt;&gt;"","Kapandı",IF('Vade Sapması'!$D$3&gt;G287,"Açık · vadesi geçti","Açık · vadesi gelmedi")))</f>
        <v/>
      </c>
      <c r="O287" s="30" t="str">
        <f aca="false">IF(F287="","",IF(AND(H287="",'Vade Sapması'!$D$3&gt;G287),'Vade Sapması'!$D$3-G287,0))</f>
        <v/>
      </c>
      <c r="P287" s="33" t="str">
        <f aca="false">IF(F287="","",F287*J287)</f>
        <v/>
      </c>
      <c r="Q287" s="33" t="str">
        <f aca="false">IF(F287="","",F287*L287)</f>
        <v/>
      </c>
      <c r="R287" s="33" t="str">
        <f aca="false">IF(F287="","",IF(H287="",F287,0))</f>
        <v/>
      </c>
      <c r="S287" s="32" t="str">
        <f aca="false">IF(F287="","",IF(N(O287)=0,"",IF(O287&lt;=30,"1-30",IF(O287&lt;=60,"31-60",IF(O287&lt;=90,"61-90","90+")))))</f>
        <v/>
      </c>
      <c r="T287" s="32" t="str">
        <f aca="false">IF(F287="","",IF(E287="","Diğer",E287))</f>
        <v/>
      </c>
      <c r="U287" s="32" t="str">
        <f aca="false">IF(OR(F287="",C287=""),"",IF(COUNTIF($C$2:C287,C287)=1,MAX($U$1:U286)+1,""))</f>
        <v/>
      </c>
    </row>
    <row r="288" customFormat="false" ht="15" hidden="false" customHeight="false" outlineLevel="0" collapsed="false">
      <c r="A288" s="34"/>
      <c r="B288" s="9"/>
      <c r="C288" s="34"/>
      <c r="D288" s="34"/>
      <c r="E288" s="34"/>
      <c r="F288" s="35"/>
      <c r="G288" s="9"/>
      <c r="H288" s="9"/>
      <c r="I288" s="34"/>
      <c r="J288" s="30" t="str">
        <f aca="false">IF(F288="","",G288-B288)</f>
        <v/>
      </c>
      <c r="K288" s="31" t="str">
        <f aca="false">IF(F288="","",IF(H288&lt;&gt;"",H288,MAX('Vade Sapması'!$D$3,G288)))</f>
        <v/>
      </c>
      <c r="L288" s="30" t="str">
        <f aca="false">IF(F288="","",K288-B288)</f>
        <v/>
      </c>
      <c r="M288" s="30" t="str">
        <f aca="false">IF(F288="","",L288-J288)</f>
        <v/>
      </c>
      <c r="N288" s="32" t="str">
        <f aca="false">IF(F288="","",IF(H288&lt;&gt;"","Kapandı",IF('Vade Sapması'!$D$3&gt;G288,"Açık · vadesi geçti","Açık · vadesi gelmedi")))</f>
        <v/>
      </c>
      <c r="O288" s="30" t="str">
        <f aca="false">IF(F288="","",IF(AND(H288="",'Vade Sapması'!$D$3&gt;G288),'Vade Sapması'!$D$3-G288,0))</f>
        <v/>
      </c>
      <c r="P288" s="33" t="str">
        <f aca="false">IF(F288="","",F288*J288)</f>
        <v/>
      </c>
      <c r="Q288" s="33" t="str">
        <f aca="false">IF(F288="","",F288*L288)</f>
        <v/>
      </c>
      <c r="R288" s="33" t="str">
        <f aca="false">IF(F288="","",IF(H288="",F288,0))</f>
        <v/>
      </c>
      <c r="S288" s="32" t="str">
        <f aca="false">IF(F288="","",IF(N(O288)=0,"",IF(O288&lt;=30,"1-30",IF(O288&lt;=60,"31-60",IF(O288&lt;=90,"61-90","90+")))))</f>
        <v/>
      </c>
      <c r="T288" s="32" t="str">
        <f aca="false">IF(F288="","",IF(E288="","Diğer",E288))</f>
        <v/>
      </c>
      <c r="U288" s="32" t="str">
        <f aca="false">IF(OR(F288="",C288=""),"",IF(COUNTIF($C$2:C288,C288)=1,MAX($U$1:U287)+1,""))</f>
        <v/>
      </c>
    </row>
    <row r="289" customFormat="false" ht="15" hidden="false" customHeight="false" outlineLevel="0" collapsed="false">
      <c r="A289" s="34"/>
      <c r="B289" s="9"/>
      <c r="C289" s="34"/>
      <c r="D289" s="34"/>
      <c r="E289" s="34"/>
      <c r="F289" s="35"/>
      <c r="G289" s="9"/>
      <c r="H289" s="9"/>
      <c r="I289" s="34"/>
      <c r="J289" s="30" t="str">
        <f aca="false">IF(F289="","",G289-B289)</f>
        <v/>
      </c>
      <c r="K289" s="31" t="str">
        <f aca="false">IF(F289="","",IF(H289&lt;&gt;"",H289,MAX('Vade Sapması'!$D$3,G289)))</f>
        <v/>
      </c>
      <c r="L289" s="30" t="str">
        <f aca="false">IF(F289="","",K289-B289)</f>
        <v/>
      </c>
      <c r="M289" s="30" t="str">
        <f aca="false">IF(F289="","",L289-J289)</f>
        <v/>
      </c>
      <c r="N289" s="32" t="str">
        <f aca="false">IF(F289="","",IF(H289&lt;&gt;"","Kapandı",IF('Vade Sapması'!$D$3&gt;G289,"Açık · vadesi geçti","Açık · vadesi gelmedi")))</f>
        <v/>
      </c>
      <c r="O289" s="30" t="str">
        <f aca="false">IF(F289="","",IF(AND(H289="",'Vade Sapması'!$D$3&gt;G289),'Vade Sapması'!$D$3-G289,0))</f>
        <v/>
      </c>
      <c r="P289" s="33" t="str">
        <f aca="false">IF(F289="","",F289*J289)</f>
        <v/>
      </c>
      <c r="Q289" s="33" t="str">
        <f aca="false">IF(F289="","",F289*L289)</f>
        <v/>
      </c>
      <c r="R289" s="33" t="str">
        <f aca="false">IF(F289="","",IF(H289="",F289,0))</f>
        <v/>
      </c>
      <c r="S289" s="32" t="str">
        <f aca="false">IF(F289="","",IF(N(O289)=0,"",IF(O289&lt;=30,"1-30",IF(O289&lt;=60,"31-60",IF(O289&lt;=90,"61-90","90+")))))</f>
        <v/>
      </c>
      <c r="T289" s="32" t="str">
        <f aca="false">IF(F289="","",IF(E289="","Diğer",E289))</f>
        <v/>
      </c>
      <c r="U289" s="32" t="str">
        <f aca="false">IF(OR(F289="",C289=""),"",IF(COUNTIF($C$2:C289,C289)=1,MAX($U$1:U288)+1,""))</f>
        <v/>
      </c>
    </row>
    <row r="290" customFormat="false" ht="15" hidden="false" customHeight="false" outlineLevel="0" collapsed="false">
      <c r="A290" s="34"/>
      <c r="B290" s="9"/>
      <c r="C290" s="34"/>
      <c r="D290" s="34"/>
      <c r="E290" s="34"/>
      <c r="F290" s="35"/>
      <c r="G290" s="9"/>
      <c r="H290" s="9"/>
      <c r="I290" s="34"/>
      <c r="J290" s="30" t="str">
        <f aca="false">IF(F290="","",G290-B290)</f>
        <v/>
      </c>
      <c r="K290" s="31" t="str">
        <f aca="false">IF(F290="","",IF(H290&lt;&gt;"",H290,MAX('Vade Sapması'!$D$3,G290)))</f>
        <v/>
      </c>
      <c r="L290" s="30" t="str">
        <f aca="false">IF(F290="","",K290-B290)</f>
        <v/>
      </c>
      <c r="M290" s="30" t="str">
        <f aca="false">IF(F290="","",L290-J290)</f>
        <v/>
      </c>
      <c r="N290" s="32" t="str">
        <f aca="false">IF(F290="","",IF(H290&lt;&gt;"","Kapandı",IF('Vade Sapması'!$D$3&gt;G290,"Açık · vadesi geçti","Açık · vadesi gelmedi")))</f>
        <v/>
      </c>
      <c r="O290" s="30" t="str">
        <f aca="false">IF(F290="","",IF(AND(H290="",'Vade Sapması'!$D$3&gt;G290),'Vade Sapması'!$D$3-G290,0))</f>
        <v/>
      </c>
      <c r="P290" s="33" t="str">
        <f aca="false">IF(F290="","",F290*J290)</f>
        <v/>
      </c>
      <c r="Q290" s="33" t="str">
        <f aca="false">IF(F290="","",F290*L290)</f>
        <v/>
      </c>
      <c r="R290" s="33" t="str">
        <f aca="false">IF(F290="","",IF(H290="",F290,0))</f>
        <v/>
      </c>
      <c r="S290" s="32" t="str">
        <f aca="false">IF(F290="","",IF(N(O290)=0,"",IF(O290&lt;=30,"1-30",IF(O290&lt;=60,"31-60",IF(O290&lt;=90,"61-90","90+")))))</f>
        <v/>
      </c>
      <c r="T290" s="32" t="str">
        <f aca="false">IF(F290="","",IF(E290="","Diğer",E290))</f>
        <v/>
      </c>
      <c r="U290" s="32" t="str">
        <f aca="false">IF(OR(F290="",C290=""),"",IF(COUNTIF($C$2:C290,C290)=1,MAX($U$1:U289)+1,""))</f>
        <v/>
      </c>
    </row>
    <row r="291" customFormat="false" ht="15" hidden="false" customHeight="false" outlineLevel="0" collapsed="false">
      <c r="A291" s="34"/>
      <c r="B291" s="9"/>
      <c r="C291" s="34"/>
      <c r="D291" s="34"/>
      <c r="E291" s="34"/>
      <c r="F291" s="35"/>
      <c r="G291" s="9"/>
      <c r="H291" s="9"/>
      <c r="I291" s="34"/>
      <c r="J291" s="30" t="str">
        <f aca="false">IF(F291="","",G291-B291)</f>
        <v/>
      </c>
      <c r="K291" s="31" t="str">
        <f aca="false">IF(F291="","",IF(H291&lt;&gt;"",H291,MAX('Vade Sapması'!$D$3,G291)))</f>
        <v/>
      </c>
      <c r="L291" s="30" t="str">
        <f aca="false">IF(F291="","",K291-B291)</f>
        <v/>
      </c>
      <c r="M291" s="30" t="str">
        <f aca="false">IF(F291="","",L291-J291)</f>
        <v/>
      </c>
      <c r="N291" s="32" t="str">
        <f aca="false">IF(F291="","",IF(H291&lt;&gt;"","Kapandı",IF('Vade Sapması'!$D$3&gt;G291,"Açık · vadesi geçti","Açık · vadesi gelmedi")))</f>
        <v/>
      </c>
      <c r="O291" s="30" t="str">
        <f aca="false">IF(F291="","",IF(AND(H291="",'Vade Sapması'!$D$3&gt;G291),'Vade Sapması'!$D$3-G291,0))</f>
        <v/>
      </c>
      <c r="P291" s="33" t="str">
        <f aca="false">IF(F291="","",F291*J291)</f>
        <v/>
      </c>
      <c r="Q291" s="33" t="str">
        <f aca="false">IF(F291="","",F291*L291)</f>
        <v/>
      </c>
      <c r="R291" s="33" t="str">
        <f aca="false">IF(F291="","",IF(H291="",F291,0))</f>
        <v/>
      </c>
      <c r="S291" s="32" t="str">
        <f aca="false">IF(F291="","",IF(N(O291)=0,"",IF(O291&lt;=30,"1-30",IF(O291&lt;=60,"31-60",IF(O291&lt;=90,"61-90","90+")))))</f>
        <v/>
      </c>
      <c r="T291" s="32" t="str">
        <f aca="false">IF(F291="","",IF(E291="","Diğer",E291))</f>
        <v/>
      </c>
      <c r="U291" s="32" t="str">
        <f aca="false">IF(OR(F291="",C291=""),"",IF(COUNTIF($C$2:C291,C291)=1,MAX($U$1:U290)+1,""))</f>
        <v/>
      </c>
    </row>
    <row r="292" customFormat="false" ht="15" hidden="false" customHeight="false" outlineLevel="0" collapsed="false">
      <c r="A292" s="34"/>
      <c r="B292" s="9"/>
      <c r="C292" s="34"/>
      <c r="D292" s="34"/>
      <c r="E292" s="34"/>
      <c r="F292" s="35"/>
      <c r="G292" s="9"/>
      <c r="H292" s="9"/>
      <c r="I292" s="34"/>
      <c r="J292" s="30" t="str">
        <f aca="false">IF(F292="","",G292-B292)</f>
        <v/>
      </c>
      <c r="K292" s="31" t="str">
        <f aca="false">IF(F292="","",IF(H292&lt;&gt;"",H292,MAX('Vade Sapması'!$D$3,G292)))</f>
        <v/>
      </c>
      <c r="L292" s="30" t="str">
        <f aca="false">IF(F292="","",K292-B292)</f>
        <v/>
      </c>
      <c r="M292" s="30" t="str">
        <f aca="false">IF(F292="","",L292-J292)</f>
        <v/>
      </c>
      <c r="N292" s="32" t="str">
        <f aca="false">IF(F292="","",IF(H292&lt;&gt;"","Kapandı",IF('Vade Sapması'!$D$3&gt;G292,"Açık · vadesi geçti","Açık · vadesi gelmedi")))</f>
        <v/>
      </c>
      <c r="O292" s="30" t="str">
        <f aca="false">IF(F292="","",IF(AND(H292="",'Vade Sapması'!$D$3&gt;G292),'Vade Sapması'!$D$3-G292,0))</f>
        <v/>
      </c>
      <c r="P292" s="33" t="str">
        <f aca="false">IF(F292="","",F292*J292)</f>
        <v/>
      </c>
      <c r="Q292" s="33" t="str">
        <f aca="false">IF(F292="","",F292*L292)</f>
        <v/>
      </c>
      <c r="R292" s="33" t="str">
        <f aca="false">IF(F292="","",IF(H292="",F292,0))</f>
        <v/>
      </c>
      <c r="S292" s="32" t="str">
        <f aca="false">IF(F292="","",IF(N(O292)=0,"",IF(O292&lt;=30,"1-30",IF(O292&lt;=60,"31-60",IF(O292&lt;=90,"61-90","90+")))))</f>
        <v/>
      </c>
      <c r="T292" s="32" t="str">
        <f aca="false">IF(F292="","",IF(E292="","Diğer",E292))</f>
        <v/>
      </c>
      <c r="U292" s="32" t="str">
        <f aca="false">IF(OR(F292="",C292=""),"",IF(COUNTIF($C$2:C292,C292)=1,MAX($U$1:U291)+1,""))</f>
        <v/>
      </c>
    </row>
    <row r="293" customFormat="false" ht="15" hidden="false" customHeight="false" outlineLevel="0" collapsed="false">
      <c r="A293" s="34"/>
      <c r="B293" s="9"/>
      <c r="C293" s="34"/>
      <c r="D293" s="34"/>
      <c r="E293" s="34"/>
      <c r="F293" s="35"/>
      <c r="G293" s="9"/>
      <c r="H293" s="9"/>
      <c r="I293" s="34"/>
      <c r="J293" s="30" t="str">
        <f aca="false">IF(F293="","",G293-B293)</f>
        <v/>
      </c>
      <c r="K293" s="31" t="str">
        <f aca="false">IF(F293="","",IF(H293&lt;&gt;"",H293,MAX('Vade Sapması'!$D$3,G293)))</f>
        <v/>
      </c>
      <c r="L293" s="30" t="str">
        <f aca="false">IF(F293="","",K293-B293)</f>
        <v/>
      </c>
      <c r="M293" s="30" t="str">
        <f aca="false">IF(F293="","",L293-J293)</f>
        <v/>
      </c>
      <c r="N293" s="32" t="str">
        <f aca="false">IF(F293="","",IF(H293&lt;&gt;"","Kapandı",IF('Vade Sapması'!$D$3&gt;G293,"Açık · vadesi geçti","Açık · vadesi gelmedi")))</f>
        <v/>
      </c>
      <c r="O293" s="30" t="str">
        <f aca="false">IF(F293="","",IF(AND(H293="",'Vade Sapması'!$D$3&gt;G293),'Vade Sapması'!$D$3-G293,0))</f>
        <v/>
      </c>
      <c r="P293" s="33" t="str">
        <f aca="false">IF(F293="","",F293*J293)</f>
        <v/>
      </c>
      <c r="Q293" s="33" t="str">
        <f aca="false">IF(F293="","",F293*L293)</f>
        <v/>
      </c>
      <c r="R293" s="33" t="str">
        <f aca="false">IF(F293="","",IF(H293="",F293,0))</f>
        <v/>
      </c>
      <c r="S293" s="32" t="str">
        <f aca="false">IF(F293="","",IF(N(O293)=0,"",IF(O293&lt;=30,"1-30",IF(O293&lt;=60,"31-60",IF(O293&lt;=90,"61-90","90+")))))</f>
        <v/>
      </c>
      <c r="T293" s="32" t="str">
        <f aca="false">IF(F293="","",IF(E293="","Diğer",E293))</f>
        <v/>
      </c>
      <c r="U293" s="32" t="str">
        <f aca="false">IF(OR(F293="",C293=""),"",IF(COUNTIF($C$2:C293,C293)=1,MAX($U$1:U292)+1,""))</f>
        <v/>
      </c>
    </row>
    <row r="294" customFormat="false" ht="15" hidden="false" customHeight="false" outlineLevel="0" collapsed="false">
      <c r="A294" s="34"/>
      <c r="B294" s="9"/>
      <c r="C294" s="34"/>
      <c r="D294" s="34"/>
      <c r="E294" s="34"/>
      <c r="F294" s="35"/>
      <c r="G294" s="9"/>
      <c r="H294" s="9"/>
      <c r="I294" s="34"/>
      <c r="J294" s="30" t="str">
        <f aca="false">IF(F294="","",G294-B294)</f>
        <v/>
      </c>
      <c r="K294" s="31" t="str">
        <f aca="false">IF(F294="","",IF(H294&lt;&gt;"",H294,MAX('Vade Sapması'!$D$3,G294)))</f>
        <v/>
      </c>
      <c r="L294" s="30" t="str">
        <f aca="false">IF(F294="","",K294-B294)</f>
        <v/>
      </c>
      <c r="M294" s="30" t="str">
        <f aca="false">IF(F294="","",L294-J294)</f>
        <v/>
      </c>
      <c r="N294" s="32" t="str">
        <f aca="false">IF(F294="","",IF(H294&lt;&gt;"","Kapandı",IF('Vade Sapması'!$D$3&gt;G294,"Açık · vadesi geçti","Açık · vadesi gelmedi")))</f>
        <v/>
      </c>
      <c r="O294" s="30" t="str">
        <f aca="false">IF(F294="","",IF(AND(H294="",'Vade Sapması'!$D$3&gt;G294),'Vade Sapması'!$D$3-G294,0))</f>
        <v/>
      </c>
      <c r="P294" s="33" t="str">
        <f aca="false">IF(F294="","",F294*J294)</f>
        <v/>
      </c>
      <c r="Q294" s="33" t="str">
        <f aca="false">IF(F294="","",F294*L294)</f>
        <v/>
      </c>
      <c r="R294" s="33" t="str">
        <f aca="false">IF(F294="","",IF(H294="",F294,0))</f>
        <v/>
      </c>
      <c r="S294" s="32" t="str">
        <f aca="false">IF(F294="","",IF(N(O294)=0,"",IF(O294&lt;=30,"1-30",IF(O294&lt;=60,"31-60",IF(O294&lt;=90,"61-90","90+")))))</f>
        <v/>
      </c>
      <c r="T294" s="32" t="str">
        <f aca="false">IF(F294="","",IF(E294="","Diğer",E294))</f>
        <v/>
      </c>
      <c r="U294" s="32" t="str">
        <f aca="false">IF(OR(F294="",C294=""),"",IF(COUNTIF($C$2:C294,C294)=1,MAX($U$1:U293)+1,""))</f>
        <v/>
      </c>
    </row>
    <row r="295" customFormat="false" ht="15" hidden="false" customHeight="false" outlineLevel="0" collapsed="false">
      <c r="A295" s="34"/>
      <c r="B295" s="9"/>
      <c r="C295" s="34"/>
      <c r="D295" s="34"/>
      <c r="E295" s="34"/>
      <c r="F295" s="35"/>
      <c r="G295" s="9"/>
      <c r="H295" s="9"/>
      <c r="I295" s="34"/>
      <c r="J295" s="30" t="str">
        <f aca="false">IF(F295="","",G295-B295)</f>
        <v/>
      </c>
      <c r="K295" s="31" t="str">
        <f aca="false">IF(F295="","",IF(H295&lt;&gt;"",H295,MAX('Vade Sapması'!$D$3,G295)))</f>
        <v/>
      </c>
      <c r="L295" s="30" t="str">
        <f aca="false">IF(F295="","",K295-B295)</f>
        <v/>
      </c>
      <c r="M295" s="30" t="str">
        <f aca="false">IF(F295="","",L295-J295)</f>
        <v/>
      </c>
      <c r="N295" s="32" t="str">
        <f aca="false">IF(F295="","",IF(H295&lt;&gt;"","Kapandı",IF('Vade Sapması'!$D$3&gt;G295,"Açık · vadesi geçti","Açık · vadesi gelmedi")))</f>
        <v/>
      </c>
      <c r="O295" s="30" t="str">
        <f aca="false">IF(F295="","",IF(AND(H295="",'Vade Sapması'!$D$3&gt;G295),'Vade Sapması'!$D$3-G295,0))</f>
        <v/>
      </c>
      <c r="P295" s="33" t="str">
        <f aca="false">IF(F295="","",F295*J295)</f>
        <v/>
      </c>
      <c r="Q295" s="33" t="str">
        <f aca="false">IF(F295="","",F295*L295)</f>
        <v/>
      </c>
      <c r="R295" s="33" t="str">
        <f aca="false">IF(F295="","",IF(H295="",F295,0))</f>
        <v/>
      </c>
      <c r="S295" s="32" t="str">
        <f aca="false">IF(F295="","",IF(N(O295)=0,"",IF(O295&lt;=30,"1-30",IF(O295&lt;=60,"31-60",IF(O295&lt;=90,"61-90","90+")))))</f>
        <v/>
      </c>
      <c r="T295" s="32" t="str">
        <f aca="false">IF(F295="","",IF(E295="","Diğer",E295))</f>
        <v/>
      </c>
      <c r="U295" s="32" t="str">
        <f aca="false">IF(OR(F295="",C295=""),"",IF(COUNTIF($C$2:C295,C295)=1,MAX($U$1:U294)+1,""))</f>
        <v/>
      </c>
    </row>
    <row r="296" customFormat="false" ht="15" hidden="false" customHeight="false" outlineLevel="0" collapsed="false">
      <c r="A296" s="34"/>
      <c r="B296" s="9"/>
      <c r="C296" s="34"/>
      <c r="D296" s="34"/>
      <c r="E296" s="34"/>
      <c r="F296" s="35"/>
      <c r="G296" s="9"/>
      <c r="H296" s="9"/>
      <c r="I296" s="34"/>
      <c r="J296" s="30" t="str">
        <f aca="false">IF(F296="","",G296-B296)</f>
        <v/>
      </c>
      <c r="K296" s="31" t="str">
        <f aca="false">IF(F296="","",IF(H296&lt;&gt;"",H296,MAX('Vade Sapması'!$D$3,G296)))</f>
        <v/>
      </c>
      <c r="L296" s="30" t="str">
        <f aca="false">IF(F296="","",K296-B296)</f>
        <v/>
      </c>
      <c r="M296" s="30" t="str">
        <f aca="false">IF(F296="","",L296-J296)</f>
        <v/>
      </c>
      <c r="N296" s="32" t="str">
        <f aca="false">IF(F296="","",IF(H296&lt;&gt;"","Kapandı",IF('Vade Sapması'!$D$3&gt;G296,"Açık · vadesi geçti","Açık · vadesi gelmedi")))</f>
        <v/>
      </c>
      <c r="O296" s="30" t="str">
        <f aca="false">IF(F296="","",IF(AND(H296="",'Vade Sapması'!$D$3&gt;G296),'Vade Sapması'!$D$3-G296,0))</f>
        <v/>
      </c>
      <c r="P296" s="33" t="str">
        <f aca="false">IF(F296="","",F296*J296)</f>
        <v/>
      </c>
      <c r="Q296" s="33" t="str">
        <f aca="false">IF(F296="","",F296*L296)</f>
        <v/>
      </c>
      <c r="R296" s="33" t="str">
        <f aca="false">IF(F296="","",IF(H296="",F296,0))</f>
        <v/>
      </c>
      <c r="S296" s="32" t="str">
        <f aca="false">IF(F296="","",IF(N(O296)=0,"",IF(O296&lt;=30,"1-30",IF(O296&lt;=60,"31-60",IF(O296&lt;=90,"61-90","90+")))))</f>
        <v/>
      </c>
      <c r="T296" s="32" t="str">
        <f aca="false">IF(F296="","",IF(E296="","Diğer",E296))</f>
        <v/>
      </c>
      <c r="U296" s="32" t="str">
        <f aca="false">IF(OR(F296="",C296=""),"",IF(COUNTIF($C$2:C296,C296)=1,MAX($U$1:U295)+1,""))</f>
        <v/>
      </c>
    </row>
    <row r="297" customFormat="false" ht="15" hidden="false" customHeight="false" outlineLevel="0" collapsed="false">
      <c r="A297" s="34"/>
      <c r="B297" s="9"/>
      <c r="C297" s="34"/>
      <c r="D297" s="34"/>
      <c r="E297" s="34"/>
      <c r="F297" s="35"/>
      <c r="G297" s="9"/>
      <c r="H297" s="9"/>
      <c r="I297" s="34"/>
      <c r="J297" s="30" t="str">
        <f aca="false">IF(F297="","",G297-B297)</f>
        <v/>
      </c>
      <c r="K297" s="31" t="str">
        <f aca="false">IF(F297="","",IF(H297&lt;&gt;"",H297,MAX('Vade Sapması'!$D$3,G297)))</f>
        <v/>
      </c>
      <c r="L297" s="30" t="str">
        <f aca="false">IF(F297="","",K297-B297)</f>
        <v/>
      </c>
      <c r="M297" s="30" t="str">
        <f aca="false">IF(F297="","",L297-J297)</f>
        <v/>
      </c>
      <c r="N297" s="32" t="str">
        <f aca="false">IF(F297="","",IF(H297&lt;&gt;"","Kapandı",IF('Vade Sapması'!$D$3&gt;G297,"Açık · vadesi geçti","Açık · vadesi gelmedi")))</f>
        <v/>
      </c>
      <c r="O297" s="30" t="str">
        <f aca="false">IF(F297="","",IF(AND(H297="",'Vade Sapması'!$D$3&gt;G297),'Vade Sapması'!$D$3-G297,0))</f>
        <v/>
      </c>
      <c r="P297" s="33" t="str">
        <f aca="false">IF(F297="","",F297*J297)</f>
        <v/>
      </c>
      <c r="Q297" s="33" t="str">
        <f aca="false">IF(F297="","",F297*L297)</f>
        <v/>
      </c>
      <c r="R297" s="33" t="str">
        <f aca="false">IF(F297="","",IF(H297="",F297,0))</f>
        <v/>
      </c>
      <c r="S297" s="32" t="str">
        <f aca="false">IF(F297="","",IF(N(O297)=0,"",IF(O297&lt;=30,"1-30",IF(O297&lt;=60,"31-60",IF(O297&lt;=90,"61-90","90+")))))</f>
        <v/>
      </c>
      <c r="T297" s="32" t="str">
        <f aca="false">IF(F297="","",IF(E297="","Diğer",E297))</f>
        <v/>
      </c>
      <c r="U297" s="32" t="str">
        <f aca="false">IF(OR(F297="",C297=""),"",IF(COUNTIF($C$2:C297,C297)=1,MAX($U$1:U296)+1,""))</f>
        <v/>
      </c>
    </row>
    <row r="298" customFormat="false" ht="15" hidden="false" customHeight="false" outlineLevel="0" collapsed="false">
      <c r="A298" s="34"/>
      <c r="B298" s="9"/>
      <c r="C298" s="34"/>
      <c r="D298" s="34"/>
      <c r="E298" s="34"/>
      <c r="F298" s="35"/>
      <c r="G298" s="9"/>
      <c r="H298" s="9"/>
      <c r="I298" s="34"/>
      <c r="J298" s="30" t="str">
        <f aca="false">IF(F298="","",G298-B298)</f>
        <v/>
      </c>
      <c r="K298" s="31" t="str">
        <f aca="false">IF(F298="","",IF(H298&lt;&gt;"",H298,MAX('Vade Sapması'!$D$3,G298)))</f>
        <v/>
      </c>
      <c r="L298" s="30" t="str">
        <f aca="false">IF(F298="","",K298-B298)</f>
        <v/>
      </c>
      <c r="M298" s="30" t="str">
        <f aca="false">IF(F298="","",L298-J298)</f>
        <v/>
      </c>
      <c r="N298" s="32" t="str">
        <f aca="false">IF(F298="","",IF(H298&lt;&gt;"","Kapandı",IF('Vade Sapması'!$D$3&gt;G298,"Açık · vadesi geçti","Açık · vadesi gelmedi")))</f>
        <v/>
      </c>
      <c r="O298" s="30" t="str">
        <f aca="false">IF(F298="","",IF(AND(H298="",'Vade Sapması'!$D$3&gt;G298),'Vade Sapması'!$D$3-G298,0))</f>
        <v/>
      </c>
      <c r="P298" s="33" t="str">
        <f aca="false">IF(F298="","",F298*J298)</f>
        <v/>
      </c>
      <c r="Q298" s="33" t="str">
        <f aca="false">IF(F298="","",F298*L298)</f>
        <v/>
      </c>
      <c r="R298" s="33" t="str">
        <f aca="false">IF(F298="","",IF(H298="",F298,0))</f>
        <v/>
      </c>
      <c r="S298" s="32" t="str">
        <f aca="false">IF(F298="","",IF(N(O298)=0,"",IF(O298&lt;=30,"1-30",IF(O298&lt;=60,"31-60",IF(O298&lt;=90,"61-90","90+")))))</f>
        <v/>
      </c>
      <c r="T298" s="32" t="str">
        <f aca="false">IF(F298="","",IF(E298="","Diğer",E298))</f>
        <v/>
      </c>
      <c r="U298" s="32" t="str">
        <f aca="false">IF(OR(F298="",C298=""),"",IF(COUNTIF($C$2:C298,C298)=1,MAX($U$1:U297)+1,""))</f>
        <v/>
      </c>
    </row>
    <row r="299" customFormat="false" ht="15" hidden="false" customHeight="false" outlineLevel="0" collapsed="false">
      <c r="A299" s="34"/>
      <c r="B299" s="9"/>
      <c r="C299" s="34"/>
      <c r="D299" s="34"/>
      <c r="E299" s="34"/>
      <c r="F299" s="35"/>
      <c r="G299" s="9"/>
      <c r="H299" s="9"/>
      <c r="I299" s="34"/>
      <c r="J299" s="30" t="str">
        <f aca="false">IF(F299="","",G299-B299)</f>
        <v/>
      </c>
      <c r="K299" s="31" t="str">
        <f aca="false">IF(F299="","",IF(H299&lt;&gt;"",H299,MAX('Vade Sapması'!$D$3,G299)))</f>
        <v/>
      </c>
      <c r="L299" s="30" t="str">
        <f aca="false">IF(F299="","",K299-B299)</f>
        <v/>
      </c>
      <c r="M299" s="30" t="str">
        <f aca="false">IF(F299="","",L299-J299)</f>
        <v/>
      </c>
      <c r="N299" s="32" t="str">
        <f aca="false">IF(F299="","",IF(H299&lt;&gt;"","Kapandı",IF('Vade Sapması'!$D$3&gt;G299,"Açık · vadesi geçti","Açık · vadesi gelmedi")))</f>
        <v/>
      </c>
      <c r="O299" s="30" t="str">
        <f aca="false">IF(F299="","",IF(AND(H299="",'Vade Sapması'!$D$3&gt;G299),'Vade Sapması'!$D$3-G299,0))</f>
        <v/>
      </c>
      <c r="P299" s="33" t="str">
        <f aca="false">IF(F299="","",F299*J299)</f>
        <v/>
      </c>
      <c r="Q299" s="33" t="str">
        <f aca="false">IF(F299="","",F299*L299)</f>
        <v/>
      </c>
      <c r="R299" s="33" t="str">
        <f aca="false">IF(F299="","",IF(H299="",F299,0))</f>
        <v/>
      </c>
      <c r="S299" s="32" t="str">
        <f aca="false">IF(F299="","",IF(N(O299)=0,"",IF(O299&lt;=30,"1-30",IF(O299&lt;=60,"31-60",IF(O299&lt;=90,"61-90","90+")))))</f>
        <v/>
      </c>
      <c r="T299" s="32" t="str">
        <f aca="false">IF(F299="","",IF(E299="","Diğer",E299))</f>
        <v/>
      </c>
      <c r="U299" s="32" t="str">
        <f aca="false">IF(OR(F299="",C299=""),"",IF(COUNTIF($C$2:C299,C299)=1,MAX($U$1:U298)+1,""))</f>
        <v/>
      </c>
    </row>
    <row r="300" customFormat="false" ht="15" hidden="false" customHeight="false" outlineLevel="0" collapsed="false">
      <c r="A300" s="34"/>
      <c r="B300" s="9"/>
      <c r="C300" s="34"/>
      <c r="D300" s="34"/>
      <c r="E300" s="34"/>
      <c r="F300" s="35"/>
      <c r="G300" s="9"/>
      <c r="H300" s="9"/>
      <c r="I300" s="34"/>
      <c r="J300" s="30" t="str">
        <f aca="false">IF(F300="","",G300-B300)</f>
        <v/>
      </c>
      <c r="K300" s="31" t="str">
        <f aca="false">IF(F300="","",IF(H300&lt;&gt;"",H300,MAX('Vade Sapması'!$D$3,G300)))</f>
        <v/>
      </c>
      <c r="L300" s="30" t="str">
        <f aca="false">IF(F300="","",K300-B300)</f>
        <v/>
      </c>
      <c r="M300" s="30" t="str">
        <f aca="false">IF(F300="","",L300-J300)</f>
        <v/>
      </c>
      <c r="N300" s="32" t="str">
        <f aca="false">IF(F300="","",IF(H300&lt;&gt;"","Kapandı",IF('Vade Sapması'!$D$3&gt;G300,"Açık · vadesi geçti","Açık · vadesi gelmedi")))</f>
        <v/>
      </c>
      <c r="O300" s="30" t="str">
        <f aca="false">IF(F300="","",IF(AND(H300="",'Vade Sapması'!$D$3&gt;G300),'Vade Sapması'!$D$3-G300,0))</f>
        <v/>
      </c>
      <c r="P300" s="33" t="str">
        <f aca="false">IF(F300="","",F300*J300)</f>
        <v/>
      </c>
      <c r="Q300" s="33" t="str">
        <f aca="false">IF(F300="","",F300*L300)</f>
        <v/>
      </c>
      <c r="R300" s="33" t="str">
        <f aca="false">IF(F300="","",IF(H300="",F300,0))</f>
        <v/>
      </c>
      <c r="S300" s="32" t="str">
        <f aca="false">IF(F300="","",IF(N(O300)=0,"",IF(O300&lt;=30,"1-30",IF(O300&lt;=60,"31-60",IF(O300&lt;=90,"61-90","90+")))))</f>
        <v/>
      </c>
      <c r="T300" s="32" t="str">
        <f aca="false">IF(F300="","",IF(E300="","Diğer",E300))</f>
        <v/>
      </c>
      <c r="U300" s="32" t="str">
        <f aca="false">IF(OR(F300="",C300=""),"",IF(COUNTIF($C$2:C300,C300)=1,MAX($U$1:U299)+1,""))</f>
        <v/>
      </c>
    </row>
    <row r="301" customFormat="false" ht="15" hidden="false" customHeight="false" outlineLevel="0" collapsed="false">
      <c r="A301" s="34"/>
      <c r="B301" s="9"/>
      <c r="C301" s="34"/>
      <c r="D301" s="34"/>
      <c r="E301" s="34"/>
      <c r="F301" s="35"/>
      <c r="G301" s="9"/>
      <c r="H301" s="9"/>
      <c r="I301" s="34"/>
      <c r="J301" s="30" t="str">
        <f aca="false">IF(F301="","",G301-B301)</f>
        <v/>
      </c>
      <c r="K301" s="31" t="str">
        <f aca="false">IF(F301="","",IF(H301&lt;&gt;"",H301,MAX('Vade Sapması'!$D$3,G301)))</f>
        <v/>
      </c>
      <c r="L301" s="30" t="str">
        <f aca="false">IF(F301="","",K301-B301)</f>
        <v/>
      </c>
      <c r="M301" s="30" t="str">
        <f aca="false">IF(F301="","",L301-J301)</f>
        <v/>
      </c>
      <c r="N301" s="32" t="str">
        <f aca="false">IF(F301="","",IF(H301&lt;&gt;"","Kapandı",IF('Vade Sapması'!$D$3&gt;G301,"Açık · vadesi geçti","Açık · vadesi gelmedi")))</f>
        <v/>
      </c>
      <c r="O301" s="30" t="str">
        <f aca="false">IF(F301="","",IF(AND(H301="",'Vade Sapması'!$D$3&gt;G301),'Vade Sapması'!$D$3-G301,0))</f>
        <v/>
      </c>
      <c r="P301" s="33" t="str">
        <f aca="false">IF(F301="","",F301*J301)</f>
        <v/>
      </c>
      <c r="Q301" s="33" t="str">
        <f aca="false">IF(F301="","",F301*L301)</f>
        <v/>
      </c>
      <c r="R301" s="33" t="str">
        <f aca="false">IF(F301="","",IF(H301="",F301,0))</f>
        <v/>
      </c>
      <c r="S301" s="32" t="str">
        <f aca="false">IF(F301="","",IF(N(O301)=0,"",IF(O301&lt;=30,"1-30",IF(O301&lt;=60,"31-60",IF(O301&lt;=90,"61-90","90+")))))</f>
        <v/>
      </c>
      <c r="T301" s="32" t="str">
        <f aca="false">IF(F301="","",IF(E301="","Diğer",E301))</f>
        <v/>
      </c>
      <c r="U301" s="32" t="str">
        <f aca="false">IF(OR(F301="",C301=""),"",IF(COUNTIF($C$2:C301,C301)=1,MAX($U$1:U300)+1,""))</f>
        <v/>
      </c>
    </row>
    <row r="302" customFormat="false" ht="15" hidden="false" customHeight="false" outlineLevel="0" collapsed="false">
      <c r="A302" s="34"/>
      <c r="B302" s="9"/>
      <c r="C302" s="34"/>
      <c r="D302" s="34"/>
      <c r="E302" s="34"/>
      <c r="F302" s="35"/>
      <c r="G302" s="9"/>
      <c r="H302" s="9"/>
      <c r="I302" s="34"/>
      <c r="J302" s="30" t="str">
        <f aca="false">IF(F302="","",G302-B302)</f>
        <v/>
      </c>
      <c r="K302" s="31" t="str">
        <f aca="false">IF(F302="","",IF(H302&lt;&gt;"",H302,MAX('Vade Sapması'!$D$3,G302)))</f>
        <v/>
      </c>
      <c r="L302" s="30" t="str">
        <f aca="false">IF(F302="","",K302-B302)</f>
        <v/>
      </c>
      <c r="M302" s="30" t="str">
        <f aca="false">IF(F302="","",L302-J302)</f>
        <v/>
      </c>
      <c r="N302" s="32" t="str">
        <f aca="false">IF(F302="","",IF(H302&lt;&gt;"","Kapandı",IF('Vade Sapması'!$D$3&gt;G302,"Açık · vadesi geçti","Açık · vadesi gelmedi")))</f>
        <v/>
      </c>
      <c r="O302" s="30" t="str">
        <f aca="false">IF(F302="","",IF(AND(H302="",'Vade Sapması'!$D$3&gt;G302),'Vade Sapması'!$D$3-G302,0))</f>
        <v/>
      </c>
      <c r="P302" s="33" t="str">
        <f aca="false">IF(F302="","",F302*J302)</f>
        <v/>
      </c>
      <c r="Q302" s="33" t="str">
        <f aca="false">IF(F302="","",F302*L302)</f>
        <v/>
      </c>
      <c r="R302" s="33" t="str">
        <f aca="false">IF(F302="","",IF(H302="",F302,0))</f>
        <v/>
      </c>
      <c r="S302" s="32" t="str">
        <f aca="false">IF(F302="","",IF(N(O302)=0,"",IF(O302&lt;=30,"1-30",IF(O302&lt;=60,"31-60",IF(O302&lt;=90,"61-90","90+")))))</f>
        <v/>
      </c>
      <c r="T302" s="32" t="str">
        <f aca="false">IF(F302="","",IF(E302="","Diğer",E302))</f>
        <v/>
      </c>
      <c r="U302" s="32" t="str">
        <f aca="false">IF(OR(F302="",C302=""),"",IF(COUNTIF($C$2:C302,C302)=1,MAX($U$1:U301)+1,""))</f>
        <v/>
      </c>
    </row>
    <row r="303" customFormat="false" ht="15" hidden="false" customHeight="false" outlineLevel="0" collapsed="false">
      <c r="A303" s="34"/>
      <c r="B303" s="9"/>
      <c r="C303" s="34"/>
      <c r="D303" s="34"/>
      <c r="E303" s="34"/>
      <c r="F303" s="35"/>
      <c r="G303" s="9"/>
      <c r="H303" s="9"/>
      <c r="I303" s="34"/>
      <c r="J303" s="30" t="str">
        <f aca="false">IF(F303="","",G303-B303)</f>
        <v/>
      </c>
      <c r="K303" s="31" t="str">
        <f aca="false">IF(F303="","",IF(H303&lt;&gt;"",H303,MAX('Vade Sapması'!$D$3,G303)))</f>
        <v/>
      </c>
      <c r="L303" s="30" t="str">
        <f aca="false">IF(F303="","",K303-B303)</f>
        <v/>
      </c>
      <c r="M303" s="30" t="str">
        <f aca="false">IF(F303="","",L303-J303)</f>
        <v/>
      </c>
      <c r="N303" s="32" t="str">
        <f aca="false">IF(F303="","",IF(H303&lt;&gt;"","Kapandı",IF('Vade Sapması'!$D$3&gt;G303,"Açık · vadesi geçti","Açık · vadesi gelmedi")))</f>
        <v/>
      </c>
      <c r="O303" s="30" t="str">
        <f aca="false">IF(F303="","",IF(AND(H303="",'Vade Sapması'!$D$3&gt;G303),'Vade Sapması'!$D$3-G303,0))</f>
        <v/>
      </c>
      <c r="P303" s="33" t="str">
        <f aca="false">IF(F303="","",F303*J303)</f>
        <v/>
      </c>
      <c r="Q303" s="33" t="str">
        <f aca="false">IF(F303="","",F303*L303)</f>
        <v/>
      </c>
      <c r="R303" s="33" t="str">
        <f aca="false">IF(F303="","",IF(H303="",F303,0))</f>
        <v/>
      </c>
      <c r="S303" s="32" t="str">
        <f aca="false">IF(F303="","",IF(N(O303)=0,"",IF(O303&lt;=30,"1-30",IF(O303&lt;=60,"31-60",IF(O303&lt;=90,"61-90","90+")))))</f>
        <v/>
      </c>
      <c r="T303" s="32" t="str">
        <f aca="false">IF(F303="","",IF(E303="","Diğer",E303))</f>
        <v/>
      </c>
      <c r="U303" s="32" t="str">
        <f aca="false">IF(OR(F303="",C303=""),"",IF(COUNTIF($C$2:C303,C303)=1,MAX($U$1:U302)+1,""))</f>
        <v/>
      </c>
    </row>
    <row r="304" customFormat="false" ht="15" hidden="false" customHeight="false" outlineLevel="0" collapsed="false">
      <c r="A304" s="34"/>
      <c r="B304" s="9"/>
      <c r="C304" s="34"/>
      <c r="D304" s="34"/>
      <c r="E304" s="34"/>
      <c r="F304" s="35"/>
      <c r="G304" s="9"/>
      <c r="H304" s="9"/>
      <c r="I304" s="34"/>
      <c r="J304" s="30" t="str">
        <f aca="false">IF(F304="","",G304-B304)</f>
        <v/>
      </c>
      <c r="K304" s="31" t="str">
        <f aca="false">IF(F304="","",IF(H304&lt;&gt;"",H304,MAX('Vade Sapması'!$D$3,G304)))</f>
        <v/>
      </c>
      <c r="L304" s="30" t="str">
        <f aca="false">IF(F304="","",K304-B304)</f>
        <v/>
      </c>
      <c r="M304" s="30" t="str">
        <f aca="false">IF(F304="","",L304-J304)</f>
        <v/>
      </c>
      <c r="N304" s="32" t="str">
        <f aca="false">IF(F304="","",IF(H304&lt;&gt;"","Kapandı",IF('Vade Sapması'!$D$3&gt;G304,"Açık · vadesi geçti","Açık · vadesi gelmedi")))</f>
        <v/>
      </c>
      <c r="O304" s="30" t="str">
        <f aca="false">IF(F304="","",IF(AND(H304="",'Vade Sapması'!$D$3&gt;G304),'Vade Sapması'!$D$3-G304,0))</f>
        <v/>
      </c>
      <c r="P304" s="33" t="str">
        <f aca="false">IF(F304="","",F304*J304)</f>
        <v/>
      </c>
      <c r="Q304" s="33" t="str">
        <f aca="false">IF(F304="","",F304*L304)</f>
        <v/>
      </c>
      <c r="R304" s="33" t="str">
        <f aca="false">IF(F304="","",IF(H304="",F304,0))</f>
        <v/>
      </c>
      <c r="S304" s="32" t="str">
        <f aca="false">IF(F304="","",IF(N(O304)=0,"",IF(O304&lt;=30,"1-30",IF(O304&lt;=60,"31-60",IF(O304&lt;=90,"61-90","90+")))))</f>
        <v/>
      </c>
      <c r="T304" s="32" t="str">
        <f aca="false">IF(F304="","",IF(E304="","Diğer",E304))</f>
        <v/>
      </c>
      <c r="U304" s="32" t="str">
        <f aca="false">IF(OR(F304="",C304=""),"",IF(COUNTIF($C$2:C304,C304)=1,MAX($U$1:U303)+1,""))</f>
        <v/>
      </c>
    </row>
    <row r="305" customFormat="false" ht="15" hidden="false" customHeight="false" outlineLevel="0" collapsed="false">
      <c r="A305" s="34"/>
      <c r="B305" s="9"/>
      <c r="C305" s="34"/>
      <c r="D305" s="34"/>
      <c r="E305" s="34"/>
      <c r="F305" s="35"/>
      <c r="G305" s="9"/>
      <c r="H305" s="9"/>
      <c r="I305" s="34"/>
      <c r="J305" s="30" t="str">
        <f aca="false">IF(F305="","",G305-B305)</f>
        <v/>
      </c>
      <c r="K305" s="31" t="str">
        <f aca="false">IF(F305="","",IF(H305&lt;&gt;"",H305,MAX('Vade Sapması'!$D$3,G305)))</f>
        <v/>
      </c>
      <c r="L305" s="30" t="str">
        <f aca="false">IF(F305="","",K305-B305)</f>
        <v/>
      </c>
      <c r="M305" s="30" t="str">
        <f aca="false">IF(F305="","",L305-J305)</f>
        <v/>
      </c>
      <c r="N305" s="32" t="str">
        <f aca="false">IF(F305="","",IF(H305&lt;&gt;"","Kapandı",IF('Vade Sapması'!$D$3&gt;G305,"Açık · vadesi geçti","Açık · vadesi gelmedi")))</f>
        <v/>
      </c>
      <c r="O305" s="30" t="str">
        <f aca="false">IF(F305="","",IF(AND(H305="",'Vade Sapması'!$D$3&gt;G305),'Vade Sapması'!$D$3-G305,0))</f>
        <v/>
      </c>
      <c r="P305" s="33" t="str">
        <f aca="false">IF(F305="","",F305*J305)</f>
        <v/>
      </c>
      <c r="Q305" s="33" t="str">
        <f aca="false">IF(F305="","",F305*L305)</f>
        <v/>
      </c>
      <c r="R305" s="33" t="str">
        <f aca="false">IF(F305="","",IF(H305="",F305,0))</f>
        <v/>
      </c>
      <c r="S305" s="32" t="str">
        <f aca="false">IF(F305="","",IF(N(O305)=0,"",IF(O305&lt;=30,"1-30",IF(O305&lt;=60,"31-60",IF(O305&lt;=90,"61-90","90+")))))</f>
        <v/>
      </c>
      <c r="T305" s="32" t="str">
        <f aca="false">IF(F305="","",IF(E305="","Diğer",E305))</f>
        <v/>
      </c>
      <c r="U305" s="32" t="str">
        <f aca="false">IF(OR(F305="",C305=""),"",IF(COUNTIF($C$2:C305,C305)=1,MAX($U$1:U304)+1,""))</f>
        <v/>
      </c>
    </row>
    <row r="306" customFormat="false" ht="15" hidden="false" customHeight="false" outlineLevel="0" collapsed="false">
      <c r="A306" s="34"/>
      <c r="B306" s="9"/>
      <c r="C306" s="34"/>
      <c r="D306" s="34"/>
      <c r="E306" s="34"/>
      <c r="F306" s="35"/>
      <c r="G306" s="9"/>
      <c r="H306" s="9"/>
      <c r="I306" s="34"/>
      <c r="J306" s="30" t="str">
        <f aca="false">IF(F306="","",G306-B306)</f>
        <v/>
      </c>
      <c r="K306" s="31" t="str">
        <f aca="false">IF(F306="","",IF(H306&lt;&gt;"",H306,MAX('Vade Sapması'!$D$3,G306)))</f>
        <v/>
      </c>
      <c r="L306" s="30" t="str">
        <f aca="false">IF(F306="","",K306-B306)</f>
        <v/>
      </c>
      <c r="M306" s="30" t="str">
        <f aca="false">IF(F306="","",L306-J306)</f>
        <v/>
      </c>
      <c r="N306" s="32" t="str">
        <f aca="false">IF(F306="","",IF(H306&lt;&gt;"","Kapandı",IF('Vade Sapması'!$D$3&gt;G306,"Açık · vadesi geçti","Açık · vadesi gelmedi")))</f>
        <v/>
      </c>
      <c r="O306" s="30" t="str">
        <f aca="false">IF(F306="","",IF(AND(H306="",'Vade Sapması'!$D$3&gt;G306),'Vade Sapması'!$D$3-G306,0))</f>
        <v/>
      </c>
      <c r="P306" s="33" t="str">
        <f aca="false">IF(F306="","",F306*J306)</f>
        <v/>
      </c>
      <c r="Q306" s="33" t="str">
        <f aca="false">IF(F306="","",F306*L306)</f>
        <v/>
      </c>
      <c r="R306" s="33" t="str">
        <f aca="false">IF(F306="","",IF(H306="",F306,0))</f>
        <v/>
      </c>
      <c r="S306" s="32" t="str">
        <f aca="false">IF(F306="","",IF(N(O306)=0,"",IF(O306&lt;=30,"1-30",IF(O306&lt;=60,"31-60",IF(O306&lt;=90,"61-90","90+")))))</f>
        <v/>
      </c>
      <c r="T306" s="32" t="str">
        <f aca="false">IF(F306="","",IF(E306="","Diğer",E306))</f>
        <v/>
      </c>
      <c r="U306" s="32" t="str">
        <f aca="false">IF(OR(F306="",C306=""),"",IF(COUNTIF($C$2:C306,C306)=1,MAX($U$1:U305)+1,""))</f>
        <v/>
      </c>
    </row>
    <row r="307" customFormat="false" ht="15" hidden="false" customHeight="false" outlineLevel="0" collapsed="false">
      <c r="A307" s="34"/>
      <c r="B307" s="9"/>
      <c r="C307" s="34"/>
      <c r="D307" s="34"/>
      <c r="E307" s="34"/>
      <c r="F307" s="35"/>
      <c r="G307" s="9"/>
      <c r="H307" s="9"/>
      <c r="I307" s="34"/>
      <c r="J307" s="30" t="str">
        <f aca="false">IF(F307="","",G307-B307)</f>
        <v/>
      </c>
      <c r="K307" s="31" t="str">
        <f aca="false">IF(F307="","",IF(H307&lt;&gt;"",H307,MAX('Vade Sapması'!$D$3,G307)))</f>
        <v/>
      </c>
      <c r="L307" s="30" t="str">
        <f aca="false">IF(F307="","",K307-B307)</f>
        <v/>
      </c>
      <c r="M307" s="30" t="str">
        <f aca="false">IF(F307="","",L307-J307)</f>
        <v/>
      </c>
      <c r="N307" s="32" t="str">
        <f aca="false">IF(F307="","",IF(H307&lt;&gt;"","Kapandı",IF('Vade Sapması'!$D$3&gt;G307,"Açık · vadesi geçti","Açık · vadesi gelmedi")))</f>
        <v/>
      </c>
      <c r="O307" s="30" t="str">
        <f aca="false">IF(F307="","",IF(AND(H307="",'Vade Sapması'!$D$3&gt;G307),'Vade Sapması'!$D$3-G307,0))</f>
        <v/>
      </c>
      <c r="P307" s="33" t="str">
        <f aca="false">IF(F307="","",F307*J307)</f>
        <v/>
      </c>
      <c r="Q307" s="33" t="str">
        <f aca="false">IF(F307="","",F307*L307)</f>
        <v/>
      </c>
      <c r="R307" s="33" t="str">
        <f aca="false">IF(F307="","",IF(H307="",F307,0))</f>
        <v/>
      </c>
      <c r="S307" s="32" t="str">
        <f aca="false">IF(F307="","",IF(N(O307)=0,"",IF(O307&lt;=30,"1-30",IF(O307&lt;=60,"31-60",IF(O307&lt;=90,"61-90","90+")))))</f>
        <v/>
      </c>
      <c r="T307" s="32" t="str">
        <f aca="false">IF(F307="","",IF(E307="","Diğer",E307))</f>
        <v/>
      </c>
      <c r="U307" s="32" t="str">
        <f aca="false">IF(OR(F307="",C307=""),"",IF(COUNTIF($C$2:C307,C307)=1,MAX($U$1:U306)+1,""))</f>
        <v/>
      </c>
    </row>
    <row r="308" customFormat="false" ht="15" hidden="false" customHeight="false" outlineLevel="0" collapsed="false">
      <c r="A308" s="34"/>
      <c r="B308" s="9"/>
      <c r="C308" s="34"/>
      <c r="D308" s="34"/>
      <c r="E308" s="34"/>
      <c r="F308" s="35"/>
      <c r="G308" s="9"/>
      <c r="H308" s="9"/>
      <c r="I308" s="34"/>
      <c r="J308" s="30" t="str">
        <f aca="false">IF(F308="","",G308-B308)</f>
        <v/>
      </c>
      <c r="K308" s="31" t="str">
        <f aca="false">IF(F308="","",IF(H308&lt;&gt;"",H308,MAX('Vade Sapması'!$D$3,G308)))</f>
        <v/>
      </c>
      <c r="L308" s="30" t="str">
        <f aca="false">IF(F308="","",K308-B308)</f>
        <v/>
      </c>
      <c r="M308" s="30" t="str">
        <f aca="false">IF(F308="","",L308-J308)</f>
        <v/>
      </c>
      <c r="N308" s="32" t="str">
        <f aca="false">IF(F308="","",IF(H308&lt;&gt;"","Kapandı",IF('Vade Sapması'!$D$3&gt;G308,"Açık · vadesi geçti","Açık · vadesi gelmedi")))</f>
        <v/>
      </c>
      <c r="O308" s="30" t="str">
        <f aca="false">IF(F308="","",IF(AND(H308="",'Vade Sapması'!$D$3&gt;G308),'Vade Sapması'!$D$3-G308,0))</f>
        <v/>
      </c>
      <c r="P308" s="33" t="str">
        <f aca="false">IF(F308="","",F308*J308)</f>
        <v/>
      </c>
      <c r="Q308" s="33" t="str">
        <f aca="false">IF(F308="","",F308*L308)</f>
        <v/>
      </c>
      <c r="R308" s="33" t="str">
        <f aca="false">IF(F308="","",IF(H308="",F308,0))</f>
        <v/>
      </c>
      <c r="S308" s="32" t="str">
        <f aca="false">IF(F308="","",IF(N(O308)=0,"",IF(O308&lt;=30,"1-30",IF(O308&lt;=60,"31-60",IF(O308&lt;=90,"61-90","90+")))))</f>
        <v/>
      </c>
      <c r="T308" s="32" t="str">
        <f aca="false">IF(F308="","",IF(E308="","Diğer",E308))</f>
        <v/>
      </c>
      <c r="U308" s="32" t="str">
        <f aca="false">IF(OR(F308="",C308=""),"",IF(COUNTIF($C$2:C308,C308)=1,MAX($U$1:U307)+1,""))</f>
        <v/>
      </c>
    </row>
    <row r="309" customFormat="false" ht="15" hidden="false" customHeight="false" outlineLevel="0" collapsed="false">
      <c r="A309" s="34"/>
      <c r="B309" s="9"/>
      <c r="C309" s="34"/>
      <c r="D309" s="34"/>
      <c r="E309" s="34"/>
      <c r="F309" s="35"/>
      <c r="G309" s="9"/>
      <c r="H309" s="9"/>
      <c r="I309" s="34"/>
      <c r="J309" s="30" t="str">
        <f aca="false">IF(F309="","",G309-B309)</f>
        <v/>
      </c>
      <c r="K309" s="31" t="str">
        <f aca="false">IF(F309="","",IF(H309&lt;&gt;"",H309,MAX('Vade Sapması'!$D$3,G309)))</f>
        <v/>
      </c>
      <c r="L309" s="30" t="str">
        <f aca="false">IF(F309="","",K309-B309)</f>
        <v/>
      </c>
      <c r="M309" s="30" t="str">
        <f aca="false">IF(F309="","",L309-J309)</f>
        <v/>
      </c>
      <c r="N309" s="32" t="str">
        <f aca="false">IF(F309="","",IF(H309&lt;&gt;"","Kapandı",IF('Vade Sapması'!$D$3&gt;G309,"Açık · vadesi geçti","Açık · vadesi gelmedi")))</f>
        <v/>
      </c>
      <c r="O309" s="30" t="str">
        <f aca="false">IF(F309="","",IF(AND(H309="",'Vade Sapması'!$D$3&gt;G309),'Vade Sapması'!$D$3-G309,0))</f>
        <v/>
      </c>
      <c r="P309" s="33" t="str">
        <f aca="false">IF(F309="","",F309*J309)</f>
        <v/>
      </c>
      <c r="Q309" s="33" t="str">
        <f aca="false">IF(F309="","",F309*L309)</f>
        <v/>
      </c>
      <c r="R309" s="33" t="str">
        <f aca="false">IF(F309="","",IF(H309="",F309,0))</f>
        <v/>
      </c>
      <c r="S309" s="32" t="str">
        <f aca="false">IF(F309="","",IF(N(O309)=0,"",IF(O309&lt;=30,"1-30",IF(O309&lt;=60,"31-60",IF(O309&lt;=90,"61-90","90+")))))</f>
        <v/>
      </c>
      <c r="T309" s="32" t="str">
        <f aca="false">IF(F309="","",IF(E309="","Diğer",E309))</f>
        <v/>
      </c>
      <c r="U309" s="32" t="str">
        <f aca="false">IF(OR(F309="",C309=""),"",IF(COUNTIF($C$2:C309,C309)=1,MAX($U$1:U308)+1,""))</f>
        <v/>
      </c>
    </row>
    <row r="310" customFormat="false" ht="15" hidden="false" customHeight="false" outlineLevel="0" collapsed="false">
      <c r="A310" s="34"/>
      <c r="B310" s="9"/>
      <c r="C310" s="34"/>
      <c r="D310" s="34"/>
      <c r="E310" s="34"/>
      <c r="F310" s="35"/>
      <c r="G310" s="9"/>
      <c r="H310" s="9"/>
      <c r="I310" s="34"/>
      <c r="J310" s="30" t="str">
        <f aca="false">IF(F310="","",G310-B310)</f>
        <v/>
      </c>
      <c r="K310" s="31" t="str">
        <f aca="false">IF(F310="","",IF(H310&lt;&gt;"",H310,MAX('Vade Sapması'!$D$3,G310)))</f>
        <v/>
      </c>
      <c r="L310" s="30" t="str">
        <f aca="false">IF(F310="","",K310-B310)</f>
        <v/>
      </c>
      <c r="M310" s="30" t="str">
        <f aca="false">IF(F310="","",L310-J310)</f>
        <v/>
      </c>
      <c r="N310" s="32" t="str">
        <f aca="false">IF(F310="","",IF(H310&lt;&gt;"","Kapandı",IF('Vade Sapması'!$D$3&gt;G310,"Açık · vadesi geçti","Açık · vadesi gelmedi")))</f>
        <v/>
      </c>
      <c r="O310" s="30" t="str">
        <f aca="false">IF(F310="","",IF(AND(H310="",'Vade Sapması'!$D$3&gt;G310),'Vade Sapması'!$D$3-G310,0))</f>
        <v/>
      </c>
      <c r="P310" s="33" t="str">
        <f aca="false">IF(F310="","",F310*J310)</f>
        <v/>
      </c>
      <c r="Q310" s="33" t="str">
        <f aca="false">IF(F310="","",F310*L310)</f>
        <v/>
      </c>
      <c r="R310" s="33" t="str">
        <f aca="false">IF(F310="","",IF(H310="",F310,0))</f>
        <v/>
      </c>
      <c r="S310" s="32" t="str">
        <f aca="false">IF(F310="","",IF(N(O310)=0,"",IF(O310&lt;=30,"1-30",IF(O310&lt;=60,"31-60",IF(O310&lt;=90,"61-90","90+")))))</f>
        <v/>
      </c>
      <c r="T310" s="32" t="str">
        <f aca="false">IF(F310="","",IF(E310="","Diğer",E310))</f>
        <v/>
      </c>
      <c r="U310" s="32" t="str">
        <f aca="false">IF(OR(F310="",C310=""),"",IF(COUNTIF($C$2:C310,C310)=1,MAX($U$1:U309)+1,""))</f>
        <v/>
      </c>
    </row>
    <row r="311" customFormat="false" ht="15" hidden="false" customHeight="false" outlineLevel="0" collapsed="false">
      <c r="A311" s="34"/>
      <c r="B311" s="9"/>
      <c r="C311" s="34"/>
      <c r="D311" s="34"/>
      <c r="E311" s="34"/>
      <c r="F311" s="35"/>
      <c r="G311" s="9"/>
      <c r="H311" s="9"/>
      <c r="I311" s="34"/>
      <c r="J311" s="30" t="str">
        <f aca="false">IF(F311="","",G311-B311)</f>
        <v/>
      </c>
      <c r="K311" s="31" t="str">
        <f aca="false">IF(F311="","",IF(H311&lt;&gt;"",H311,MAX('Vade Sapması'!$D$3,G311)))</f>
        <v/>
      </c>
      <c r="L311" s="30" t="str">
        <f aca="false">IF(F311="","",K311-B311)</f>
        <v/>
      </c>
      <c r="M311" s="30" t="str">
        <f aca="false">IF(F311="","",L311-J311)</f>
        <v/>
      </c>
      <c r="N311" s="32" t="str">
        <f aca="false">IF(F311="","",IF(H311&lt;&gt;"","Kapandı",IF('Vade Sapması'!$D$3&gt;G311,"Açık · vadesi geçti","Açık · vadesi gelmedi")))</f>
        <v/>
      </c>
      <c r="O311" s="30" t="str">
        <f aca="false">IF(F311="","",IF(AND(H311="",'Vade Sapması'!$D$3&gt;G311),'Vade Sapması'!$D$3-G311,0))</f>
        <v/>
      </c>
      <c r="P311" s="33" t="str">
        <f aca="false">IF(F311="","",F311*J311)</f>
        <v/>
      </c>
      <c r="Q311" s="33" t="str">
        <f aca="false">IF(F311="","",F311*L311)</f>
        <v/>
      </c>
      <c r="R311" s="33" t="str">
        <f aca="false">IF(F311="","",IF(H311="",F311,0))</f>
        <v/>
      </c>
      <c r="S311" s="32" t="str">
        <f aca="false">IF(F311="","",IF(N(O311)=0,"",IF(O311&lt;=30,"1-30",IF(O311&lt;=60,"31-60",IF(O311&lt;=90,"61-90","90+")))))</f>
        <v/>
      </c>
      <c r="T311" s="32" t="str">
        <f aca="false">IF(F311="","",IF(E311="","Diğer",E311))</f>
        <v/>
      </c>
      <c r="U311" s="32" t="str">
        <f aca="false">IF(OR(F311="",C311=""),"",IF(COUNTIF($C$2:C311,C311)=1,MAX($U$1:U310)+1,""))</f>
        <v/>
      </c>
    </row>
    <row r="312" customFormat="false" ht="15" hidden="false" customHeight="false" outlineLevel="0" collapsed="false">
      <c r="A312" s="34"/>
      <c r="B312" s="9"/>
      <c r="C312" s="34"/>
      <c r="D312" s="34"/>
      <c r="E312" s="34"/>
      <c r="F312" s="35"/>
      <c r="G312" s="9"/>
      <c r="H312" s="9"/>
      <c r="I312" s="34"/>
      <c r="J312" s="30" t="str">
        <f aca="false">IF(F312="","",G312-B312)</f>
        <v/>
      </c>
      <c r="K312" s="31" t="str">
        <f aca="false">IF(F312="","",IF(H312&lt;&gt;"",H312,MAX('Vade Sapması'!$D$3,G312)))</f>
        <v/>
      </c>
      <c r="L312" s="30" t="str">
        <f aca="false">IF(F312="","",K312-B312)</f>
        <v/>
      </c>
      <c r="M312" s="30" t="str">
        <f aca="false">IF(F312="","",L312-J312)</f>
        <v/>
      </c>
      <c r="N312" s="32" t="str">
        <f aca="false">IF(F312="","",IF(H312&lt;&gt;"","Kapandı",IF('Vade Sapması'!$D$3&gt;G312,"Açık · vadesi geçti","Açık · vadesi gelmedi")))</f>
        <v/>
      </c>
      <c r="O312" s="30" t="str">
        <f aca="false">IF(F312="","",IF(AND(H312="",'Vade Sapması'!$D$3&gt;G312),'Vade Sapması'!$D$3-G312,0))</f>
        <v/>
      </c>
      <c r="P312" s="33" t="str">
        <f aca="false">IF(F312="","",F312*J312)</f>
        <v/>
      </c>
      <c r="Q312" s="33" t="str">
        <f aca="false">IF(F312="","",F312*L312)</f>
        <v/>
      </c>
      <c r="R312" s="33" t="str">
        <f aca="false">IF(F312="","",IF(H312="",F312,0))</f>
        <v/>
      </c>
      <c r="S312" s="32" t="str">
        <f aca="false">IF(F312="","",IF(N(O312)=0,"",IF(O312&lt;=30,"1-30",IF(O312&lt;=60,"31-60",IF(O312&lt;=90,"61-90","90+")))))</f>
        <v/>
      </c>
      <c r="T312" s="32" t="str">
        <f aca="false">IF(F312="","",IF(E312="","Diğer",E312))</f>
        <v/>
      </c>
      <c r="U312" s="32" t="str">
        <f aca="false">IF(OR(F312="",C312=""),"",IF(COUNTIF($C$2:C312,C312)=1,MAX($U$1:U311)+1,""))</f>
        <v/>
      </c>
    </row>
    <row r="313" customFormat="false" ht="15" hidden="false" customHeight="false" outlineLevel="0" collapsed="false">
      <c r="A313" s="34"/>
      <c r="B313" s="9"/>
      <c r="C313" s="34"/>
      <c r="D313" s="34"/>
      <c r="E313" s="34"/>
      <c r="F313" s="35"/>
      <c r="G313" s="9"/>
      <c r="H313" s="9"/>
      <c r="I313" s="34"/>
      <c r="J313" s="30" t="str">
        <f aca="false">IF(F313="","",G313-B313)</f>
        <v/>
      </c>
      <c r="K313" s="31" t="str">
        <f aca="false">IF(F313="","",IF(H313&lt;&gt;"",H313,MAX('Vade Sapması'!$D$3,G313)))</f>
        <v/>
      </c>
      <c r="L313" s="30" t="str">
        <f aca="false">IF(F313="","",K313-B313)</f>
        <v/>
      </c>
      <c r="M313" s="30" t="str">
        <f aca="false">IF(F313="","",L313-J313)</f>
        <v/>
      </c>
      <c r="N313" s="32" t="str">
        <f aca="false">IF(F313="","",IF(H313&lt;&gt;"","Kapandı",IF('Vade Sapması'!$D$3&gt;G313,"Açık · vadesi geçti","Açık · vadesi gelmedi")))</f>
        <v/>
      </c>
      <c r="O313" s="30" t="str">
        <f aca="false">IF(F313="","",IF(AND(H313="",'Vade Sapması'!$D$3&gt;G313),'Vade Sapması'!$D$3-G313,0))</f>
        <v/>
      </c>
      <c r="P313" s="33" t="str">
        <f aca="false">IF(F313="","",F313*J313)</f>
        <v/>
      </c>
      <c r="Q313" s="33" t="str">
        <f aca="false">IF(F313="","",F313*L313)</f>
        <v/>
      </c>
      <c r="R313" s="33" t="str">
        <f aca="false">IF(F313="","",IF(H313="",F313,0))</f>
        <v/>
      </c>
      <c r="S313" s="32" t="str">
        <f aca="false">IF(F313="","",IF(N(O313)=0,"",IF(O313&lt;=30,"1-30",IF(O313&lt;=60,"31-60",IF(O313&lt;=90,"61-90","90+")))))</f>
        <v/>
      </c>
      <c r="T313" s="32" t="str">
        <f aca="false">IF(F313="","",IF(E313="","Diğer",E313))</f>
        <v/>
      </c>
      <c r="U313" s="32" t="str">
        <f aca="false">IF(OR(F313="",C313=""),"",IF(COUNTIF($C$2:C313,C313)=1,MAX($U$1:U312)+1,""))</f>
        <v/>
      </c>
    </row>
    <row r="314" customFormat="false" ht="15" hidden="false" customHeight="false" outlineLevel="0" collapsed="false">
      <c r="A314" s="34"/>
      <c r="B314" s="9"/>
      <c r="C314" s="34"/>
      <c r="D314" s="34"/>
      <c r="E314" s="34"/>
      <c r="F314" s="35"/>
      <c r="G314" s="9"/>
      <c r="H314" s="9"/>
      <c r="I314" s="34"/>
      <c r="J314" s="30" t="str">
        <f aca="false">IF(F314="","",G314-B314)</f>
        <v/>
      </c>
      <c r="K314" s="31" t="str">
        <f aca="false">IF(F314="","",IF(H314&lt;&gt;"",H314,MAX('Vade Sapması'!$D$3,G314)))</f>
        <v/>
      </c>
      <c r="L314" s="30" t="str">
        <f aca="false">IF(F314="","",K314-B314)</f>
        <v/>
      </c>
      <c r="M314" s="30" t="str">
        <f aca="false">IF(F314="","",L314-J314)</f>
        <v/>
      </c>
      <c r="N314" s="32" t="str">
        <f aca="false">IF(F314="","",IF(H314&lt;&gt;"","Kapandı",IF('Vade Sapması'!$D$3&gt;G314,"Açık · vadesi geçti","Açık · vadesi gelmedi")))</f>
        <v/>
      </c>
      <c r="O314" s="30" t="str">
        <f aca="false">IF(F314="","",IF(AND(H314="",'Vade Sapması'!$D$3&gt;G314),'Vade Sapması'!$D$3-G314,0))</f>
        <v/>
      </c>
      <c r="P314" s="33" t="str">
        <f aca="false">IF(F314="","",F314*J314)</f>
        <v/>
      </c>
      <c r="Q314" s="33" t="str">
        <f aca="false">IF(F314="","",F314*L314)</f>
        <v/>
      </c>
      <c r="R314" s="33" t="str">
        <f aca="false">IF(F314="","",IF(H314="",F314,0))</f>
        <v/>
      </c>
      <c r="S314" s="32" t="str">
        <f aca="false">IF(F314="","",IF(N(O314)=0,"",IF(O314&lt;=30,"1-30",IF(O314&lt;=60,"31-60",IF(O314&lt;=90,"61-90","90+")))))</f>
        <v/>
      </c>
      <c r="T314" s="32" t="str">
        <f aca="false">IF(F314="","",IF(E314="","Diğer",E314))</f>
        <v/>
      </c>
      <c r="U314" s="32" t="str">
        <f aca="false">IF(OR(F314="",C314=""),"",IF(COUNTIF($C$2:C314,C314)=1,MAX($U$1:U313)+1,""))</f>
        <v/>
      </c>
    </row>
    <row r="315" customFormat="false" ht="15" hidden="false" customHeight="false" outlineLevel="0" collapsed="false">
      <c r="A315" s="34"/>
      <c r="B315" s="9"/>
      <c r="C315" s="34"/>
      <c r="D315" s="34"/>
      <c r="E315" s="34"/>
      <c r="F315" s="35"/>
      <c r="G315" s="9"/>
      <c r="H315" s="9"/>
      <c r="I315" s="34"/>
      <c r="J315" s="30" t="str">
        <f aca="false">IF(F315="","",G315-B315)</f>
        <v/>
      </c>
      <c r="K315" s="31" t="str">
        <f aca="false">IF(F315="","",IF(H315&lt;&gt;"",H315,MAX('Vade Sapması'!$D$3,G315)))</f>
        <v/>
      </c>
      <c r="L315" s="30" t="str">
        <f aca="false">IF(F315="","",K315-B315)</f>
        <v/>
      </c>
      <c r="M315" s="30" t="str">
        <f aca="false">IF(F315="","",L315-J315)</f>
        <v/>
      </c>
      <c r="N315" s="32" t="str">
        <f aca="false">IF(F315="","",IF(H315&lt;&gt;"","Kapandı",IF('Vade Sapması'!$D$3&gt;G315,"Açık · vadesi geçti","Açık · vadesi gelmedi")))</f>
        <v/>
      </c>
      <c r="O315" s="30" t="str">
        <f aca="false">IF(F315="","",IF(AND(H315="",'Vade Sapması'!$D$3&gt;G315),'Vade Sapması'!$D$3-G315,0))</f>
        <v/>
      </c>
      <c r="P315" s="33" t="str">
        <f aca="false">IF(F315="","",F315*J315)</f>
        <v/>
      </c>
      <c r="Q315" s="33" t="str">
        <f aca="false">IF(F315="","",F315*L315)</f>
        <v/>
      </c>
      <c r="R315" s="33" t="str">
        <f aca="false">IF(F315="","",IF(H315="",F315,0))</f>
        <v/>
      </c>
      <c r="S315" s="32" t="str">
        <f aca="false">IF(F315="","",IF(N(O315)=0,"",IF(O315&lt;=30,"1-30",IF(O315&lt;=60,"31-60",IF(O315&lt;=90,"61-90","90+")))))</f>
        <v/>
      </c>
      <c r="T315" s="32" t="str">
        <f aca="false">IF(F315="","",IF(E315="","Diğer",E315))</f>
        <v/>
      </c>
      <c r="U315" s="32" t="str">
        <f aca="false">IF(OR(F315="",C315=""),"",IF(COUNTIF($C$2:C315,C315)=1,MAX($U$1:U314)+1,""))</f>
        <v/>
      </c>
    </row>
    <row r="316" customFormat="false" ht="15" hidden="false" customHeight="false" outlineLevel="0" collapsed="false">
      <c r="A316" s="34"/>
      <c r="B316" s="9"/>
      <c r="C316" s="34"/>
      <c r="D316" s="34"/>
      <c r="E316" s="34"/>
      <c r="F316" s="35"/>
      <c r="G316" s="9"/>
      <c r="H316" s="9"/>
      <c r="I316" s="34"/>
      <c r="J316" s="30" t="str">
        <f aca="false">IF(F316="","",G316-B316)</f>
        <v/>
      </c>
      <c r="K316" s="31" t="str">
        <f aca="false">IF(F316="","",IF(H316&lt;&gt;"",H316,MAX('Vade Sapması'!$D$3,G316)))</f>
        <v/>
      </c>
      <c r="L316" s="30" t="str">
        <f aca="false">IF(F316="","",K316-B316)</f>
        <v/>
      </c>
      <c r="M316" s="30" t="str">
        <f aca="false">IF(F316="","",L316-J316)</f>
        <v/>
      </c>
      <c r="N316" s="32" t="str">
        <f aca="false">IF(F316="","",IF(H316&lt;&gt;"","Kapandı",IF('Vade Sapması'!$D$3&gt;G316,"Açık · vadesi geçti","Açık · vadesi gelmedi")))</f>
        <v/>
      </c>
      <c r="O316" s="30" t="str">
        <f aca="false">IF(F316="","",IF(AND(H316="",'Vade Sapması'!$D$3&gt;G316),'Vade Sapması'!$D$3-G316,0))</f>
        <v/>
      </c>
      <c r="P316" s="33" t="str">
        <f aca="false">IF(F316="","",F316*J316)</f>
        <v/>
      </c>
      <c r="Q316" s="33" t="str">
        <f aca="false">IF(F316="","",F316*L316)</f>
        <v/>
      </c>
      <c r="R316" s="33" t="str">
        <f aca="false">IF(F316="","",IF(H316="",F316,0))</f>
        <v/>
      </c>
      <c r="S316" s="32" t="str">
        <f aca="false">IF(F316="","",IF(N(O316)=0,"",IF(O316&lt;=30,"1-30",IF(O316&lt;=60,"31-60",IF(O316&lt;=90,"61-90","90+")))))</f>
        <v/>
      </c>
      <c r="T316" s="32" t="str">
        <f aca="false">IF(F316="","",IF(E316="","Diğer",E316))</f>
        <v/>
      </c>
      <c r="U316" s="32" t="str">
        <f aca="false">IF(OR(F316="",C316=""),"",IF(COUNTIF($C$2:C316,C316)=1,MAX($U$1:U315)+1,""))</f>
        <v/>
      </c>
    </row>
    <row r="317" customFormat="false" ht="15" hidden="false" customHeight="false" outlineLevel="0" collapsed="false">
      <c r="A317" s="34"/>
      <c r="B317" s="9"/>
      <c r="C317" s="34"/>
      <c r="D317" s="34"/>
      <c r="E317" s="34"/>
      <c r="F317" s="35"/>
      <c r="G317" s="9"/>
      <c r="H317" s="9"/>
      <c r="I317" s="34"/>
      <c r="J317" s="30" t="str">
        <f aca="false">IF(F317="","",G317-B317)</f>
        <v/>
      </c>
      <c r="K317" s="31" t="str">
        <f aca="false">IF(F317="","",IF(H317&lt;&gt;"",H317,MAX('Vade Sapması'!$D$3,G317)))</f>
        <v/>
      </c>
      <c r="L317" s="30" t="str">
        <f aca="false">IF(F317="","",K317-B317)</f>
        <v/>
      </c>
      <c r="M317" s="30" t="str">
        <f aca="false">IF(F317="","",L317-J317)</f>
        <v/>
      </c>
      <c r="N317" s="32" t="str">
        <f aca="false">IF(F317="","",IF(H317&lt;&gt;"","Kapandı",IF('Vade Sapması'!$D$3&gt;G317,"Açık · vadesi geçti","Açık · vadesi gelmedi")))</f>
        <v/>
      </c>
      <c r="O317" s="30" t="str">
        <f aca="false">IF(F317="","",IF(AND(H317="",'Vade Sapması'!$D$3&gt;G317),'Vade Sapması'!$D$3-G317,0))</f>
        <v/>
      </c>
      <c r="P317" s="33" t="str">
        <f aca="false">IF(F317="","",F317*J317)</f>
        <v/>
      </c>
      <c r="Q317" s="33" t="str">
        <f aca="false">IF(F317="","",F317*L317)</f>
        <v/>
      </c>
      <c r="R317" s="33" t="str">
        <f aca="false">IF(F317="","",IF(H317="",F317,0))</f>
        <v/>
      </c>
      <c r="S317" s="32" t="str">
        <f aca="false">IF(F317="","",IF(N(O317)=0,"",IF(O317&lt;=30,"1-30",IF(O317&lt;=60,"31-60",IF(O317&lt;=90,"61-90","90+")))))</f>
        <v/>
      </c>
      <c r="T317" s="32" t="str">
        <f aca="false">IF(F317="","",IF(E317="","Diğer",E317))</f>
        <v/>
      </c>
      <c r="U317" s="32" t="str">
        <f aca="false">IF(OR(F317="",C317=""),"",IF(COUNTIF($C$2:C317,C317)=1,MAX($U$1:U316)+1,""))</f>
        <v/>
      </c>
    </row>
    <row r="318" customFormat="false" ht="15" hidden="false" customHeight="false" outlineLevel="0" collapsed="false">
      <c r="A318" s="34"/>
      <c r="B318" s="9"/>
      <c r="C318" s="34"/>
      <c r="D318" s="34"/>
      <c r="E318" s="34"/>
      <c r="F318" s="35"/>
      <c r="G318" s="9"/>
      <c r="H318" s="9"/>
      <c r="I318" s="34"/>
      <c r="J318" s="30" t="str">
        <f aca="false">IF(F318="","",G318-B318)</f>
        <v/>
      </c>
      <c r="K318" s="31" t="str">
        <f aca="false">IF(F318="","",IF(H318&lt;&gt;"",H318,MAX('Vade Sapması'!$D$3,G318)))</f>
        <v/>
      </c>
      <c r="L318" s="30" t="str">
        <f aca="false">IF(F318="","",K318-B318)</f>
        <v/>
      </c>
      <c r="M318" s="30" t="str">
        <f aca="false">IF(F318="","",L318-J318)</f>
        <v/>
      </c>
      <c r="N318" s="32" t="str">
        <f aca="false">IF(F318="","",IF(H318&lt;&gt;"","Kapandı",IF('Vade Sapması'!$D$3&gt;G318,"Açık · vadesi geçti","Açık · vadesi gelmedi")))</f>
        <v/>
      </c>
      <c r="O318" s="30" t="str">
        <f aca="false">IF(F318="","",IF(AND(H318="",'Vade Sapması'!$D$3&gt;G318),'Vade Sapması'!$D$3-G318,0))</f>
        <v/>
      </c>
      <c r="P318" s="33" t="str">
        <f aca="false">IF(F318="","",F318*J318)</f>
        <v/>
      </c>
      <c r="Q318" s="33" t="str">
        <f aca="false">IF(F318="","",F318*L318)</f>
        <v/>
      </c>
      <c r="R318" s="33" t="str">
        <f aca="false">IF(F318="","",IF(H318="",F318,0))</f>
        <v/>
      </c>
      <c r="S318" s="32" t="str">
        <f aca="false">IF(F318="","",IF(N(O318)=0,"",IF(O318&lt;=30,"1-30",IF(O318&lt;=60,"31-60",IF(O318&lt;=90,"61-90","90+")))))</f>
        <v/>
      </c>
      <c r="T318" s="32" t="str">
        <f aca="false">IF(F318="","",IF(E318="","Diğer",E318))</f>
        <v/>
      </c>
      <c r="U318" s="32" t="str">
        <f aca="false">IF(OR(F318="",C318=""),"",IF(COUNTIF($C$2:C318,C318)=1,MAX($U$1:U317)+1,""))</f>
        <v/>
      </c>
    </row>
    <row r="319" customFormat="false" ht="15" hidden="false" customHeight="false" outlineLevel="0" collapsed="false">
      <c r="A319" s="34"/>
      <c r="B319" s="9"/>
      <c r="C319" s="34"/>
      <c r="D319" s="34"/>
      <c r="E319" s="34"/>
      <c r="F319" s="35"/>
      <c r="G319" s="9"/>
      <c r="H319" s="9"/>
      <c r="I319" s="34"/>
      <c r="J319" s="30" t="str">
        <f aca="false">IF(F319="","",G319-B319)</f>
        <v/>
      </c>
      <c r="K319" s="31" t="str">
        <f aca="false">IF(F319="","",IF(H319&lt;&gt;"",H319,MAX('Vade Sapması'!$D$3,G319)))</f>
        <v/>
      </c>
      <c r="L319" s="30" t="str">
        <f aca="false">IF(F319="","",K319-B319)</f>
        <v/>
      </c>
      <c r="M319" s="30" t="str">
        <f aca="false">IF(F319="","",L319-J319)</f>
        <v/>
      </c>
      <c r="N319" s="32" t="str">
        <f aca="false">IF(F319="","",IF(H319&lt;&gt;"","Kapandı",IF('Vade Sapması'!$D$3&gt;G319,"Açık · vadesi geçti","Açık · vadesi gelmedi")))</f>
        <v/>
      </c>
      <c r="O319" s="30" t="str">
        <f aca="false">IF(F319="","",IF(AND(H319="",'Vade Sapması'!$D$3&gt;G319),'Vade Sapması'!$D$3-G319,0))</f>
        <v/>
      </c>
      <c r="P319" s="33" t="str">
        <f aca="false">IF(F319="","",F319*J319)</f>
        <v/>
      </c>
      <c r="Q319" s="33" t="str">
        <f aca="false">IF(F319="","",F319*L319)</f>
        <v/>
      </c>
      <c r="R319" s="33" t="str">
        <f aca="false">IF(F319="","",IF(H319="",F319,0))</f>
        <v/>
      </c>
      <c r="S319" s="32" t="str">
        <f aca="false">IF(F319="","",IF(N(O319)=0,"",IF(O319&lt;=30,"1-30",IF(O319&lt;=60,"31-60",IF(O319&lt;=90,"61-90","90+")))))</f>
        <v/>
      </c>
      <c r="T319" s="32" t="str">
        <f aca="false">IF(F319="","",IF(E319="","Diğer",E319))</f>
        <v/>
      </c>
      <c r="U319" s="32" t="str">
        <f aca="false">IF(OR(F319="",C319=""),"",IF(COUNTIF($C$2:C319,C319)=1,MAX($U$1:U318)+1,""))</f>
        <v/>
      </c>
    </row>
    <row r="320" customFormat="false" ht="15" hidden="false" customHeight="false" outlineLevel="0" collapsed="false">
      <c r="A320" s="34"/>
      <c r="B320" s="9"/>
      <c r="C320" s="34"/>
      <c r="D320" s="34"/>
      <c r="E320" s="34"/>
      <c r="F320" s="35"/>
      <c r="G320" s="9"/>
      <c r="H320" s="9"/>
      <c r="I320" s="34"/>
      <c r="J320" s="30" t="str">
        <f aca="false">IF(F320="","",G320-B320)</f>
        <v/>
      </c>
      <c r="K320" s="31" t="str">
        <f aca="false">IF(F320="","",IF(H320&lt;&gt;"",H320,MAX('Vade Sapması'!$D$3,G320)))</f>
        <v/>
      </c>
      <c r="L320" s="30" t="str">
        <f aca="false">IF(F320="","",K320-B320)</f>
        <v/>
      </c>
      <c r="M320" s="30" t="str">
        <f aca="false">IF(F320="","",L320-J320)</f>
        <v/>
      </c>
      <c r="N320" s="32" t="str">
        <f aca="false">IF(F320="","",IF(H320&lt;&gt;"","Kapandı",IF('Vade Sapması'!$D$3&gt;G320,"Açık · vadesi geçti","Açık · vadesi gelmedi")))</f>
        <v/>
      </c>
      <c r="O320" s="30" t="str">
        <f aca="false">IF(F320="","",IF(AND(H320="",'Vade Sapması'!$D$3&gt;G320),'Vade Sapması'!$D$3-G320,0))</f>
        <v/>
      </c>
      <c r="P320" s="33" t="str">
        <f aca="false">IF(F320="","",F320*J320)</f>
        <v/>
      </c>
      <c r="Q320" s="33" t="str">
        <f aca="false">IF(F320="","",F320*L320)</f>
        <v/>
      </c>
      <c r="R320" s="33" t="str">
        <f aca="false">IF(F320="","",IF(H320="",F320,0))</f>
        <v/>
      </c>
      <c r="S320" s="32" t="str">
        <f aca="false">IF(F320="","",IF(N(O320)=0,"",IF(O320&lt;=30,"1-30",IF(O320&lt;=60,"31-60",IF(O320&lt;=90,"61-90","90+")))))</f>
        <v/>
      </c>
      <c r="T320" s="32" t="str">
        <f aca="false">IF(F320="","",IF(E320="","Diğer",E320))</f>
        <v/>
      </c>
      <c r="U320" s="32" t="str">
        <f aca="false">IF(OR(F320="",C320=""),"",IF(COUNTIF($C$2:C320,C320)=1,MAX($U$1:U319)+1,""))</f>
        <v/>
      </c>
    </row>
    <row r="321" customFormat="false" ht="15" hidden="false" customHeight="false" outlineLevel="0" collapsed="false">
      <c r="A321" s="34"/>
      <c r="B321" s="9"/>
      <c r="C321" s="34"/>
      <c r="D321" s="34"/>
      <c r="E321" s="34"/>
      <c r="F321" s="35"/>
      <c r="G321" s="9"/>
      <c r="H321" s="9"/>
      <c r="I321" s="34"/>
      <c r="J321" s="30" t="str">
        <f aca="false">IF(F321="","",G321-B321)</f>
        <v/>
      </c>
      <c r="K321" s="31" t="str">
        <f aca="false">IF(F321="","",IF(H321&lt;&gt;"",H321,MAX('Vade Sapması'!$D$3,G321)))</f>
        <v/>
      </c>
      <c r="L321" s="30" t="str">
        <f aca="false">IF(F321="","",K321-B321)</f>
        <v/>
      </c>
      <c r="M321" s="30" t="str">
        <f aca="false">IF(F321="","",L321-J321)</f>
        <v/>
      </c>
      <c r="N321" s="32" t="str">
        <f aca="false">IF(F321="","",IF(H321&lt;&gt;"","Kapandı",IF('Vade Sapması'!$D$3&gt;G321,"Açık · vadesi geçti","Açık · vadesi gelmedi")))</f>
        <v/>
      </c>
      <c r="O321" s="30" t="str">
        <f aca="false">IF(F321="","",IF(AND(H321="",'Vade Sapması'!$D$3&gt;G321),'Vade Sapması'!$D$3-G321,0))</f>
        <v/>
      </c>
      <c r="P321" s="33" t="str">
        <f aca="false">IF(F321="","",F321*J321)</f>
        <v/>
      </c>
      <c r="Q321" s="33" t="str">
        <f aca="false">IF(F321="","",F321*L321)</f>
        <v/>
      </c>
      <c r="R321" s="33" t="str">
        <f aca="false">IF(F321="","",IF(H321="",F321,0))</f>
        <v/>
      </c>
      <c r="S321" s="32" t="str">
        <f aca="false">IF(F321="","",IF(N(O321)=0,"",IF(O321&lt;=30,"1-30",IF(O321&lt;=60,"31-60",IF(O321&lt;=90,"61-90","90+")))))</f>
        <v/>
      </c>
      <c r="T321" s="32" t="str">
        <f aca="false">IF(F321="","",IF(E321="","Diğer",E321))</f>
        <v/>
      </c>
      <c r="U321" s="32" t="str">
        <f aca="false">IF(OR(F321="",C321=""),"",IF(COUNTIF($C$2:C321,C321)=1,MAX($U$1:U320)+1,""))</f>
        <v/>
      </c>
    </row>
    <row r="322" customFormat="false" ht="15" hidden="false" customHeight="false" outlineLevel="0" collapsed="false">
      <c r="A322" s="34"/>
      <c r="B322" s="9"/>
      <c r="C322" s="34"/>
      <c r="D322" s="34"/>
      <c r="E322" s="34"/>
      <c r="F322" s="35"/>
      <c r="G322" s="9"/>
      <c r="H322" s="9"/>
      <c r="I322" s="34"/>
      <c r="J322" s="30" t="str">
        <f aca="false">IF(F322="","",G322-B322)</f>
        <v/>
      </c>
      <c r="K322" s="31" t="str">
        <f aca="false">IF(F322="","",IF(H322&lt;&gt;"",H322,MAX('Vade Sapması'!$D$3,G322)))</f>
        <v/>
      </c>
      <c r="L322" s="30" t="str">
        <f aca="false">IF(F322="","",K322-B322)</f>
        <v/>
      </c>
      <c r="M322" s="30" t="str">
        <f aca="false">IF(F322="","",L322-J322)</f>
        <v/>
      </c>
      <c r="N322" s="32" t="str">
        <f aca="false">IF(F322="","",IF(H322&lt;&gt;"","Kapandı",IF('Vade Sapması'!$D$3&gt;G322,"Açık · vadesi geçti","Açık · vadesi gelmedi")))</f>
        <v/>
      </c>
      <c r="O322" s="30" t="str">
        <f aca="false">IF(F322="","",IF(AND(H322="",'Vade Sapması'!$D$3&gt;G322),'Vade Sapması'!$D$3-G322,0))</f>
        <v/>
      </c>
      <c r="P322" s="33" t="str">
        <f aca="false">IF(F322="","",F322*J322)</f>
        <v/>
      </c>
      <c r="Q322" s="33" t="str">
        <f aca="false">IF(F322="","",F322*L322)</f>
        <v/>
      </c>
      <c r="R322" s="33" t="str">
        <f aca="false">IF(F322="","",IF(H322="",F322,0))</f>
        <v/>
      </c>
      <c r="S322" s="32" t="str">
        <f aca="false">IF(F322="","",IF(N(O322)=0,"",IF(O322&lt;=30,"1-30",IF(O322&lt;=60,"31-60",IF(O322&lt;=90,"61-90","90+")))))</f>
        <v/>
      </c>
      <c r="T322" s="32" t="str">
        <f aca="false">IF(F322="","",IF(E322="","Diğer",E322))</f>
        <v/>
      </c>
      <c r="U322" s="32" t="str">
        <f aca="false">IF(OR(F322="",C322=""),"",IF(COUNTIF($C$2:C322,C322)=1,MAX($U$1:U321)+1,""))</f>
        <v/>
      </c>
    </row>
    <row r="323" customFormat="false" ht="15" hidden="false" customHeight="false" outlineLevel="0" collapsed="false">
      <c r="A323" s="34"/>
      <c r="B323" s="9"/>
      <c r="C323" s="34"/>
      <c r="D323" s="34"/>
      <c r="E323" s="34"/>
      <c r="F323" s="35"/>
      <c r="G323" s="9"/>
      <c r="H323" s="9"/>
      <c r="I323" s="34"/>
      <c r="J323" s="30" t="str">
        <f aca="false">IF(F323="","",G323-B323)</f>
        <v/>
      </c>
      <c r="K323" s="31" t="str">
        <f aca="false">IF(F323="","",IF(H323&lt;&gt;"",H323,MAX('Vade Sapması'!$D$3,G323)))</f>
        <v/>
      </c>
      <c r="L323" s="30" t="str">
        <f aca="false">IF(F323="","",K323-B323)</f>
        <v/>
      </c>
      <c r="M323" s="30" t="str">
        <f aca="false">IF(F323="","",L323-J323)</f>
        <v/>
      </c>
      <c r="N323" s="32" t="str">
        <f aca="false">IF(F323="","",IF(H323&lt;&gt;"","Kapandı",IF('Vade Sapması'!$D$3&gt;G323,"Açık · vadesi geçti","Açık · vadesi gelmedi")))</f>
        <v/>
      </c>
      <c r="O323" s="30" t="str">
        <f aca="false">IF(F323="","",IF(AND(H323="",'Vade Sapması'!$D$3&gt;G323),'Vade Sapması'!$D$3-G323,0))</f>
        <v/>
      </c>
      <c r="P323" s="33" t="str">
        <f aca="false">IF(F323="","",F323*J323)</f>
        <v/>
      </c>
      <c r="Q323" s="33" t="str">
        <f aca="false">IF(F323="","",F323*L323)</f>
        <v/>
      </c>
      <c r="R323" s="33" t="str">
        <f aca="false">IF(F323="","",IF(H323="",F323,0))</f>
        <v/>
      </c>
      <c r="S323" s="32" t="str">
        <f aca="false">IF(F323="","",IF(N(O323)=0,"",IF(O323&lt;=30,"1-30",IF(O323&lt;=60,"31-60",IF(O323&lt;=90,"61-90","90+")))))</f>
        <v/>
      </c>
      <c r="T323" s="32" t="str">
        <f aca="false">IF(F323="","",IF(E323="","Diğer",E323))</f>
        <v/>
      </c>
      <c r="U323" s="32" t="str">
        <f aca="false">IF(OR(F323="",C323=""),"",IF(COUNTIF($C$2:C323,C323)=1,MAX($U$1:U322)+1,""))</f>
        <v/>
      </c>
    </row>
    <row r="324" customFormat="false" ht="15" hidden="false" customHeight="false" outlineLevel="0" collapsed="false">
      <c r="A324" s="34"/>
      <c r="B324" s="9"/>
      <c r="C324" s="34"/>
      <c r="D324" s="34"/>
      <c r="E324" s="34"/>
      <c r="F324" s="35"/>
      <c r="G324" s="9"/>
      <c r="H324" s="9"/>
      <c r="I324" s="34"/>
      <c r="J324" s="30" t="str">
        <f aca="false">IF(F324="","",G324-B324)</f>
        <v/>
      </c>
      <c r="K324" s="31" t="str">
        <f aca="false">IF(F324="","",IF(H324&lt;&gt;"",H324,MAX('Vade Sapması'!$D$3,G324)))</f>
        <v/>
      </c>
      <c r="L324" s="30" t="str">
        <f aca="false">IF(F324="","",K324-B324)</f>
        <v/>
      </c>
      <c r="M324" s="30" t="str">
        <f aca="false">IF(F324="","",L324-J324)</f>
        <v/>
      </c>
      <c r="N324" s="32" t="str">
        <f aca="false">IF(F324="","",IF(H324&lt;&gt;"","Kapandı",IF('Vade Sapması'!$D$3&gt;G324,"Açık · vadesi geçti","Açık · vadesi gelmedi")))</f>
        <v/>
      </c>
      <c r="O324" s="30" t="str">
        <f aca="false">IF(F324="","",IF(AND(H324="",'Vade Sapması'!$D$3&gt;G324),'Vade Sapması'!$D$3-G324,0))</f>
        <v/>
      </c>
      <c r="P324" s="33" t="str">
        <f aca="false">IF(F324="","",F324*J324)</f>
        <v/>
      </c>
      <c r="Q324" s="33" t="str">
        <f aca="false">IF(F324="","",F324*L324)</f>
        <v/>
      </c>
      <c r="R324" s="33" t="str">
        <f aca="false">IF(F324="","",IF(H324="",F324,0))</f>
        <v/>
      </c>
      <c r="S324" s="32" t="str">
        <f aca="false">IF(F324="","",IF(N(O324)=0,"",IF(O324&lt;=30,"1-30",IF(O324&lt;=60,"31-60",IF(O324&lt;=90,"61-90","90+")))))</f>
        <v/>
      </c>
      <c r="T324" s="32" t="str">
        <f aca="false">IF(F324="","",IF(E324="","Diğer",E324))</f>
        <v/>
      </c>
      <c r="U324" s="32" t="str">
        <f aca="false">IF(OR(F324="",C324=""),"",IF(COUNTIF($C$2:C324,C324)=1,MAX($U$1:U323)+1,""))</f>
        <v/>
      </c>
    </row>
    <row r="325" customFormat="false" ht="15" hidden="false" customHeight="false" outlineLevel="0" collapsed="false">
      <c r="A325" s="34"/>
      <c r="B325" s="9"/>
      <c r="C325" s="34"/>
      <c r="D325" s="34"/>
      <c r="E325" s="34"/>
      <c r="F325" s="35"/>
      <c r="G325" s="9"/>
      <c r="H325" s="9"/>
      <c r="I325" s="34"/>
      <c r="J325" s="30" t="str">
        <f aca="false">IF(F325="","",G325-B325)</f>
        <v/>
      </c>
      <c r="K325" s="31" t="str">
        <f aca="false">IF(F325="","",IF(H325&lt;&gt;"",H325,MAX('Vade Sapması'!$D$3,G325)))</f>
        <v/>
      </c>
      <c r="L325" s="30" t="str">
        <f aca="false">IF(F325="","",K325-B325)</f>
        <v/>
      </c>
      <c r="M325" s="30" t="str">
        <f aca="false">IF(F325="","",L325-J325)</f>
        <v/>
      </c>
      <c r="N325" s="32" t="str">
        <f aca="false">IF(F325="","",IF(H325&lt;&gt;"","Kapandı",IF('Vade Sapması'!$D$3&gt;G325,"Açık · vadesi geçti","Açık · vadesi gelmedi")))</f>
        <v/>
      </c>
      <c r="O325" s="30" t="str">
        <f aca="false">IF(F325="","",IF(AND(H325="",'Vade Sapması'!$D$3&gt;G325),'Vade Sapması'!$D$3-G325,0))</f>
        <v/>
      </c>
      <c r="P325" s="33" t="str">
        <f aca="false">IF(F325="","",F325*J325)</f>
        <v/>
      </c>
      <c r="Q325" s="33" t="str">
        <f aca="false">IF(F325="","",F325*L325)</f>
        <v/>
      </c>
      <c r="R325" s="33" t="str">
        <f aca="false">IF(F325="","",IF(H325="",F325,0))</f>
        <v/>
      </c>
      <c r="S325" s="32" t="str">
        <f aca="false">IF(F325="","",IF(N(O325)=0,"",IF(O325&lt;=30,"1-30",IF(O325&lt;=60,"31-60",IF(O325&lt;=90,"61-90","90+")))))</f>
        <v/>
      </c>
      <c r="T325" s="32" t="str">
        <f aca="false">IF(F325="","",IF(E325="","Diğer",E325))</f>
        <v/>
      </c>
      <c r="U325" s="32" t="str">
        <f aca="false">IF(OR(F325="",C325=""),"",IF(COUNTIF($C$2:C325,C325)=1,MAX($U$1:U324)+1,""))</f>
        <v/>
      </c>
    </row>
    <row r="326" customFormat="false" ht="15" hidden="false" customHeight="false" outlineLevel="0" collapsed="false">
      <c r="A326" s="34"/>
      <c r="B326" s="9"/>
      <c r="C326" s="34"/>
      <c r="D326" s="34"/>
      <c r="E326" s="34"/>
      <c r="F326" s="35"/>
      <c r="G326" s="9"/>
      <c r="H326" s="9"/>
      <c r="I326" s="34"/>
      <c r="J326" s="30" t="str">
        <f aca="false">IF(F326="","",G326-B326)</f>
        <v/>
      </c>
      <c r="K326" s="31" t="str">
        <f aca="false">IF(F326="","",IF(H326&lt;&gt;"",H326,MAX('Vade Sapması'!$D$3,G326)))</f>
        <v/>
      </c>
      <c r="L326" s="30" t="str">
        <f aca="false">IF(F326="","",K326-B326)</f>
        <v/>
      </c>
      <c r="M326" s="30" t="str">
        <f aca="false">IF(F326="","",L326-J326)</f>
        <v/>
      </c>
      <c r="N326" s="32" t="str">
        <f aca="false">IF(F326="","",IF(H326&lt;&gt;"","Kapandı",IF('Vade Sapması'!$D$3&gt;G326,"Açık · vadesi geçti","Açık · vadesi gelmedi")))</f>
        <v/>
      </c>
      <c r="O326" s="30" t="str">
        <f aca="false">IF(F326="","",IF(AND(H326="",'Vade Sapması'!$D$3&gt;G326),'Vade Sapması'!$D$3-G326,0))</f>
        <v/>
      </c>
      <c r="P326" s="33" t="str">
        <f aca="false">IF(F326="","",F326*J326)</f>
        <v/>
      </c>
      <c r="Q326" s="33" t="str">
        <f aca="false">IF(F326="","",F326*L326)</f>
        <v/>
      </c>
      <c r="R326" s="33" t="str">
        <f aca="false">IF(F326="","",IF(H326="",F326,0))</f>
        <v/>
      </c>
      <c r="S326" s="32" t="str">
        <f aca="false">IF(F326="","",IF(N(O326)=0,"",IF(O326&lt;=30,"1-30",IF(O326&lt;=60,"31-60",IF(O326&lt;=90,"61-90","90+")))))</f>
        <v/>
      </c>
      <c r="T326" s="32" t="str">
        <f aca="false">IF(F326="","",IF(E326="","Diğer",E326))</f>
        <v/>
      </c>
      <c r="U326" s="32" t="str">
        <f aca="false">IF(OR(F326="",C326=""),"",IF(COUNTIF($C$2:C326,C326)=1,MAX($U$1:U325)+1,""))</f>
        <v/>
      </c>
    </row>
    <row r="327" customFormat="false" ht="15" hidden="false" customHeight="false" outlineLevel="0" collapsed="false">
      <c r="A327" s="34"/>
      <c r="B327" s="9"/>
      <c r="C327" s="34"/>
      <c r="D327" s="34"/>
      <c r="E327" s="34"/>
      <c r="F327" s="35"/>
      <c r="G327" s="9"/>
      <c r="H327" s="9"/>
      <c r="I327" s="34"/>
      <c r="J327" s="30" t="str">
        <f aca="false">IF(F327="","",G327-B327)</f>
        <v/>
      </c>
      <c r="K327" s="31" t="str">
        <f aca="false">IF(F327="","",IF(H327&lt;&gt;"",H327,MAX('Vade Sapması'!$D$3,G327)))</f>
        <v/>
      </c>
      <c r="L327" s="30" t="str">
        <f aca="false">IF(F327="","",K327-B327)</f>
        <v/>
      </c>
      <c r="M327" s="30" t="str">
        <f aca="false">IF(F327="","",L327-J327)</f>
        <v/>
      </c>
      <c r="N327" s="32" t="str">
        <f aca="false">IF(F327="","",IF(H327&lt;&gt;"","Kapandı",IF('Vade Sapması'!$D$3&gt;G327,"Açık · vadesi geçti","Açık · vadesi gelmedi")))</f>
        <v/>
      </c>
      <c r="O327" s="30" t="str">
        <f aca="false">IF(F327="","",IF(AND(H327="",'Vade Sapması'!$D$3&gt;G327),'Vade Sapması'!$D$3-G327,0))</f>
        <v/>
      </c>
      <c r="P327" s="33" t="str">
        <f aca="false">IF(F327="","",F327*J327)</f>
        <v/>
      </c>
      <c r="Q327" s="33" t="str">
        <f aca="false">IF(F327="","",F327*L327)</f>
        <v/>
      </c>
      <c r="R327" s="33" t="str">
        <f aca="false">IF(F327="","",IF(H327="",F327,0))</f>
        <v/>
      </c>
      <c r="S327" s="32" t="str">
        <f aca="false">IF(F327="","",IF(N(O327)=0,"",IF(O327&lt;=30,"1-30",IF(O327&lt;=60,"31-60",IF(O327&lt;=90,"61-90","90+")))))</f>
        <v/>
      </c>
      <c r="T327" s="32" t="str">
        <f aca="false">IF(F327="","",IF(E327="","Diğer",E327))</f>
        <v/>
      </c>
      <c r="U327" s="32" t="str">
        <f aca="false">IF(OR(F327="",C327=""),"",IF(COUNTIF($C$2:C327,C327)=1,MAX($U$1:U326)+1,""))</f>
        <v/>
      </c>
    </row>
    <row r="328" customFormat="false" ht="15" hidden="false" customHeight="false" outlineLevel="0" collapsed="false">
      <c r="A328" s="34"/>
      <c r="B328" s="9"/>
      <c r="C328" s="34"/>
      <c r="D328" s="34"/>
      <c r="E328" s="34"/>
      <c r="F328" s="35"/>
      <c r="G328" s="9"/>
      <c r="H328" s="9"/>
      <c r="I328" s="34"/>
      <c r="J328" s="30" t="str">
        <f aca="false">IF(F328="","",G328-B328)</f>
        <v/>
      </c>
      <c r="K328" s="31" t="str">
        <f aca="false">IF(F328="","",IF(H328&lt;&gt;"",H328,MAX('Vade Sapması'!$D$3,G328)))</f>
        <v/>
      </c>
      <c r="L328" s="30" t="str">
        <f aca="false">IF(F328="","",K328-B328)</f>
        <v/>
      </c>
      <c r="M328" s="30" t="str">
        <f aca="false">IF(F328="","",L328-J328)</f>
        <v/>
      </c>
      <c r="N328" s="32" t="str">
        <f aca="false">IF(F328="","",IF(H328&lt;&gt;"","Kapandı",IF('Vade Sapması'!$D$3&gt;G328,"Açık · vadesi geçti","Açık · vadesi gelmedi")))</f>
        <v/>
      </c>
      <c r="O328" s="30" t="str">
        <f aca="false">IF(F328="","",IF(AND(H328="",'Vade Sapması'!$D$3&gt;G328),'Vade Sapması'!$D$3-G328,0))</f>
        <v/>
      </c>
      <c r="P328" s="33" t="str">
        <f aca="false">IF(F328="","",F328*J328)</f>
        <v/>
      </c>
      <c r="Q328" s="33" t="str">
        <f aca="false">IF(F328="","",F328*L328)</f>
        <v/>
      </c>
      <c r="R328" s="33" t="str">
        <f aca="false">IF(F328="","",IF(H328="",F328,0))</f>
        <v/>
      </c>
      <c r="S328" s="32" t="str">
        <f aca="false">IF(F328="","",IF(N(O328)=0,"",IF(O328&lt;=30,"1-30",IF(O328&lt;=60,"31-60",IF(O328&lt;=90,"61-90","90+")))))</f>
        <v/>
      </c>
      <c r="T328" s="32" t="str">
        <f aca="false">IF(F328="","",IF(E328="","Diğer",E328))</f>
        <v/>
      </c>
      <c r="U328" s="32" t="str">
        <f aca="false">IF(OR(F328="",C328=""),"",IF(COUNTIF($C$2:C328,C328)=1,MAX($U$1:U327)+1,""))</f>
        <v/>
      </c>
    </row>
    <row r="329" customFormat="false" ht="15" hidden="false" customHeight="false" outlineLevel="0" collapsed="false">
      <c r="A329" s="34"/>
      <c r="B329" s="9"/>
      <c r="C329" s="34"/>
      <c r="D329" s="34"/>
      <c r="E329" s="34"/>
      <c r="F329" s="35"/>
      <c r="G329" s="9"/>
      <c r="H329" s="9"/>
      <c r="I329" s="34"/>
      <c r="J329" s="30" t="str">
        <f aca="false">IF(F329="","",G329-B329)</f>
        <v/>
      </c>
      <c r="K329" s="31" t="str">
        <f aca="false">IF(F329="","",IF(H329&lt;&gt;"",H329,MAX('Vade Sapması'!$D$3,G329)))</f>
        <v/>
      </c>
      <c r="L329" s="30" t="str">
        <f aca="false">IF(F329="","",K329-B329)</f>
        <v/>
      </c>
      <c r="M329" s="30" t="str">
        <f aca="false">IF(F329="","",L329-J329)</f>
        <v/>
      </c>
      <c r="N329" s="32" t="str">
        <f aca="false">IF(F329="","",IF(H329&lt;&gt;"","Kapandı",IF('Vade Sapması'!$D$3&gt;G329,"Açık · vadesi geçti","Açık · vadesi gelmedi")))</f>
        <v/>
      </c>
      <c r="O329" s="30" t="str">
        <f aca="false">IF(F329="","",IF(AND(H329="",'Vade Sapması'!$D$3&gt;G329),'Vade Sapması'!$D$3-G329,0))</f>
        <v/>
      </c>
      <c r="P329" s="33" t="str">
        <f aca="false">IF(F329="","",F329*J329)</f>
        <v/>
      </c>
      <c r="Q329" s="33" t="str">
        <f aca="false">IF(F329="","",F329*L329)</f>
        <v/>
      </c>
      <c r="R329" s="33" t="str">
        <f aca="false">IF(F329="","",IF(H329="",F329,0))</f>
        <v/>
      </c>
      <c r="S329" s="32" t="str">
        <f aca="false">IF(F329="","",IF(N(O329)=0,"",IF(O329&lt;=30,"1-30",IF(O329&lt;=60,"31-60",IF(O329&lt;=90,"61-90","90+")))))</f>
        <v/>
      </c>
      <c r="T329" s="32" t="str">
        <f aca="false">IF(F329="","",IF(E329="","Diğer",E329))</f>
        <v/>
      </c>
      <c r="U329" s="32" t="str">
        <f aca="false">IF(OR(F329="",C329=""),"",IF(COUNTIF($C$2:C329,C329)=1,MAX($U$1:U328)+1,""))</f>
        <v/>
      </c>
    </row>
    <row r="330" customFormat="false" ht="15" hidden="false" customHeight="false" outlineLevel="0" collapsed="false">
      <c r="A330" s="34"/>
      <c r="B330" s="9"/>
      <c r="C330" s="34"/>
      <c r="D330" s="34"/>
      <c r="E330" s="34"/>
      <c r="F330" s="35"/>
      <c r="G330" s="9"/>
      <c r="H330" s="9"/>
      <c r="I330" s="34"/>
      <c r="J330" s="30" t="str">
        <f aca="false">IF(F330="","",G330-B330)</f>
        <v/>
      </c>
      <c r="K330" s="31" t="str">
        <f aca="false">IF(F330="","",IF(H330&lt;&gt;"",H330,MAX('Vade Sapması'!$D$3,G330)))</f>
        <v/>
      </c>
      <c r="L330" s="30" t="str">
        <f aca="false">IF(F330="","",K330-B330)</f>
        <v/>
      </c>
      <c r="M330" s="30" t="str">
        <f aca="false">IF(F330="","",L330-J330)</f>
        <v/>
      </c>
      <c r="N330" s="32" t="str">
        <f aca="false">IF(F330="","",IF(H330&lt;&gt;"","Kapandı",IF('Vade Sapması'!$D$3&gt;G330,"Açık · vadesi geçti","Açık · vadesi gelmedi")))</f>
        <v/>
      </c>
      <c r="O330" s="30" t="str">
        <f aca="false">IF(F330="","",IF(AND(H330="",'Vade Sapması'!$D$3&gt;G330),'Vade Sapması'!$D$3-G330,0))</f>
        <v/>
      </c>
      <c r="P330" s="33" t="str">
        <f aca="false">IF(F330="","",F330*J330)</f>
        <v/>
      </c>
      <c r="Q330" s="33" t="str">
        <f aca="false">IF(F330="","",F330*L330)</f>
        <v/>
      </c>
      <c r="R330" s="33" t="str">
        <f aca="false">IF(F330="","",IF(H330="",F330,0))</f>
        <v/>
      </c>
      <c r="S330" s="32" t="str">
        <f aca="false">IF(F330="","",IF(N(O330)=0,"",IF(O330&lt;=30,"1-30",IF(O330&lt;=60,"31-60",IF(O330&lt;=90,"61-90","90+")))))</f>
        <v/>
      </c>
      <c r="T330" s="32" t="str">
        <f aca="false">IF(F330="","",IF(E330="","Diğer",E330))</f>
        <v/>
      </c>
      <c r="U330" s="32" t="str">
        <f aca="false">IF(OR(F330="",C330=""),"",IF(COUNTIF($C$2:C330,C330)=1,MAX($U$1:U329)+1,""))</f>
        <v/>
      </c>
    </row>
    <row r="331" customFormat="false" ht="15" hidden="false" customHeight="false" outlineLevel="0" collapsed="false">
      <c r="A331" s="34"/>
      <c r="B331" s="9"/>
      <c r="C331" s="34"/>
      <c r="D331" s="34"/>
      <c r="E331" s="34"/>
      <c r="F331" s="35"/>
      <c r="G331" s="9"/>
      <c r="H331" s="9"/>
      <c r="I331" s="34"/>
      <c r="J331" s="30" t="str">
        <f aca="false">IF(F331="","",G331-B331)</f>
        <v/>
      </c>
      <c r="K331" s="31" t="str">
        <f aca="false">IF(F331="","",IF(H331&lt;&gt;"",H331,MAX('Vade Sapması'!$D$3,G331)))</f>
        <v/>
      </c>
      <c r="L331" s="30" t="str">
        <f aca="false">IF(F331="","",K331-B331)</f>
        <v/>
      </c>
      <c r="M331" s="30" t="str">
        <f aca="false">IF(F331="","",L331-J331)</f>
        <v/>
      </c>
      <c r="N331" s="32" t="str">
        <f aca="false">IF(F331="","",IF(H331&lt;&gt;"","Kapandı",IF('Vade Sapması'!$D$3&gt;G331,"Açık · vadesi geçti","Açık · vadesi gelmedi")))</f>
        <v/>
      </c>
      <c r="O331" s="30" t="str">
        <f aca="false">IF(F331="","",IF(AND(H331="",'Vade Sapması'!$D$3&gt;G331),'Vade Sapması'!$D$3-G331,0))</f>
        <v/>
      </c>
      <c r="P331" s="33" t="str">
        <f aca="false">IF(F331="","",F331*J331)</f>
        <v/>
      </c>
      <c r="Q331" s="33" t="str">
        <f aca="false">IF(F331="","",F331*L331)</f>
        <v/>
      </c>
      <c r="R331" s="33" t="str">
        <f aca="false">IF(F331="","",IF(H331="",F331,0))</f>
        <v/>
      </c>
      <c r="S331" s="32" t="str">
        <f aca="false">IF(F331="","",IF(N(O331)=0,"",IF(O331&lt;=30,"1-30",IF(O331&lt;=60,"31-60",IF(O331&lt;=90,"61-90","90+")))))</f>
        <v/>
      </c>
      <c r="T331" s="32" t="str">
        <f aca="false">IF(F331="","",IF(E331="","Diğer",E331))</f>
        <v/>
      </c>
      <c r="U331" s="32" t="str">
        <f aca="false">IF(OR(F331="",C331=""),"",IF(COUNTIF($C$2:C331,C331)=1,MAX($U$1:U330)+1,""))</f>
        <v/>
      </c>
    </row>
    <row r="332" customFormat="false" ht="15" hidden="false" customHeight="false" outlineLevel="0" collapsed="false">
      <c r="A332" s="34"/>
      <c r="B332" s="9"/>
      <c r="C332" s="34"/>
      <c r="D332" s="34"/>
      <c r="E332" s="34"/>
      <c r="F332" s="35"/>
      <c r="G332" s="9"/>
      <c r="H332" s="9"/>
      <c r="I332" s="34"/>
      <c r="J332" s="30" t="str">
        <f aca="false">IF(F332="","",G332-B332)</f>
        <v/>
      </c>
      <c r="K332" s="31" t="str">
        <f aca="false">IF(F332="","",IF(H332&lt;&gt;"",H332,MAX('Vade Sapması'!$D$3,G332)))</f>
        <v/>
      </c>
      <c r="L332" s="30" t="str">
        <f aca="false">IF(F332="","",K332-B332)</f>
        <v/>
      </c>
      <c r="M332" s="30" t="str">
        <f aca="false">IF(F332="","",L332-J332)</f>
        <v/>
      </c>
      <c r="N332" s="32" t="str">
        <f aca="false">IF(F332="","",IF(H332&lt;&gt;"","Kapandı",IF('Vade Sapması'!$D$3&gt;G332,"Açık · vadesi geçti","Açık · vadesi gelmedi")))</f>
        <v/>
      </c>
      <c r="O332" s="30" t="str">
        <f aca="false">IF(F332="","",IF(AND(H332="",'Vade Sapması'!$D$3&gt;G332),'Vade Sapması'!$D$3-G332,0))</f>
        <v/>
      </c>
      <c r="P332" s="33" t="str">
        <f aca="false">IF(F332="","",F332*J332)</f>
        <v/>
      </c>
      <c r="Q332" s="33" t="str">
        <f aca="false">IF(F332="","",F332*L332)</f>
        <v/>
      </c>
      <c r="R332" s="33" t="str">
        <f aca="false">IF(F332="","",IF(H332="",F332,0))</f>
        <v/>
      </c>
      <c r="S332" s="32" t="str">
        <f aca="false">IF(F332="","",IF(N(O332)=0,"",IF(O332&lt;=30,"1-30",IF(O332&lt;=60,"31-60",IF(O332&lt;=90,"61-90","90+")))))</f>
        <v/>
      </c>
      <c r="T332" s="32" t="str">
        <f aca="false">IF(F332="","",IF(E332="","Diğer",E332))</f>
        <v/>
      </c>
      <c r="U332" s="32" t="str">
        <f aca="false">IF(OR(F332="",C332=""),"",IF(COUNTIF($C$2:C332,C332)=1,MAX($U$1:U331)+1,""))</f>
        <v/>
      </c>
    </row>
    <row r="333" customFormat="false" ht="15" hidden="false" customHeight="false" outlineLevel="0" collapsed="false">
      <c r="A333" s="34"/>
      <c r="B333" s="9"/>
      <c r="C333" s="34"/>
      <c r="D333" s="34"/>
      <c r="E333" s="34"/>
      <c r="F333" s="35"/>
      <c r="G333" s="9"/>
      <c r="H333" s="9"/>
      <c r="I333" s="34"/>
      <c r="J333" s="30" t="str">
        <f aca="false">IF(F333="","",G333-B333)</f>
        <v/>
      </c>
      <c r="K333" s="31" t="str">
        <f aca="false">IF(F333="","",IF(H333&lt;&gt;"",H333,MAX('Vade Sapması'!$D$3,G333)))</f>
        <v/>
      </c>
      <c r="L333" s="30" t="str">
        <f aca="false">IF(F333="","",K333-B333)</f>
        <v/>
      </c>
      <c r="M333" s="30" t="str">
        <f aca="false">IF(F333="","",L333-J333)</f>
        <v/>
      </c>
      <c r="N333" s="32" t="str">
        <f aca="false">IF(F333="","",IF(H333&lt;&gt;"","Kapandı",IF('Vade Sapması'!$D$3&gt;G333,"Açık · vadesi geçti","Açık · vadesi gelmedi")))</f>
        <v/>
      </c>
      <c r="O333" s="30" t="str">
        <f aca="false">IF(F333="","",IF(AND(H333="",'Vade Sapması'!$D$3&gt;G333),'Vade Sapması'!$D$3-G333,0))</f>
        <v/>
      </c>
      <c r="P333" s="33" t="str">
        <f aca="false">IF(F333="","",F333*J333)</f>
        <v/>
      </c>
      <c r="Q333" s="33" t="str">
        <f aca="false">IF(F333="","",F333*L333)</f>
        <v/>
      </c>
      <c r="R333" s="33" t="str">
        <f aca="false">IF(F333="","",IF(H333="",F333,0))</f>
        <v/>
      </c>
      <c r="S333" s="32" t="str">
        <f aca="false">IF(F333="","",IF(N(O333)=0,"",IF(O333&lt;=30,"1-30",IF(O333&lt;=60,"31-60",IF(O333&lt;=90,"61-90","90+")))))</f>
        <v/>
      </c>
      <c r="T333" s="32" t="str">
        <f aca="false">IF(F333="","",IF(E333="","Diğer",E333))</f>
        <v/>
      </c>
      <c r="U333" s="32" t="str">
        <f aca="false">IF(OR(F333="",C333=""),"",IF(COUNTIF($C$2:C333,C333)=1,MAX($U$1:U332)+1,""))</f>
        <v/>
      </c>
    </row>
    <row r="334" customFormat="false" ht="15" hidden="false" customHeight="false" outlineLevel="0" collapsed="false">
      <c r="A334" s="34"/>
      <c r="B334" s="9"/>
      <c r="C334" s="34"/>
      <c r="D334" s="34"/>
      <c r="E334" s="34"/>
      <c r="F334" s="35"/>
      <c r="G334" s="9"/>
      <c r="H334" s="9"/>
      <c r="I334" s="34"/>
      <c r="J334" s="30" t="str">
        <f aca="false">IF(F334="","",G334-B334)</f>
        <v/>
      </c>
      <c r="K334" s="31" t="str">
        <f aca="false">IF(F334="","",IF(H334&lt;&gt;"",H334,MAX('Vade Sapması'!$D$3,G334)))</f>
        <v/>
      </c>
      <c r="L334" s="30" t="str">
        <f aca="false">IF(F334="","",K334-B334)</f>
        <v/>
      </c>
      <c r="M334" s="30" t="str">
        <f aca="false">IF(F334="","",L334-J334)</f>
        <v/>
      </c>
      <c r="N334" s="32" t="str">
        <f aca="false">IF(F334="","",IF(H334&lt;&gt;"","Kapandı",IF('Vade Sapması'!$D$3&gt;G334,"Açık · vadesi geçti","Açık · vadesi gelmedi")))</f>
        <v/>
      </c>
      <c r="O334" s="30" t="str">
        <f aca="false">IF(F334="","",IF(AND(H334="",'Vade Sapması'!$D$3&gt;G334),'Vade Sapması'!$D$3-G334,0))</f>
        <v/>
      </c>
      <c r="P334" s="33" t="str">
        <f aca="false">IF(F334="","",F334*J334)</f>
        <v/>
      </c>
      <c r="Q334" s="33" t="str">
        <f aca="false">IF(F334="","",F334*L334)</f>
        <v/>
      </c>
      <c r="R334" s="33" t="str">
        <f aca="false">IF(F334="","",IF(H334="",F334,0))</f>
        <v/>
      </c>
      <c r="S334" s="32" t="str">
        <f aca="false">IF(F334="","",IF(N(O334)=0,"",IF(O334&lt;=30,"1-30",IF(O334&lt;=60,"31-60",IF(O334&lt;=90,"61-90","90+")))))</f>
        <v/>
      </c>
      <c r="T334" s="32" t="str">
        <f aca="false">IF(F334="","",IF(E334="","Diğer",E334))</f>
        <v/>
      </c>
      <c r="U334" s="32" t="str">
        <f aca="false">IF(OR(F334="",C334=""),"",IF(COUNTIF($C$2:C334,C334)=1,MAX($U$1:U333)+1,""))</f>
        <v/>
      </c>
    </row>
    <row r="335" customFormat="false" ht="15" hidden="false" customHeight="false" outlineLevel="0" collapsed="false">
      <c r="A335" s="34"/>
      <c r="B335" s="9"/>
      <c r="C335" s="34"/>
      <c r="D335" s="34"/>
      <c r="E335" s="34"/>
      <c r="F335" s="35"/>
      <c r="G335" s="9"/>
      <c r="H335" s="9"/>
      <c r="I335" s="34"/>
      <c r="J335" s="30" t="str">
        <f aca="false">IF(F335="","",G335-B335)</f>
        <v/>
      </c>
      <c r="K335" s="31" t="str">
        <f aca="false">IF(F335="","",IF(H335&lt;&gt;"",H335,MAX('Vade Sapması'!$D$3,G335)))</f>
        <v/>
      </c>
      <c r="L335" s="30" t="str">
        <f aca="false">IF(F335="","",K335-B335)</f>
        <v/>
      </c>
      <c r="M335" s="30" t="str">
        <f aca="false">IF(F335="","",L335-J335)</f>
        <v/>
      </c>
      <c r="N335" s="32" t="str">
        <f aca="false">IF(F335="","",IF(H335&lt;&gt;"","Kapandı",IF('Vade Sapması'!$D$3&gt;G335,"Açık · vadesi geçti","Açık · vadesi gelmedi")))</f>
        <v/>
      </c>
      <c r="O335" s="30" t="str">
        <f aca="false">IF(F335="","",IF(AND(H335="",'Vade Sapması'!$D$3&gt;G335),'Vade Sapması'!$D$3-G335,0))</f>
        <v/>
      </c>
      <c r="P335" s="33" t="str">
        <f aca="false">IF(F335="","",F335*J335)</f>
        <v/>
      </c>
      <c r="Q335" s="33" t="str">
        <f aca="false">IF(F335="","",F335*L335)</f>
        <v/>
      </c>
      <c r="R335" s="33" t="str">
        <f aca="false">IF(F335="","",IF(H335="",F335,0))</f>
        <v/>
      </c>
      <c r="S335" s="32" t="str">
        <f aca="false">IF(F335="","",IF(N(O335)=0,"",IF(O335&lt;=30,"1-30",IF(O335&lt;=60,"31-60",IF(O335&lt;=90,"61-90","90+")))))</f>
        <v/>
      </c>
      <c r="T335" s="32" t="str">
        <f aca="false">IF(F335="","",IF(E335="","Diğer",E335))</f>
        <v/>
      </c>
      <c r="U335" s="32" t="str">
        <f aca="false">IF(OR(F335="",C335=""),"",IF(COUNTIF($C$2:C335,C335)=1,MAX($U$1:U334)+1,""))</f>
        <v/>
      </c>
    </row>
    <row r="336" customFormat="false" ht="15" hidden="false" customHeight="false" outlineLevel="0" collapsed="false">
      <c r="A336" s="34"/>
      <c r="B336" s="9"/>
      <c r="C336" s="34"/>
      <c r="D336" s="34"/>
      <c r="E336" s="34"/>
      <c r="F336" s="35"/>
      <c r="G336" s="9"/>
      <c r="H336" s="9"/>
      <c r="I336" s="34"/>
      <c r="J336" s="30" t="str">
        <f aca="false">IF(F336="","",G336-B336)</f>
        <v/>
      </c>
      <c r="K336" s="31" t="str">
        <f aca="false">IF(F336="","",IF(H336&lt;&gt;"",H336,MAX('Vade Sapması'!$D$3,G336)))</f>
        <v/>
      </c>
      <c r="L336" s="30" t="str">
        <f aca="false">IF(F336="","",K336-B336)</f>
        <v/>
      </c>
      <c r="M336" s="30" t="str">
        <f aca="false">IF(F336="","",L336-J336)</f>
        <v/>
      </c>
      <c r="N336" s="32" t="str">
        <f aca="false">IF(F336="","",IF(H336&lt;&gt;"","Kapandı",IF('Vade Sapması'!$D$3&gt;G336,"Açık · vadesi geçti","Açık · vadesi gelmedi")))</f>
        <v/>
      </c>
      <c r="O336" s="30" t="str">
        <f aca="false">IF(F336="","",IF(AND(H336="",'Vade Sapması'!$D$3&gt;G336),'Vade Sapması'!$D$3-G336,0))</f>
        <v/>
      </c>
      <c r="P336" s="33" t="str">
        <f aca="false">IF(F336="","",F336*J336)</f>
        <v/>
      </c>
      <c r="Q336" s="33" t="str">
        <f aca="false">IF(F336="","",F336*L336)</f>
        <v/>
      </c>
      <c r="R336" s="33" t="str">
        <f aca="false">IF(F336="","",IF(H336="",F336,0))</f>
        <v/>
      </c>
      <c r="S336" s="32" t="str">
        <f aca="false">IF(F336="","",IF(N(O336)=0,"",IF(O336&lt;=30,"1-30",IF(O336&lt;=60,"31-60",IF(O336&lt;=90,"61-90","90+")))))</f>
        <v/>
      </c>
      <c r="T336" s="32" t="str">
        <f aca="false">IF(F336="","",IF(E336="","Diğer",E336))</f>
        <v/>
      </c>
      <c r="U336" s="32" t="str">
        <f aca="false">IF(OR(F336="",C336=""),"",IF(COUNTIF($C$2:C336,C336)=1,MAX($U$1:U335)+1,""))</f>
        <v/>
      </c>
    </row>
    <row r="337" customFormat="false" ht="15" hidden="false" customHeight="false" outlineLevel="0" collapsed="false">
      <c r="A337" s="34"/>
      <c r="B337" s="9"/>
      <c r="C337" s="34"/>
      <c r="D337" s="34"/>
      <c r="E337" s="34"/>
      <c r="F337" s="35"/>
      <c r="G337" s="9"/>
      <c r="H337" s="9"/>
      <c r="I337" s="34"/>
      <c r="J337" s="30" t="str">
        <f aca="false">IF(F337="","",G337-B337)</f>
        <v/>
      </c>
      <c r="K337" s="31" t="str">
        <f aca="false">IF(F337="","",IF(H337&lt;&gt;"",H337,MAX('Vade Sapması'!$D$3,G337)))</f>
        <v/>
      </c>
      <c r="L337" s="30" t="str">
        <f aca="false">IF(F337="","",K337-B337)</f>
        <v/>
      </c>
      <c r="M337" s="30" t="str">
        <f aca="false">IF(F337="","",L337-J337)</f>
        <v/>
      </c>
      <c r="N337" s="32" t="str">
        <f aca="false">IF(F337="","",IF(H337&lt;&gt;"","Kapandı",IF('Vade Sapması'!$D$3&gt;G337,"Açık · vadesi geçti","Açık · vadesi gelmedi")))</f>
        <v/>
      </c>
      <c r="O337" s="30" t="str">
        <f aca="false">IF(F337="","",IF(AND(H337="",'Vade Sapması'!$D$3&gt;G337),'Vade Sapması'!$D$3-G337,0))</f>
        <v/>
      </c>
      <c r="P337" s="33" t="str">
        <f aca="false">IF(F337="","",F337*J337)</f>
        <v/>
      </c>
      <c r="Q337" s="33" t="str">
        <f aca="false">IF(F337="","",F337*L337)</f>
        <v/>
      </c>
      <c r="R337" s="33" t="str">
        <f aca="false">IF(F337="","",IF(H337="",F337,0))</f>
        <v/>
      </c>
      <c r="S337" s="32" t="str">
        <f aca="false">IF(F337="","",IF(N(O337)=0,"",IF(O337&lt;=30,"1-30",IF(O337&lt;=60,"31-60",IF(O337&lt;=90,"61-90","90+")))))</f>
        <v/>
      </c>
      <c r="T337" s="32" t="str">
        <f aca="false">IF(F337="","",IF(E337="","Diğer",E337))</f>
        <v/>
      </c>
      <c r="U337" s="32" t="str">
        <f aca="false">IF(OR(F337="",C337=""),"",IF(COUNTIF($C$2:C337,C337)=1,MAX($U$1:U336)+1,""))</f>
        <v/>
      </c>
    </row>
    <row r="338" customFormat="false" ht="15" hidden="false" customHeight="false" outlineLevel="0" collapsed="false">
      <c r="A338" s="34"/>
      <c r="B338" s="9"/>
      <c r="C338" s="34"/>
      <c r="D338" s="34"/>
      <c r="E338" s="34"/>
      <c r="F338" s="35"/>
      <c r="G338" s="9"/>
      <c r="H338" s="9"/>
      <c r="I338" s="34"/>
      <c r="J338" s="30" t="str">
        <f aca="false">IF(F338="","",G338-B338)</f>
        <v/>
      </c>
      <c r="K338" s="31" t="str">
        <f aca="false">IF(F338="","",IF(H338&lt;&gt;"",H338,MAX('Vade Sapması'!$D$3,G338)))</f>
        <v/>
      </c>
      <c r="L338" s="30" t="str">
        <f aca="false">IF(F338="","",K338-B338)</f>
        <v/>
      </c>
      <c r="M338" s="30" t="str">
        <f aca="false">IF(F338="","",L338-J338)</f>
        <v/>
      </c>
      <c r="N338" s="32" t="str">
        <f aca="false">IF(F338="","",IF(H338&lt;&gt;"","Kapandı",IF('Vade Sapması'!$D$3&gt;G338,"Açık · vadesi geçti","Açık · vadesi gelmedi")))</f>
        <v/>
      </c>
      <c r="O338" s="30" t="str">
        <f aca="false">IF(F338="","",IF(AND(H338="",'Vade Sapması'!$D$3&gt;G338),'Vade Sapması'!$D$3-G338,0))</f>
        <v/>
      </c>
      <c r="P338" s="33" t="str">
        <f aca="false">IF(F338="","",F338*J338)</f>
        <v/>
      </c>
      <c r="Q338" s="33" t="str">
        <f aca="false">IF(F338="","",F338*L338)</f>
        <v/>
      </c>
      <c r="R338" s="33" t="str">
        <f aca="false">IF(F338="","",IF(H338="",F338,0))</f>
        <v/>
      </c>
      <c r="S338" s="32" t="str">
        <f aca="false">IF(F338="","",IF(N(O338)=0,"",IF(O338&lt;=30,"1-30",IF(O338&lt;=60,"31-60",IF(O338&lt;=90,"61-90","90+")))))</f>
        <v/>
      </c>
      <c r="T338" s="32" t="str">
        <f aca="false">IF(F338="","",IF(E338="","Diğer",E338))</f>
        <v/>
      </c>
      <c r="U338" s="32" t="str">
        <f aca="false">IF(OR(F338="",C338=""),"",IF(COUNTIF($C$2:C338,C338)=1,MAX($U$1:U337)+1,""))</f>
        <v/>
      </c>
    </row>
    <row r="339" customFormat="false" ht="15" hidden="false" customHeight="false" outlineLevel="0" collapsed="false">
      <c r="A339" s="34"/>
      <c r="B339" s="9"/>
      <c r="C339" s="34"/>
      <c r="D339" s="34"/>
      <c r="E339" s="34"/>
      <c r="F339" s="35"/>
      <c r="G339" s="9"/>
      <c r="H339" s="9"/>
      <c r="I339" s="34"/>
      <c r="J339" s="30" t="str">
        <f aca="false">IF(F339="","",G339-B339)</f>
        <v/>
      </c>
      <c r="K339" s="31" t="str">
        <f aca="false">IF(F339="","",IF(H339&lt;&gt;"",H339,MAX('Vade Sapması'!$D$3,G339)))</f>
        <v/>
      </c>
      <c r="L339" s="30" t="str">
        <f aca="false">IF(F339="","",K339-B339)</f>
        <v/>
      </c>
      <c r="M339" s="30" t="str">
        <f aca="false">IF(F339="","",L339-J339)</f>
        <v/>
      </c>
      <c r="N339" s="32" t="str">
        <f aca="false">IF(F339="","",IF(H339&lt;&gt;"","Kapandı",IF('Vade Sapması'!$D$3&gt;G339,"Açık · vadesi geçti","Açık · vadesi gelmedi")))</f>
        <v/>
      </c>
      <c r="O339" s="30" t="str">
        <f aca="false">IF(F339="","",IF(AND(H339="",'Vade Sapması'!$D$3&gt;G339),'Vade Sapması'!$D$3-G339,0))</f>
        <v/>
      </c>
      <c r="P339" s="33" t="str">
        <f aca="false">IF(F339="","",F339*J339)</f>
        <v/>
      </c>
      <c r="Q339" s="33" t="str">
        <f aca="false">IF(F339="","",F339*L339)</f>
        <v/>
      </c>
      <c r="R339" s="33" t="str">
        <f aca="false">IF(F339="","",IF(H339="",F339,0))</f>
        <v/>
      </c>
      <c r="S339" s="32" t="str">
        <f aca="false">IF(F339="","",IF(N(O339)=0,"",IF(O339&lt;=30,"1-30",IF(O339&lt;=60,"31-60",IF(O339&lt;=90,"61-90","90+")))))</f>
        <v/>
      </c>
      <c r="T339" s="32" t="str">
        <f aca="false">IF(F339="","",IF(E339="","Diğer",E339))</f>
        <v/>
      </c>
      <c r="U339" s="32" t="str">
        <f aca="false">IF(OR(F339="",C339=""),"",IF(COUNTIF($C$2:C339,C339)=1,MAX($U$1:U338)+1,""))</f>
        <v/>
      </c>
    </row>
    <row r="340" customFormat="false" ht="15" hidden="false" customHeight="false" outlineLevel="0" collapsed="false">
      <c r="A340" s="34"/>
      <c r="B340" s="9"/>
      <c r="C340" s="34"/>
      <c r="D340" s="34"/>
      <c r="E340" s="34"/>
      <c r="F340" s="35"/>
      <c r="G340" s="9"/>
      <c r="H340" s="9"/>
      <c r="I340" s="34"/>
      <c r="J340" s="30" t="str">
        <f aca="false">IF(F340="","",G340-B340)</f>
        <v/>
      </c>
      <c r="K340" s="31" t="str">
        <f aca="false">IF(F340="","",IF(H340&lt;&gt;"",H340,MAX('Vade Sapması'!$D$3,G340)))</f>
        <v/>
      </c>
      <c r="L340" s="30" t="str">
        <f aca="false">IF(F340="","",K340-B340)</f>
        <v/>
      </c>
      <c r="M340" s="30" t="str">
        <f aca="false">IF(F340="","",L340-J340)</f>
        <v/>
      </c>
      <c r="N340" s="32" t="str">
        <f aca="false">IF(F340="","",IF(H340&lt;&gt;"","Kapandı",IF('Vade Sapması'!$D$3&gt;G340,"Açık · vadesi geçti","Açık · vadesi gelmedi")))</f>
        <v/>
      </c>
      <c r="O340" s="30" t="str">
        <f aca="false">IF(F340="","",IF(AND(H340="",'Vade Sapması'!$D$3&gt;G340),'Vade Sapması'!$D$3-G340,0))</f>
        <v/>
      </c>
      <c r="P340" s="33" t="str">
        <f aca="false">IF(F340="","",F340*J340)</f>
        <v/>
      </c>
      <c r="Q340" s="33" t="str">
        <f aca="false">IF(F340="","",F340*L340)</f>
        <v/>
      </c>
      <c r="R340" s="33" t="str">
        <f aca="false">IF(F340="","",IF(H340="",F340,0))</f>
        <v/>
      </c>
      <c r="S340" s="32" t="str">
        <f aca="false">IF(F340="","",IF(N(O340)=0,"",IF(O340&lt;=30,"1-30",IF(O340&lt;=60,"31-60",IF(O340&lt;=90,"61-90","90+")))))</f>
        <v/>
      </c>
      <c r="T340" s="32" t="str">
        <f aca="false">IF(F340="","",IF(E340="","Diğer",E340))</f>
        <v/>
      </c>
      <c r="U340" s="32" t="str">
        <f aca="false">IF(OR(F340="",C340=""),"",IF(COUNTIF($C$2:C340,C340)=1,MAX($U$1:U339)+1,""))</f>
        <v/>
      </c>
    </row>
    <row r="341" customFormat="false" ht="15" hidden="false" customHeight="false" outlineLevel="0" collapsed="false">
      <c r="A341" s="34"/>
      <c r="B341" s="9"/>
      <c r="C341" s="34"/>
      <c r="D341" s="34"/>
      <c r="E341" s="34"/>
      <c r="F341" s="35"/>
      <c r="G341" s="9"/>
      <c r="H341" s="9"/>
      <c r="I341" s="34"/>
      <c r="J341" s="30" t="str">
        <f aca="false">IF(F341="","",G341-B341)</f>
        <v/>
      </c>
      <c r="K341" s="31" t="str">
        <f aca="false">IF(F341="","",IF(H341&lt;&gt;"",H341,MAX('Vade Sapması'!$D$3,G341)))</f>
        <v/>
      </c>
      <c r="L341" s="30" t="str">
        <f aca="false">IF(F341="","",K341-B341)</f>
        <v/>
      </c>
      <c r="M341" s="30" t="str">
        <f aca="false">IF(F341="","",L341-J341)</f>
        <v/>
      </c>
      <c r="N341" s="32" t="str">
        <f aca="false">IF(F341="","",IF(H341&lt;&gt;"","Kapandı",IF('Vade Sapması'!$D$3&gt;G341,"Açık · vadesi geçti","Açık · vadesi gelmedi")))</f>
        <v/>
      </c>
      <c r="O341" s="30" t="str">
        <f aca="false">IF(F341="","",IF(AND(H341="",'Vade Sapması'!$D$3&gt;G341),'Vade Sapması'!$D$3-G341,0))</f>
        <v/>
      </c>
      <c r="P341" s="33" t="str">
        <f aca="false">IF(F341="","",F341*J341)</f>
        <v/>
      </c>
      <c r="Q341" s="33" t="str">
        <f aca="false">IF(F341="","",F341*L341)</f>
        <v/>
      </c>
      <c r="R341" s="33" t="str">
        <f aca="false">IF(F341="","",IF(H341="",F341,0))</f>
        <v/>
      </c>
      <c r="S341" s="32" t="str">
        <f aca="false">IF(F341="","",IF(N(O341)=0,"",IF(O341&lt;=30,"1-30",IF(O341&lt;=60,"31-60",IF(O341&lt;=90,"61-90","90+")))))</f>
        <v/>
      </c>
      <c r="T341" s="32" t="str">
        <f aca="false">IF(F341="","",IF(E341="","Diğer",E341))</f>
        <v/>
      </c>
      <c r="U341" s="32" t="str">
        <f aca="false">IF(OR(F341="",C341=""),"",IF(COUNTIF($C$2:C341,C341)=1,MAX($U$1:U340)+1,""))</f>
        <v/>
      </c>
    </row>
    <row r="342" customFormat="false" ht="15" hidden="false" customHeight="false" outlineLevel="0" collapsed="false">
      <c r="A342" s="34"/>
      <c r="B342" s="9"/>
      <c r="C342" s="34"/>
      <c r="D342" s="34"/>
      <c r="E342" s="34"/>
      <c r="F342" s="35"/>
      <c r="G342" s="9"/>
      <c r="H342" s="9"/>
      <c r="I342" s="34"/>
      <c r="J342" s="30" t="str">
        <f aca="false">IF(F342="","",G342-B342)</f>
        <v/>
      </c>
      <c r="K342" s="31" t="str">
        <f aca="false">IF(F342="","",IF(H342&lt;&gt;"",H342,MAX('Vade Sapması'!$D$3,G342)))</f>
        <v/>
      </c>
      <c r="L342" s="30" t="str">
        <f aca="false">IF(F342="","",K342-B342)</f>
        <v/>
      </c>
      <c r="M342" s="30" t="str">
        <f aca="false">IF(F342="","",L342-J342)</f>
        <v/>
      </c>
      <c r="N342" s="32" t="str">
        <f aca="false">IF(F342="","",IF(H342&lt;&gt;"","Kapandı",IF('Vade Sapması'!$D$3&gt;G342,"Açık · vadesi geçti","Açık · vadesi gelmedi")))</f>
        <v/>
      </c>
      <c r="O342" s="30" t="str">
        <f aca="false">IF(F342="","",IF(AND(H342="",'Vade Sapması'!$D$3&gt;G342),'Vade Sapması'!$D$3-G342,0))</f>
        <v/>
      </c>
      <c r="P342" s="33" t="str">
        <f aca="false">IF(F342="","",F342*J342)</f>
        <v/>
      </c>
      <c r="Q342" s="33" t="str">
        <f aca="false">IF(F342="","",F342*L342)</f>
        <v/>
      </c>
      <c r="R342" s="33" t="str">
        <f aca="false">IF(F342="","",IF(H342="",F342,0))</f>
        <v/>
      </c>
      <c r="S342" s="32" t="str">
        <f aca="false">IF(F342="","",IF(N(O342)=0,"",IF(O342&lt;=30,"1-30",IF(O342&lt;=60,"31-60",IF(O342&lt;=90,"61-90","90+")))))</f>
        <v/>
      </c>
      <c r="T342" s="32" t="str">
        <f aca="false">IF(F342="","",IF(E342="","Diğer",E342))</f>
        <v/>
      </c>
      <c r="U342" s="32" t="str">
        <f aca="false">IF(OR(F342="",C342=""),"",IF(COUNTIF($C$2:C342,C342)=1,MAX($U$1:U341)+1,""))</f>
        <v/>
      </c>
    </row>
    <row r="343" customFormat="false" ht="15" hidden="false" customHeight="false" outlineLevel="0" collapsed="false">
      <c r="A343" s="34"/>
      <c r="B343" s="9"/>
      <c r="C343" s="34"/>
      <c r="D343" s="34"/>
      <c r="E343" s="34"/>
      <c r="F343" s="35"/>
      <c r="G343" s="9"/>
      <c r="H343" s="9"/>
      <c r="I343" s="34"/>
      <c r="J343" s="30" t="str">
        <f aca="false">IF(F343="","",G343-B343)</f>
        <v/>
      </c>
      <c r="K343" s="31" t="str">
        <f aca="false">IF(F343="","",IF(H343&lt;&gt;"",H343,MAX('Vade Sapması'!$D$3,G343)))</f>
        <v/>
      </c>
      <c r="L343" s="30" t="str">
        <f aca="false">IF(F343="","",K343-B343)</f>
        <v/>
      </c>
      <c r="M343" s="30" t="str">
        <f aca="false">IF(F343="","",L343-J343)</f>
        <v/>
      </c>
      <c r="N343" s="32" t="str">
        <f aca="false">IF(F343="","",IF(H343&lt;&gt;"","Kapandı",IF('Vade Sapması'!$D$3&gt;G343,"Açık · vadesi geçti","Açık · vadesi gelmedi")))</f>
        <v/>
      </c>
      <c r="O343" s="30" t="str">
        <f aca="false">IF(F343="","",IF(AND(H343="",'Vade Sapması'!$D$3&gt;G343),'Vade Sapması'!$D$3-G343,0))</f>
        <v/>
      </c>
      <c r="P343" s="33" t="str">
        <f aca="false">IF(F343="","",F343*J343)</f>
        <v/>
      </c>
      <c r="Q343" s="33" t="str">
        <f aca="false">IF(F343="","",F343*L343)</f>
        <v/>
      </c>
      <c r="R343" s="33" t="str">
        <f aca="false">IF(F343="","",IF(H343="",F343,0))</f>
        <v/>
      </c>
      <c r="S343" s="32" t="str">
        <f aca="false">IF(F343="","",IF(N(O343)=0,"",IF(O343&lt;=30,"1-30",IF(O343&lt;=60,"31-60",IF(O343&lt;=90,"61-90","90+")))))</f>
        <v/>
      </c>
      <c r="T343" s="32" t="str">
        <f aca="false">IF(F343="","",IF(E343="","Diğer",E343))</f>
        <v/>
      </c>
      <c r="U343" s="32" t="str">
        <f aca="false">IF(OR(F343="",C343=""),"",IF(COUNTIF($C$2:C343,C343)=1,MAX($U$1:U342)+1,""))</f>
        <v/>
      </c>
    </row>
    <row r="344" customFormat="false" ht="15" hidden="false" customHeight="false" outlineLevel="0" collapsed="false">
      <c r="A344" s="34"/>
      <c r="B344" s="9"/>
      <c r="C344" s="34"/>
      <c r="D344" s="34"/>
      <c r="E344" s="34"/>
      <c r="F344" s="35"/>
      <c r="G344" s="9"/>
      <c r="H344" s="9"/>
      <c r="I344" s="34"/>
      <c r="J344" s="30" t="str">
        <f aca="false">IF(F344="","",G344-B344)</f>
        <v/>
      </c>
      <c r="K344" s="31" t="str">
        <f aca="false">IF(F344="","",IF(H344&lt;&gt;"",H344,MAX('Vade Sapması'!$D$3,G344)))</f>
        <v/>
      </c>
      <c r="L344" s="30" t="str">
        <f aca="false">IF(F344="","",K344-B344)</f>
        <v/>
      </c>
      <c r="M344" s="30" t="str">
        <f aca="false">IF(F344="","",L344-J344)</f>
        <v/>
      </c>
      <c r="N344" s="32" t="str">
        <f aca="false">IF(F344="","",IF(H344&lt;&gt;"","Kapandı",IF('Vade Sapması'!$D$3&gt;G344,"Açık · vadesi geçti","Açık · vadesi gelmedi")))</f>
        <v/>
      </c>
      <c r="O344" s="30" t="str">
        <f aca="false">IF(F344="","",IF(AND(H344="",'Vade Sapması'!$D$3&gt;G344),'Vade Sapması'!$D$3-G344,0))</f>
        <v/>
      </c>
      <c r="P344" s="33" t="str">
        <f aca="false">IF(F344="","",F344*J344)</f>
        <v/>
      </c>
      <c r="Q344" s="33" t="str">
        <f aca="false">IF(F344="","",F344*L344)</f>
        <v/>
      </c>
      <c r="R344" s="33" t="str">
        <f aca="false">IF(F344="","",IF(H344="",F344,0))</f>
        <v/>
      </c>
      <c r="S344" s="32" t="str">
        <f aca="false">IF(F344="","",IF(N(O344)=0,"",IF(O344&lt;=30,"1-30",IF(O344&lt;=60,"31-60",IF(O344&lt;=90,"61-90","90+")))))</f>
        <v/>
      </c>
      <c r="T344" s="32" t="str">
        <f aca="false">IF(F344="","",IF(E344="","Diğer",E344))</f>
        <v/>
      </c>
      <c r="U344" s="32" t="str">
        <f aca="false">IF(OR(F344="",C344=""),"",IF(COUNTIF($C$2:C344,C344)=1,MAX($U$1:U343)+1,""))</f>
        <v/>
      </c>
    </row>
    <row r="345" customFormat="false" ht="15" hidden="false" customHeight="false" outlineLevel="0" collapsed="false">
      <c r="A345" s="34"/>
      <c r="B345" s="9"/>
      <c r="C345" s="34"/>
      <c r="D345" s="34"/>
      <c r="E345" s="34"/>
      <c r="F345" s="35"/>
      <c r="G345" s="9"/>
      <c r="H345" s="9"/>
      <c r="I345" s="34"/>
      <c r="J345" s="30" t="str">
        <f aca="false">IF(F345="","",G345-B345)</f>
        <v/>
      </c>
      <c r="K345" s="31" t="str">
        <f aca="false">IF(F345="","",IF(H345&lt;&gt;"",H345,MAX('Vade Sapması'!$D$3,G345)))</f>
        <v/>
      </c>
      <c r="L345" s="30" t="str">
        <f aca="false">IF(F345="","",K345-B345)</f>
        <v/>
      </c>
      <c r="M345" s="30" t="str">
        <f aca="false">IF(F345="","",L345-J345)</f>
        <v/>
      </c>
      <c r="N345" s="32" t="str">
        <f aca="false">IF(F345="","",IF(H345&lt;&gt;"","Kapandı",IF('Vade Sapması'!$D$3&gt;G345,"Açık · vadesi geçti","Açık · vadesi gelmedi")))</f>
        <v/>
      </c>
      <c r="O345" s="30" t="str">
        <f aca="false">IF(F345="","",IF(AND(H345="",'Vade Sapması'!$D$3&gt;G345),'Vade Sapması'!$D$3-G345,0))</f>
        <v/>
      </c>
      <c r="P345" s="33" t="str">
        <f aca="false">IF(F345="","",F345*J345)</f>
        <v/>
      </c>
      <c r="Q345" s="33" t="str">
        <f aca="false">IF(F345="","",F345*L345)</f>
        <v/>
      </c>
      <c r="R345" s="33" t="str">
        <f aca="false">IF(F345="","",IF(H345="",F345,0))</f>
        <v/>
      </c>
      <c r="S345" s="32" t="str">
        <f aca="false">IF(F345="","",IF(N(O345)=0,"",IF(O345&lt;=30,"1-30",IF(O345&lt;=60,"31-60",IF(O345&lt;=90,"61-90","90+")))))</f>
        <v/>
      </c>
      <c r="T345" s="32" t="str">
        <f aca="false">IF(F345="","",IF(E345="","Diğer",E345))</f>
        <v/>
      </c>
      <c r="U345" s="32" t="str">
        <f aca="false">IF(OR(F345="",C345=""),"",IF(COUNTIF($C$2:C345,C345)=1,MAX($U$1:U344)+1,""))</f>
        <v/>
      </c>
    </row>
    <row r="346" customFormat="false" ht="15" hidden="false" customHeight="false" outlineLevel="0" collapsed="false">
      <c r="A346" s="34"/>
      <c r="B346" s="9"/>
      <c r="C346" s="34"/>
      <c r="D346" s="34"/>
      <c r="E346" s="34"/>
      <c r="F346" s="35"/>
      <c r="G346" s="9"/>
      <c r="H346" s="9"/>
      <c r="I346" s="34"/>
      <c r="J346" s="30" t="str">
        <f aca="false">IF(F346="","",G346-B346)</f>
        <v/>
      </c>
      <c r="K346" s="31" t="str">
        <f aca="false">IF(F346="","",IF(H346&lt;&gt;"",H346,MAX('Vade Sapması'!$D$3,G346)))</f>
        <v/>
      </c>
      <c r="L346" s="30" t="str">
        <f aca="false">IF(F346="","",K346-B346)</f>
        <v/>
      </c>
      <c r="M346" s="30" t="str">
        <f aca="false">IF(F346="","",L346-J346)</f>
        <v/>
      </c>
      <c r="N346" s="32" t="str">
        <f aca="false">IF(F346="","",IF(H346&lt;&gt;"","Kapandı",IF('Vade Sapması'!$D$3&gt;G346,"Açık · vadesi geçti","Açık · vadesi gelmedi")))</f>
        <v/>
      </c>
      <c r="O346" s="30" t="str">
        <f aca="false">IF(F346="","",IF(AND(H346="",'Vade Sapması'!$D$3&gt;G346),'Vade Sapması'!$D$3-G346,0))</f>
        <v/>
      </c>
      <c r="P346" s="33" t="str">
        <f aca="false">IF(F346="","",F346*J346)</f>
        <v/>
      </c>
      <c r="Q346" s="33" t="str">
        <f aca="false">IF(F346="","",F346*L346)</f>
        <v/>
      </c>
      <c r="R346" s="33" t="str">
        <f aca="false">IF(F346="","",IF(H346="",F346,0))</f>
        <v/>
      </c>
      <c r="S346" s="32" t="str">
        <f aca="false">IF(F346="","",IF(N(O346)=0,"",IF(O346&lt;=30,"1-30",IF(O346&lt;=60,"31-60",IF(O346&lt;=90,"61-90","90+")))))</f>
        <v/>
      </c>
      <c r="T346" s="32" t="str">
        <f aca="false">IF(F346="","",IF(E346="","Diğer",E346))</f>
        <v/>
      </c>
      <c r="U346" s="32" t="str">
        <f aca="false">IF(OR(F346="",C346=""),"",IF(COUNTIF($C$2:C346,C346)=1,MAX($U$1:U345)+1,""))</f>
        <v/>
      </c>
    </row>
    <row r="347" customFormat="false" ht="15" hidden="false" customHeight="false" outlineLevel="0" collapsed="false">
      <c r="A347" s="34"/>
      <c r="B347" s="9"/>
      <c r="C347" s="34"/>
      <c r="D347" s="34"/>
      <c r="E347" s="34"/>
      <c r="F347" s="35"/>
      <c r="G347" s="9"/>
      <c r="H347" s="9"/>
      <c r="I347" s="34"/>
      <c r="J347" s="30" t="str">
        <f aca="false">IF(F347="","",G347-B347)</f>
        <v/>
      </c>
      <c r="K347" s="31" t="str">
        <f aca="false">IF(F347="","",IF(H347&lt;&gt;"",H347,MAX('Vade Sapması'!$D$3,G347)))</f>
        <v/>
      </c>
      <c r="L347" s="30" t="str">
        <f aca="false">IF(F347="","",K347-B347)</f>
        <v/>
      </c>
      <c r="M347" s="30" t="str">
        <f aca="false">IF(F347="","",L347-J347)</f>
        <v/>
      </c>
      <c r="N347" s="32" t="str">
        <f aca="false">IF(F347="","",IF(H347&lt;&gt;"","Kapandı",IF('Vade Sapması'!$D$3&gt;G347,"Açık · vadesi geçti","Açık · vadesi gelmedi")))</f>
        <v/>
      </c>
      <c r="O347" s="30" t="str">
        <f aca="false">IF(F347="","",IF(AND(H347="",'Vade Sapması'!$D$3&gt;G347),'Vade Sapması'!$D$3-G347,0))</f>
        <v/>
      </c>
      <c r="P347" s="33" t="str">
        <f aca="false">IF(F347="","",F347*J347)</f>
        <v/>
      </c>
      <c r="Q347" s="33" t="str">
        <f aca="false">IF(F347="","",F347*L347)</f>
        <v/>
      </c>
      <c r="R347" s="33" t="str">
        <f aca="false">IF(F347="","",IF(H347="",F347,0))</f>
        <v/>
      </c>
      <c r="S347" s="32" t="str">
        <f aca="false">IF(F347="","",IF(N(O347)=0,"",IF(O347&lt;=30,"1-30",IF(O347&lt;=60,"31-60",IF(O347&lt;=90,"61-90","90+")))))</f>
        <v/>
      </c>
      <c r="T347" s="32" t="str">
        <f aca="false">IF(F347="","",IF(E347="","Diğer",E347))</f>
        <v/>
      </c>
      <c r="U347" s="32" t="str">
        <f aca="false">IF(OR(F347="",C347=""),"",IF(COUNTIF($C$2:C347,C347)=1,MAX($U$1:U346)+1,""))</f>
        <v/>
      </c>
    </row>
    <row r="348" customFormat="false" ht="15" hidden="false" customHeight="false" outlineLevel="0" collapsed="false">
      <c r="A348" s="34"/>
      <c r="B348" s="9"/>
      <c r="C348" s="34"/>
      <c r="D348" s="34"/>
      <c r="E348" s="34"/>
      <c r="F348" s="35"/>
      <c r="G348" s="9"/>
      <c r="H348" s="9"/>
      <c r="I348" s="34"/>
      <c r="J348" s="30" t="str">
        <f aca="false">IF(F348="","",G348-B348)</f>
        <v/>
      </c>
      <c r="K348" s="31" t="str">
        <f aca="false">IF(F348="","",IF(H348&lt;&gt;"",H348,MAX('Vade Sapması'!$D$3,G348)))</f>
        <v/>
      </c>
      <c r="L348" s="30" t="str">
        <f aca="false">IF(F348="","",K348-B348)</f>
        <v/>
      </c>
      <c r="M348" s="30" t="str">
        <f aca="false">IF(F348="","",L348-J348)</f>
        <v/>
      </c>
      <c r="N348" s="32" t="str">
        <f aca="false">IF(F348="","",IF(H348&lt;&gt;"","Kapandı",IF('Vade Sapması'!$D$3&gt;G348,"Açık · vadesi geçti","Açık · vadesi gelmedi")))</f>
        <v/>
      </c>
      <c r="O348" s="30" t="str">
        <f aca="false">IF(F348="","",IF(AND(H348="",'Vade Sapması'!$D$3&gt;G348),'Vade Sapması'!$D$3-G348,0))</f>
        <v/>
      </c>
      <c r="P348" s="33" t="str">
        <f aca="false">IF(F348="","",F348*J348)</f>
        <v/>
      </c>
      <c r="Q348" s="33" t="str">
        <f aca="false">IF(F348="","",F348*L348)</f>
        <v/>
      </c>
      <c r="R348" s="33" t="str">
        <f aca="false">IF(F348="","",IF(H348="",F348,0))</f>
        <v/>
      </c>
      <c r="S348" s="32" t="str">
        <f aca="false">IF(F348="","",IF(N(O348)=0,"",IF(O348&lt;=30,"1-30",IF(O348&lt;=60,"31-60",IF(O348&lt;=90,"61-90","90+")))))</f>
        <v/>
      </c>
      <c r="T348" s="32" t="str">
        <f aca="false">IF(F348="","",IF(E348="","Diğer",E348))</f>
        <v/>
      </c>
      <c r="U348" s="32" t="str">
        <f aca="false">IF(OR(F348="",C348=""),"",IF(COUNTIF($C$2:C348,C348)=1,MAX($U$1:U347)+1,""))</f>
        <v/>
      </c>
    </row>
    <row r="349" customFormat="false" ht="15" hidden="false" customHeight="false" outlineLevel="0" collapsed="false">
      <c r="A349" s="34"/>
      <c r="B349" s="9"/>
      <c r="C349" s="34"/>
      <c r="D349" s="34"/>
      <c r="E349" s="34"/>
      <c r="F349" s="35"/>
      <c r="G349" s="9"/>
      <c r="H349" s="9"/>
      <c r="I349" s="34"/>
      <c r="J349" s="30" t="str">
        <f aca="false">IF(F349="","",G349-B349)</f>
        <v/>
      </c>
      <c r="K349" s="31" t="str">
        <f aca="false">IF(F349="","",IF(H349&lt;&gt;"",H349,MAX('Vade Sapması'!$D$3,G349)))</f>
        <v/>
      </c>
      <c r="L349" s="30" t="str">
        <f aca="false">IF(F349="","",K349-B349)</f>
        <v/>
      </c>
      <c r="M349" s="30" t="str">
        <f aca="false">IF(F349="","",L349-J349)</f>
        <v/>
      </c>
      <c r="N349" s="32" t="str">
        <f aca="false">IF(F349="","",IF(H349&lt;&gt;"","Kapandı",IF('Vade Sapması'!$D$3&gt;G349,"Açık · vadesi geçti","Açık · vadesi gelmedi")))</f>
        <v/>
      </c>
      <c r="O349" s="30" t="str">
        <f aca="false">IF(F349="","",IF(AND(H349="",'Vade Sapması'!$D$3&gt;G349),'Vade Sapması'!$D$3-G349,0))</f>
        <v/>
      </c>
      <c r="P349" s="33" t="str">
        <f aca="false">IF(F349="","",F349*J349)</f>
        <v/>
      </c>
      <c r="Q349" s="33" t="str">
        <f aca="false">IF(F349="","",F349*L349)</f>
        <v/>
      </c>
      <c r="R349" s="33" t="str">
        <f aca="false">IF(F349="","",IF(H349="",F349,0))</f>
        <v/>
      </c>
      <c r="S349" s="32" t="str">
        <f aca="false">IF(F349="","",IF(N(O349)=0,"",IF(O349&lt;=30,"1-30",IF(O349&lt;=60,"31-60",IF(O349&lt;=90,"61-90","90+")))))</f>
        <v/>
      </c>
      <c r="T349" s="32" t="str">
        <f aca="false">IF(F349="","",IF(E349="","Diğer",E349))</f>
        <v/>
      </c>
      <c r="U349" s="32" t="str">
        <f aca="false">IF(OR(F349="",C349=""),"",IF(COUNTIF($C$2:C349,C349)=1,MAX($U$1:U348)+1,""))</f>
        <v/>
      </c>
    </row>
    <row r="350" customFormat="false" ht="15" hidden="false" customHeight="false" outlineLevel="0" collapsed="false">
      <c r="A350" s="34"/>
      <c r="B350" s="9"/>
      <c r="C350" s="34"/>
      <c r="D350" s="34"/>
      <c r="E350" s="34"/>
      <c r="F350" s="35"/>
      <c r="G350" s="9"/>
      <c r="H350" s="9"/>
      <c r="I350" s="34"/>
      <c r="J350" s="30" t="str">
        <f aca="false">IF(F350="","",G350-B350)</f>
        <v/>
      </c>
      <c r="K350" s="31" t="str">
        <f aca="false">IF(F350="","",IF(H350&lt;&gt;"",H350,MAX('Vade Sapması'!$D$3,G350)))</f>
        <v/>
      </c>
      <c r="L350" s="30" t="str">
        <f aca="false">IF(F350="","",K350-B350)</f>
        <v/>
      </c>
      <c r="M350" s="30" t="str">
        <f aca="false">IF(F350="","",L350-J350)</f>
        <v/>
      </c>
      <c r="N350" s="32" t="str">
        <f aca="false">IF(F350="","",IF(H350&lt;&gt;"","Kapandı",IF('Vade Sapması'!$D$3&gt;G350,"Açık · vadesi geçti","Açık · vadesi gelmedi")))</f>
        <v/>
      </c>
      <c r="O350" s="30" t="str">
        <f aca="false">IF(F350="","",IF(AND(H350="",'Vade Sapması'!$D$3&gt;G350),'Vade Sapması'!$D$3-G350,0))</f>
        <v/>
      </c>
      <c r="P350" s="33" t="str">
        <f aca="false">IF(F350="","",F350*J350)</f>
        <v/>
      </c>
      <c r="Q350" s="33" t="str">
        <f aca="false">IF(F350="","",F350*L350)</f>
        <v/>
      </c>
      <c r="R350" s="33" t="str">
        <f aca="false">IF(F350="","",IF(H350="",F350,0))</f>
        <v/>
      </c>
      <c r="S350" s="32" t="str">
        <f aca="false">IF(F350="","",IF(N(O350)=0,"",IF(O350&lt;=30,"1-30",IF(O350&lt;=60,"31-60",IF(O350&lt;=90,"61-90","90+")))))</f>
        <v/>
      </c>
      <c r="T350" s="32" t="str">
        <f aca="false">IF(F350="","",IF(E350="","Diğer",E350))</f>
        <v/>
      </c>
      <c r="U350" s="32" t="str">
        <f aca="false">IF(OR(F350="",C350=""),"",IF(COUNTIF($C$2:C350,C350)=1,MAX($U$1:U349)+1,""))</f>
        <v/>
      </c>
    </row>
    <row r="351" customFormat="false" ht="15" hidden="false" customHeight="false" outlineLevel="0" collapsed="false">
      <c r="A351" s="34"/>
      <c r="B351" s="9"/>
      <c r="C351" s="34"/>
      <c r="D351" s="34"/>
      <c r="E351" s="34"/>
      <c r="F351" s="35"/>
      <c r="G351" s="9"/>
      <c r="H351" s="9"/>
      <c r="I351" s="34"/>
      <c r="J351" s="30" t="str">
        <f aca="false">IF(F351="","",G351-B351)</f>
        <v/>
      </c>
      <c r="K351" s="31" t="str">
        <f aca="false">IF(F351="","",IF(H351&lt;&gt;"",H351,MAX('Vade Sapması'!$D$3,G351)))</f>
        <v/>
      </c>
      <c r="L351" s="30" t="str">
        <f aca="false">IF(F351="","",K351-B351)</f>
        <v/>
      </c>
      <c r="M351" s="30" t="str">
        <f aca="false">IF(F351="","",L351-J351)</f>
        <v/>
      </c>
      <c r="N351" s="32" t="str">
        <f aca="false">IF(F351="","",IF(H351&lt;&gt;"","Kapandı",IF('Vade Sapması'!$D$3&gt;G351,"Açık · vadesi geçti","Açık · vadesi gelmedi")))</f>
        <v/>
      </c>
      <c r="O351" s="30" t="str">
        <f aca="false">IF(F351="","",IF(AND(H351="",'Vade Sapması'!$D$3&gt;G351),'Vade Sapması'!$D$3-G351,0))</f>
        <v/>
      </c>
      <c r="P351" s="33" t="str">
        <f aca="false">IF(F351="","",F351*J351)</f>
        <v/>
      </c>
      <c r="Q351" s="33" t="str">
        <f aca="false">IF(F351="","",F351*L351)</f>
        <v/>
      </c>
      <c r="R351" s="33" t="str">
        <f aca="false">IF(F351="","",IF(H351="",F351,0))</f>
        <v/>
      </c>
      <c r="S351" s="32" t="str">
        <f aca="false">IF(F351="","",IF(N(O351)=0,"",IF(O351&lt;=30,"1-30",IF(O351&lt;=60,"31-60",IF(O351&lt;=90,"61-90","90+")))))</f>
        <v/>
      </c>
      <c r="T351" s="32" t="str">
        <f aca="false">IF(F351="","",IF(E351="","Diğer",E351))</f>
        <v/>
      </c>
      <c r="U351" s="32" t="str">
        <f aca="false">IF(OR(F351="",C351=""),"",IF(COUNTIF($C$2:C351,C351)=1,MAX($U$1:U350)+1,""))</f>
        <v/>
      </c>
    </row>
    <row r="352" customFormat="false" ht="15" hidden="false" customHeight="false" outlineLevel="0" collapsed="false">
      <c r="A352" s="34"/>
      <c r="B352" s="9"/>
      <c r="C352" s="34"/>
      <c r="D352" s="34"/>
      <c r="E352" s="34"/>
      <c r="F352" s="35"/>
      <c r="G352" s="9"/>
      <c r="H352" s="9"/>
      <c r="I352" s="34"/>
      <c r="J352" s="30" t="str">
        <f aca="false">IF(F352="","",G352-B352)</f>
        <v/>
      </c>
      <c r="K352" s="31" t="str">
        <f aca="false">IF(F352="","",IF(H352&lt;&gt;"",H352,MAX('Vade Sapması'!$D$3,G352)))</f>
        <v/>
      </c>
      <c r="L352" s="30" t="str">
        <f aca="false">IF(F352="","",K352-B352)</f>
        <v/>
      </c>
      <c r="M352" s="30" t="str">
        <f aca="false">IF(F352="","",L352-J352)</f>
        <v/>
      </c>
      <c r="N352" s="32" t="str">
        <f aca="false">IF(F352="","",IF(H352&lt;&gt;"","Kapandı",IF('Vade Sapması'!$D$3&gt;G352,"Açık · vadesi geçti","Açık · vadesi gelmedi")))</f>
        <v/>
      </c>
      <c r="O352" s="30" t="str">
        <f aca="false">IF(F352="","",IF(AND(H352="",'Vade Sapması'!$D$3&gt;G352),'Vade Sapması'!$D$3-G352,0))</f>
        <v/>
      </c>
      <c r="P352" s="33" t="str">
        <f aca="false">IF(F352="","",F352*J352)</f>
        <v/>
      </c>
      <c r="Q352" s="33" t="str">
        <f aca="false">IF(F352="","",F352*L352)</f>
        <v/>
      </c>
      <c r="R352" s="33" t="str">
        <f aca="false">IF(F352="","",IF(H352="",F352,0))</f>
        <v/>
      </c>
      <c r="S352" s="32" t="str">
        <f aca="false">IF(F352="","",IF(N(O352)=0,"",IF(O352&lt;=30,"1-30",IF(O352&lt;=60,"31-60",IF(O352&lt;=90,"61-90","90+")))))</f>
        <v/>
      </c>
      <c r="T352" s="32" t="str">
        <f aca="false">IF(F352="","",IF(E352="","Diğer",E352))</f>
        <v/>
      </c>
      <c r="U352" s="32" t="str">
        <f aca="false">IF(OR(F352="",C352=""),"",IF(COUNTIF($C$2:C352,C352)=1,MAX($U$1:U351)+1,""))</f>
        <v/>
      </c>
    </row>
    <row r="353" customFormat="false" ht="15" hidden="false" customHeight="false" outlineLevel="0" collapsed="false">
      <c r="A353" s="34"/>
      <c r="B353" s="9"/>
      <c r="C353" s="34"/>
      <c r="D353" s="34"/>
      <c r="E353" s="34"/>
      <c r="F353" s="35"/>
      <c r="G353" s="9"/>
      <c r="H353" s="9"/>
      <c r="I353" s="34"/>
      <c r="J353" s="30" t="str">
        <f aca="false">IF(F353="","",G353-B353)</f>
        <v/>
      </c>
      <c r="K353" s="31" t="str">
        <f aca="false">IF(F353="","",IF(H353&lt;&gt;"",H353,MAX('Vade Sapması'!$D$3,G353)))</f>
        <v/>
      </c>
      <c r="L353" s="30" t="str">
        <f aca="false">IF(F353="","",K353-B353)</f>
        <v/>
      </c>
      <c r="M353" s="30" t="str">
        <f aca="false">IF(F353="","",L353-J353)</f>
        <v/>
      </c>
      <c r="N353" s="32" t="str">
        <f aca="false">IF(F353="","",IF(H353&lt;&gt;"","Kapandı",IF('Vade Sapması'!$D$3&gt;G353,"Açık · vadesi geçti","Açık · vadesi gelmedi")))</f>
        <v/>
      </c>
      <c r="O353" s="30" t="str">
        <f aca="false">IF(F353="","",IF(AND(H353="",'Vade Sapması'!$D$3&gt;G353),'Vade Sapması'!$D$3-G353,0))</f>
        <v/>
      </c>
      <c r="P353" s="33" t="str">
        <f aca="false">IF(F353="","",F353*J353)</f>
        <v/>
      </c>
      <c r="Q353" s="33" t="str">
        <f aca="false">IF(F353="","",F353*L353)</f>
        <v/>
      </c>
      <c r="R353" s="33" t="str">
        <f aca="false">IF(F353="","",IF(H353="",F353,0))</f>
        <v/>
      </c>
      <c r="S353" s="32" t="str">
        <f aca="false">IF(F353="","",IF(N(O353)=0,"",IF(O353&lt;=30,"1-30",IF(O353&lt;=60,"31-60",IF(O353&lt;=90,"61-90","90+")))))</f>
        <v/>
      </c>
      <c r="T353" s="32" t="str">
        <f aca="false">IF(F353="","",IF(E353="","Diğer",E353))</f>
        <v/>
      </c>
      <c r="U353" s="32" t="str">
        <f aca="false">IF(OR(F353="",C353=""),"",IF(COUNTIF($C$2:C353,C353)=1,MAX($U$1:U352)+1,""))</f>
        <v/>
      </c>
    </row>
    <row r="354" customFormat="false" ht="15" hidden="false" customHeight="false" outlineLevel="0" collapsed="false">
      <c r="A354" s="34"/>
      <c r="B354" s="9"/>
      <c r="C354" s="34"/>
      <c r="D354" s="34"/>
      <c r="E354" s="34"/>
      <c r="F354" s="35"/>
      <c r="G354" s="9"/>
      <c r="H354" s="9"/>
      <c r="I354" s="34"/>
      <c r="J354" s="30" t="str">
        <f aca="false">IF(F354="","",G354-B354)</f>
        <v/>
      </c>
      <c r="K354" s="31" t="str">
        <f aca="false">IF(F354="","",IF(H354&lt;&gt;"",H354,MAX('Vade Sapması'!$D$3,G354)))</f>
        <v/>
      </c>
      <c r="L354" s="30" t="str">
        <f aca="false">IF(F354="","",K354-B354)</f>
        <v/>
      </c>
      <c r="M354" s="30" t="str">
        <f aca="false">IF(F354="","",L354-J354)</f>
        <v/>
      </c>
      <c r="N354" s="32" t="str">
        <f aca="false">IF(F354="","",IF(H354&lt;&gt;"","Kapandı",IF('Vade Sapması'!$D$3&gt;G354,"Açık · vadesi geçti","Açık · vadesi gelmedi")))</f>
        <v/>
      </c>
      <c r="O354" s="30" t="str">
        <f aca="false">IF(F354="","",IF(AND(H354="",'Vade Sapması'!$D$3&gt;G354),'Vade Sapması'!$D$3-G354,0))</f>
        <v/>
      </c>
      <c r="P354" s="33" t="str">
        <f aca="false">IF(F354="","",F354*J354)</f>
        <v/>
      </c>
      <c r="Q354" s="33" t="str">
        <f aca="false">IF(F354="","",F354*L354)</f>
        <v/>
      </c>
      <c r="R354" s="33" t="str">
        <f aca="false">IF(F354="","",IF(H354="",F354,0))</f>
        <v/>
      </c>
      <c r="S354" s="32" t="str">
        <f aca="false">IF(F354="","",IF(N(O354)=0,"",IF(O354&lt;=30,"1-30",IF(O354&lt;=60,"31-60",IF(O354&lt;=90,"61-90","90+")))))</f>
        <v/>
      </c>
      <c r="T354" s="32" t="str">
        <f aca="false">IF(F354="","",IF(E354="","Diğer",E354))</f>
        <v/>
      </c>
      <c r="U354" s="32" t="str">
        <f aca="false">IF(OR(F354="",C354=""),"",IF(COUNTIF($C$2:C354,C354)=1,MAX($U$1:U353)+1,""))</f>
        <v/>
      </c>
    </row>
    <row r="355" customFormat="false" ht="15" hidden="false" customHeight="false" outlineLevel="0" collapsed="false">
      <c r="A355" s="34"/>
      <c r="B355" s="9"/>
      <c r="C355" s="34"/>
      <c r="D355" s="34"/>
      <c r="E355" s="34"/>
      <c r="F355" s="35"/>
      <c r="G355" s="9"/>
      <c r="H355" s="9"/>
      <c r="I355" s="34"/>
      <c r="J355" s="30" t="str">
        <f aca="false">IF(F355="","",G355-B355)</f>
        <v/>
      </c>
      <c r="K355" s="31" t="str">
        <f aca="false">IF(F355="","",IF(H355&lt;&gt;"",H355,MAX('Vade Sapması'!$D$3,G355)))</f>
        <v/>
      </c>
      <c r="L355" s="30" t="str">
        <f aca="false">IF(F355="","",K355-B355)</f>
        <v/>
      </c>
      <c r="M355" s="30" t="str">
        <f aca="false">IF(F355="","",L355-J355)</f>
        <v/>
      </c>
      <c r="N355" s="32" t="str">
        <f aca="false">IF(F355="","",IF(H355&lt;&gt;"","Kapandı",IF('Vade Sapması'!$D$3&gt;G355,"Açık · vadesi geçti","Açık · vadesi gelmedi")))</f>
        <v/>
      </c>
      <c r="O355" s="30" t="str">
        <f aca="false">IF(F355="","",IF(AND(H355="",'Vade Sapması'!$D$3&gt;G355),'Vade Sapması'!$D$3-G355,0))</f>
        <v/>
      </c>
      <c r="P355" s="33" t="str">
        <f aca="false">IF(F355="","",F355*J355)</f>
        <v/>
      </c>
      <c r="Q355" s="33" t="str">
        <f aca="false">IF(F355="","",F355*L355)</f>
        <v/>
      </c>
      <c r="R355" s="33" t="str">
        <f aca="false">IF(F355="","",IF(H355="",F355,0))</f>
        <v/>
      </c>
      <c r="S355" s="32" t="str">
        <f aca="false">IF(F355="","",IF(N(O355)=0,"",IF(O355&lt;=30,"1-30",IF(O355&lt;=60,"31-60",IF(O355&lt;=90,"61-90","90+")))))</f>
        <v/>
      </c>
      <c r="T355" s="32" t="str">
        <f aca="false">IF(F355="","",IF(E355="","Diğer",E355))</f>
        <v/>
      </c>
      <c r="U355" s="32" t="str">
        <f aca="false">IF(OR(F355="",C355=""),"",IF(COUNTIF($C$2:C355,C355)=1,MAX($U$1:U354)+1,""))</f>
        <v/>
      </c>
    </row>
    <row r="356" customFormat="false" ht="15" hidden="false" customHeight="false" outlineLevel="0" collapsed="false">
      <c r="A356" s="34"/>
      <c r="B356" s="9"/>
      <c r="C356" s="34"/>
      <c r="D356" s="34"/>
      <c r="E356" s="34"/>
      <c r="F356" s="35"/>
      <c r="G356" s="9"/>
      <c r="H356" s="9"/>
      <c r="I356" s="34"/>
      <c r="J356" s="30" t="str">
        <f aca="false">IF(F356="","",G356-B356)</f>
        <v/>
      </c>
      <c r="K356" s="31" t="str">
        <f aca="false">IF(F356="","",IF(H356&lt;&gt;"",H356,MAX('Vade Sapması'!$D$3,G356)))</f>
        <v/>
      </c>
      <c r="L356" s="30" t="str">
        <f aca="false">IF(F356="","",K356-B356)</f>
        <v/>
      </c>
      <c r="M356" s="30" t="str">
        <f aca="false">IF(F356="","",L356-J356)</f>
        <v/>
      </c>
      <c r="N356" s="32" t="str">
        <f aca="false">IF(F356="","",IF(H356&lt;&gt;"","Kapandı",IF('Vade Sapması'!$D$3&gt;G356,"Açık · vadesi geçti","Açık · vadesi gelmedi")))</f>
        <v/>
      </c>
      <c r="O356" s="30" t="str">
        <f aca="false">IF(F356="","",IF(AND(H356="",'Vade Sapması'!$D$3&gt;G356),'Vade Sapması'!$D$3-G356,0))</f>
        <v/>
      </c>
      <c r="P356" s="33" t="str">
        <f aca="false">IF(F356="","",F356*J356)</f>
        <v/>
      </c>
      <c r="Q356" s="33" t="str">
        <f aca="false">IF(F356="","",F356*L356)</f>
        <v/>
      </c>
      <c r="R356" s="33" t="str">
        <f aca="false">IF(F356="","",IF(H356="",F356,0))</f>
        <v/>
      </c>
      <c r="S356" s="32" t="str">
        <f aca="false">IF(F356="","",IF(N(O356)=0,"",IF(O356&lt;=30,"1-30",IF(O356&lt;=60,"31-60",IF(O356&lt;=90,"61-90","90+")))))</f>
        <v/>
      </c>
      <c r="T356" s="32" t="str">
        <f aca="false">IF(F356="","",IF(E356="","Diğer",E356))</f>
        <v/>
      </c>
      <c r="U356" s="32" t="str">
        <f aca="false">IF(OR(F356="",C356=""),"",IF(COUNTIF($C$2:C356,C356)=1,MAX($U$1:U355)+1,""))</f>
        <v/>
      </c>
    </row>
    <row r="357" customFormat="false" ht="15" hidden="false" customHeight="false" outlineLevel="0" collapsed="false">
      <c r="A357" s="34"/>
      <c r="B357" s="9"/>
      <c r="C357" s="34"/>
      <c r="D357" s="34"/>
      <c r="E357" s="34"/>
      <c r="F357" s="35"/>
      <c r="G357" s="9"/>
      <c r="H357" s="9"/>
      <c r="I357" s="34"/>
      <c r="J357" s="30" t="str">
        <f aca="false">IF(F357="","",G357-B357)</f>
        <v/>
      </c>
      <c r="K357" s="31" t="str">
        <f aca="false">IF(F357="","",IF(H357&lt;&gt;"",H357,MAX('Vade Sapması'!$D$3,G357)))</f>
        <v/>
      </c>
      <c r="L357" s="30" t="str">
        <f aca="false">IF(F357="","",K357-B357)</f>
        <v/>
      </c>
      <c r="M357" s="30" t="str">
        <f aca="false">IF(F357="","",L357-J357)</f>
        <v/>
      </c>
      <c r="N357" s="32" t="str">
        <f aca="false">IF(F357="","",IF(H357&lt;&gt;"","Kapandı",IF('Vade Sapması'!$D$3&gt;G357,"Açık · vadesi geçti","Açık · vadesi gelmedi")))</f>
        <v/>
      </c>
      <c r="O357" s="30" t="str">
        <f aca="false">IF(F357="","",IF(AND(H357="",'Vade Sapması'!$D$3&gt;G357),'Vade Sapması'!$D$3-G357,0))</f>
        <v/>
      </c>
      <c r="P357" s="33" t="str">
        <f aca="false">IF(F357="","",F357*J357)</f>
        <v/>
      </c>
      <c r="Q357" s="33" t="str">
        <f aca="false">IF(F357="","",F357*L357)</f>
        <v/>
      </c>
      <c r="R357" s="33" t="str">
        <f aca="false">IF(F357="","",IF(H357="",F357,0))</f>
        <v/>
      </c>
      <c r="S357" s="32" t="str">
        <f aca="false">IF(F357="","",IF(N(O357)=0,"",IF(O357&lt;=30,"1-30",IF(O357&lt;=60,"31-60",IF(O357&lt;=90,"61-90","90+")))))</f>
        <v/>
      </c>
      <c r="T357" s="32" t="str">
        <f aca="false">IF(F357="","",IF(E357="","Diğer",E357))</f>
        <v/>
      </c>
      <c r="U357" s="32" t="str">
        <f aca="false">IF(OR(F357="",C357=""),"",IF(COUNTIF($C$2:C357,C357)=1,MAX($U$1:U356)+1,""))</f>
        <v/>
      </c>
    </row>
    <row r="358" customFormat="false" ht="15" hidden="false" customHeight="false" outlineLevel="0" collapsed="false">
      <c r="A358" s="34"/>
      <c r="B358" s="9"/>
      <c r="C358" s="34"/>
      <c r="D358" s="34"/>
      <c r="E358" s="34"/>
      <c r="F358" s="35"/>
      <c r="G358" s="9"/>
      <c r="H358" s="9"/>
      <c r="I358" s="34"/>
      <c r="J358" s="30" t="str">
        <f aca="false">IF(F358="","",G358-B358)</f>
        <v/>
      </c>
      <c r="K358" s="31" t="str">
        <f aca="false">IF(F358="","",IF(H358&lt;&gt;"",H358,MAX('Vade Sapması'!$D$3,G358)))</f>
        <v/>
      </c>
      <c r="L358" s="30" t="str">
        <f aca="false">IF(F358="","",K358-B358)</f>
        <v/>
      </c>
      <c r="M358" s="30" t="str">
        <f aca="false">IF(F358="","",L358-J358)</f>
        <v/>
      </c>
      <c r="N358" s="32" t="str">
        <f aca="false">IF(F358="","",IF(H358&lt;&gt;"","Kapandı",IF('Vade Sapması'!$D$3&gt;G358,"Açık · vadesi geçti","Açık · vadesi gelmedi")))</f>
        <v/>
      </c>
      <c r="O358" s="30" t="str">
        <f aca="false">IF(F358="","",IF(AND(H358="",'Vade Sapması'!$D$3&gt;G358),'Vade Sapması'!$D$3-G358,0))</f>
        <v/>
      </c>
      <c r="P358" s="33" t="str">
        <f aca="false">IF(F358="","",F358*J358)</f>
        <v/>
      </c>
      <c r="Q358" s="33" t="str">
        <f aca="false">IF(F358="","",F358*L358)</f>
        <v/>
      </c>
      <c r="R358" s="33" t="str">
        <f aca="false">IF(F358="","",IF(H358="",F358,0))</f>
        <v/>
      </c>
      <c r="S358" s="32" t="str">
        <f aca="false">IF(F358="","",IF(N(O358)=0,"",IF(O358&lt;=30,"1-30",IF(O358&lt;=60,"31-60",IF(O358&lt;=90,"61-90","90+")))))</f>
        <v/>
      </c>
      <c r="T358" s="32" t="str">
        <f aca="false">IF(F358="","",IF(E358="","Diğer",E358))</f>
        <v/>
      </c>
      <c r="U358" s="32" t="str">
        <f aca="false">IF(OR(F358="",C358=""),"",IF(COUNTIF($C$2:C358,C358)=1,MAX($U$1:U357)+1,""))</f>
        <v/>
      </c>
    </row>
    <row r="359" customFormat="false" ht="15" hidden="false" customHeight="false" outlineLevel="0" collapsed="false">
      <c r="A359" s="34"/>
      <c r="B359" s="9"/>
      <c r="C359" s="34"/>
      <c r="D359" s="34"/>
      <c r="E359" s="34"/>
      <c r="F359" s="35"/>
      <c r="G359" s="9"/>
      <c r="H359" s="9"/>
      <c r="I359" s="34"/>
      <c r="J359" s="30" t="str">
        <f aca="false">IF(F359="","",G359-B359)</f>
        <v/>
      </c>
      <c r="K359" s="31" t="str">
        <f aca="false">IF(F359="","",IF(H359&lt;&gt;"",H359,MAX('Vade Sapması'!$D$3,G359)))</f>
        <v/>
      </c>
      <c r="L359" s="30" t="str">
        <f aca="false">IF(F359="","",K359-B359)</f>
        <v/>
      </c>
      <c r="M359" s="30" t="str">
        <f aca="false">IF(F359="","",L359-J359)</f>
        <v/>
      </c>
      <c r="N359" s="32" t="str">
        <f aca="false">IF(F359="","",IF(H359&lt;&gt;"","Kapandı",IF('Vade Sapması'!$D$3&gt;G359,"Açık · vadesi geçti","Açık · vadesi gelmedi")))</f>
        <v/>
      </c>
      <c r="O359" s="30" t="str">
        <f aca="false">IF(F359="","",IF(AND(H359="",'Vade Sapması'!$D$3&gt;G359),'Vade Sapması'!$D$3-G359,0))</f>
        <v/>
      </c>
      <c r="P359" s="33" t="str">
        <f aca="false">IF(F359="","",F359*J359)</f>
        <v/>
      </c>
      <c r="Q359" s="33" t="str">
        <f aca="false">IF(F359="","",F359*L359)</f>
        <v/>
      </c>
      <c r="R359" s="33" t="str">
        <f aca="false">IF(F359="","",IF(H359="",F359,0))</f>
        <v/>
      </c>
      <c r="S359" s="32" t="str">
        <f aca="false">IF(F359="","",IF(N(O359)=0,"",IF(O359&lt;=30,"1-30",IF(O359&lt;=60,"31-60",IF(O359&lt;=90,"61-90","90+")))))</f>
        <v/>
      </c>
      <c r="T359" s="32" t="str">
        <f aca="false">IF(F359="","",IF(E359="","Diğer",E359))</f>
        <v/>
      </c>
      <c r="U359" s="32" t="str">
        <f aca="false">IF(OR(F359="",C359=""),"",IF(COUNTIF($C$2:C359,C359)=1,MAX($U$1:U358)+1,""))</f>
        <v/>
      </c>
    </row>
    <row r="360" customFormat="false" ht="15" hidden="false" customHeight="false" outlineLevel="0" collapsed="false">
      <c r="A360" s="34"/>
      <c r="B360" s="9"/>
      <c r="C360" s="34"/>
      <c r="D360" s="34"/>
      <c r="E360" s="34"/>
      <c r="F360" s="35"/>
      <c r="G360" s="9"/>
      <c r="H360" s="9"/>
      <c r="I360" s="34"/>
      <c r="J360" s="30" t="str">
        <f aca="false">IF(F360="","",G360-B360)</f>
        <v/>
      </c>
      <c r="K360" s="31" t="str">
        <f aca="false">IF(F360="","",IF(H360&lt;&gt;"",H360,MAX('Vade Sapması'!$D$3,G360)))</f>
        <v/>
      </c>
      <c r="L360" s="30" t="str">
        <f aca="false">IF(F360="","",K360-B360)</f>
        <v/>
      </c>
      <c r="M360" s="30" t="str">
        <f aca="false">IF(F360="","",L360-J360)</f>
        <v/>
      </c>
      <c r="N360" s="32" t="str">
        <f aca="false">IF(F360="","",IF(H360&lt;&gt;"","Kapandı",IF('Vade Sapması'!$D$3&gt;G360,"Açık · vadesi geçti","Açık · vadesi gelmedi")))</f>
        <v/>
      </c>
      <c r="O360" s="30" t="str">
        <f aca="false">IF(F360="","",IF(AND(H360="",'Vade Sapması'!$D$3&gt;G360),'Vade Sapması'!$D$3-G360,0))</f>
        <v/>
      </c>
      <c r="P360" s="33" t="str">
        <f aca="false">IF(F360="","",F360*J360)</f>
        <v/>
      </c>
      <c r="Q360" s="33" t="str">
        <f aca="false">IF(F360="","",F360*L360)</f>
        <v/>
      </c>
      <c r="R360" s="33" t="str">
        <f aca="false">IF(F360="","",IF(H360="",F360,0))</f>
        <v/>
      </c>
      <c r="S360" s="32" t="str">
        <f aca="false">IF(F360="","",IF(N(O360)=0,"",IF(O360&lt;=30,"1-30",IF(O360&lt;=60,"31-60",IF(O360&lt;=90,"61-90","90+")))))</f>
        <v/>
      </c>
      <c r="T360" s="32" t="str">
        <f aca="false">IF(F360="","",IF(E360="","Diğer",E360))</f>
        <v/>
      </c>
      <c r="U360" s="32" t="str">
        <f aca="false">IF(OR(F360="",C360=""),"",IF(COUNTIF($C$2:C360,C360)=1,MAX($U$1:U359)+1,""))</f>
        <v/>
      </c>
    </row>
    <row r="361" customFormat="false" ht="15" hidden="false" customHeight="false" outlineLevel="0" collapsed="false">
      <c r="A361" s="34"/>
      <c r="B361" s="9"/>
      <c r="C361" s="34"/>
      <c r="D361" s="34"/>
      <c r="E361" s="34"/>
      <c r="F361" s="35"/>
      <c r="G361" s="9"/>
      <c r="H361" s="9"/>
      <c r="I361" s="34"/>
      <c r="J361" s="30" t="str">
        <f aca="false">IF(F361="","",G361-B361)</f>
        <v/>
      </c>
      <c r="K361" s="31" t="str">
        <f aca="false">IF(F361="","",IF(H361&lt;&gt;"",H361,MAX('Vade Sapması'!$D$3,G361)))</f>
        <v/>
      </c>
      <c r="L361" s="30" t="str">
        <f aca="false">IF(F361="","",K361-B361)</f>
        <v/>
      </c>
      <c r="M361" s="30" t="str">
        <f aca="false">IF(F361="","",L361-J361)</f>
        <v/>
      </c>
      <c r="N361" s="32" t="str">
        <f aca="false">IF(F361="","",IF(H361&lt;&gt;"","Kapandı",IF('Vade Sapması'!$D$3&gt;G361,"Açık · vadesi geçti","Açık · vadesi gelmedi")))</f>
        <v/>
      </c>
      <c r="O361" s="30" t="str">
        <f aca="false">IF(F361="","",IF(AND(H361="",'Vade Sapması'!$D$3&gt;G361),'Vade Sapması'!$D$3-G361,0))</f>
        <v/>
      </c>
      <c r="P361" s="33" t="str">
        <f aca="false">IF(F361="","",F361*J361)</f>
        <v/>
      </c>
      <c r="Q361" s="33" t="str">
        <f aca="false">IF(F361="","",F361*L361)</f>
        <v/>
      </c>
      <c r="R361" s="33" t="str">
        <f aca="false">IF(F361="","",IF(H361="",F361,0))</f>
        <v/>
      </c>
      <c r="S361" s="32" t="str">
        <f aca="false">IF(F361="","",IF(N(O361)=0,"",IF(O361&lt;=30,"1-30",IF(O361&lt;=60,"31-60",IF(O361&lt;=90,"61-90","90+")))))</f>
        <v/>
      </c>
      <c r="T361" s="32" t="str">
        <f aca="false">IF(F361="","",IF(E361="","Diğer",E361))</f>
        <v/>
      </c>
      <c r="U361" s="32" t="str">
        <f aca="false">IF(OR(F361="",C361=""),"",IF(COUNTIF($C$2:C361,C361)=1,MAX($U$1:U360)+1,""))</f>
        <v/>
      </c>
    </row>
    <row r="362" customFormat="false" ht="15" hidden="false" customHeight="false" outlineLevel="0" collapsed="false">
      <c r="A362" s="34"/>
      <c r="B362" s="9"/>
      <c r="C362" s="34"/>
      <c r="D362" s="34"/>
      <c r="E362" s="34"/>
      <c r="F362" s="35"/>
      <c r="G362" s="9"/>
      <c r="H362" s="9"/>
      <c r="I362" s="34"/>
      <c r="J362" s="30" t="str">
        <f aca="false">IF(F362="","",G362-B362)</f>
        <v/>
      </c>
      <c r="K362" s="31" t="str">
        <f aca="false">IF(F362="","",IF(H362&lt;&gt;"",H362,MAX('Vade Sapması'!$D$3,G362)))</f>
        <v/>
      </c>
      <c r="L362" s="30" t="str">
        <f aca="false">IF(F362="","",K362-B362)</f>
        <v/>
      </c>
      <c r="M362" s="30" t="str">
        <f aca="false">IF(F362="","",L362-J362)</f>
        <v/>
      </c>
      <c r="N362" s="32" t="str">
        <f aca="false">IF(F362="","",IF(H362&lt;&gt;"","Kapandı",IF('Vade Sapması'!$D$3&gt;G362,"Açık · vadesi geçti","Açık · vadesi gelmedi")))</f>
        <v/>
      </c>
      <c r="O362" s="30" t="str">
        <f aca="false">IF(F362="","",IF(AND(H362="",'Vade Sapması'!$D$3&gt;G362),'Vade Sapması'!$D$3-G362,0))</f>
        <v/>
      </c>
      <c r="P362" s="33" t="str">
        <f aca="false">IF(F362="","",F362*J362)</f>
        <v/>
      </c>
      <c r="Q362" s="33" t="str">
        <f aca="false">IF(F362="","",F362*L362)</f>
        <v/>
      </c>
      <c r="R362" s="33" t="str">
        <f aca="false">IF(F362="","",IF(H362="",F362,0))</f>
        <v/>
      </c>
      <c r="S362" s="32" t="str">
        <f aca="false">IF(F362="","",IF(N(O362)=0,"",IF(O362&lt;=30,"1-30",IF(O362&lt;=60,"31-60",IF(O362&lt;=90,"61-90","90+")))))</f>
        <v/>
      </c>
      <c r="T362" s="32" t="str">
        <f aca="false">IF(F362="","",IF(E362="","Diğer",E362))</f>
        <v/>
      </c>
      <c r="U362" s="32" t="str">
        <f aca="false">IF(OR(F362="",C362=""),"",IF(COUNTIF($C$2:C362,C362)=1,MAX($U$1:U361)+1,""))</f>
        <v/>
      </c>
    </row>
    <row r="363" customFormat="false" ht="15" hidden="false" customHeight="false" outlineLevel="0" collapsed="false">
      <c r="A363" s="34"/>
      <c r="B363" s="9"/>
      <c r="C363" s="34"/>
      <c r="D363" s="34"/>
      <c r="E363" s="34"/>
      <c r="F363" s="35"/>
      <c r="G363" s="9"/>
      <c r="H363" s="9"/>
      <c r="I363" s="34"/>
      <c r="J363" s="30" t="str">
        <f aca="false">IF(F363="","",G363-B363)</f>
        <v/>
      </c>
      <c r="K363" s="31" t="str">
        <f aca="false">IF(F363="","",IF(H363&lt;&gt;"",H363,MAX('Vade Sapması'!$D$3,G363)))</f>
        <v/>
      </c>
      <c r="L363" s="30" t="str">
        <f aca="false">IF(F363="","",K363-B363)</f>
        <v/>
      </c>
      <c r="M363" s="30" t="str">
        <f aca="false">IF(F363="","",L363-J363)</f>
        <v/>
      </c>
      <c r="N363" s="32" t="str">
        <f aca="false">IF(F363="","",IF(H363&lt;&gt;"","Kapandı",IF('Vade Sapması'!$D$3&gt;G363,"Açık · vadesi geçti","Açık · vadesi gelmedi")))</f>
        <v/>
      </c>
      <c r="O363" s="30" t="str">
        <f aca="false">IF(F363="","",IF(AND(H363="",'Vade Sapması'!$D$3&gt;G363),'Vade Sapması'!$D$3-G363,0))</f>
        <v/>
      </c>
      <c r="P363" s="33" t="str">
        <f aca="false">IF(F363="","",F363*J363)</f>
        <v/>
      </c>
      <c r="Q363" s="33" t="str">
        <f aca="false">IF(F363="","",F363*L363)</f>
        <v/>
      </c>
      <c r="R363" s="33" t="str">
        <f aca="false">IF(F363="","",IF(H363="",F363,0))</f>
        <v/>
      </c>
      <c r="S363" s="32" t="str">
        <f aca="false">IF(F363="","",IF(N(O363)=0,"",IF(O363&lt;=30,"1-30",IF(O363&lt;=60,"31-60",IF(O363&lt;=90,"61-90","90+")))))</f>
        <v/>
      </c>
      <c r="T363" s="32" t="str">
        <f aca="false">IF(F363="","",IF(E363="","Diğer",E363))</f>
        <v/>
      </c>
      <c r="U363" s="32" t="str">
        <f aca="false">IF(OR(F363="",C363=""),"",IF(COUNTIF($C$2:C363,C363)=1,MAX($U$1:U362)+1,""))</f>
        <v/>
      </c>
    </row>
    <row r="364" customFormat="false" ht="15" hidden="false" customHeight="false" outlineLevel="0" collapsed="false">
      <c r="A364" s="34"/>
      <c r="B364" s="9"/>
      <c r="C364" s="34"/>
      <c r="D364" s="34"/>
      <c r="E364" s="34"/>
      <c r="F364" s="35"/>
      <c r="G364" s="9"/>
      <c r="H364" s="9"/>
      <c r="I364" s="34"/>
      <c r="J364" s="30" t="str">
        <f aca="false">IF(F364="","",G364-B364)</f>
        <v/>
      </c>
      <c r="K364" s="31" t="str">
        <f aca="false">IF(F364="","",IF(H364&lt;&gt;"",H364,MAX('Vade Sapması'!$D$3,G364)))</f>
        <v/>
      </c>
      <c r="L364" s="30" t="str">
        <f aca="false">IF(F364="","",K364-B364)</f>
        <v/>
      </c>
      <c r="M364" s="30" t="str">
        <f aca="false">IF(F364="","",L364-J364)</f>
        <v/>
      </c>
      <c r="N364" s="32" t="str">
        <f aca="false">IF(F364="","",IF(H364&lt;&gt;"","Kapandı",IF('Vade Sapması'!$D$3&gt;G364,"Açık · vadesi geçti","Açık · vadesi gelmedi")))</f>
        <v/>
      </c>
      <c r="O364" s="30" t="str">
        <f aca="false">IF(F364="","",IF(AND(H364="",'Vade Sapması'!$D$3&gt;G364),'Vade Sapması'!$D$3-G364,0))</f>
        <v/>
      </c>
      <c r="P364" s="33" t="str">
        <f aca="false">IF(F364="","",F364*J364)</f>
        <v/>
      </c>
      <c r="Q364" s="33" t="str">
        <f aca="false">IF(F364="","",F364*L364)</f>
        <v/>
      </c>
      <c r="R364" s="33" t="str">
        <f aca="false">IF(F364="","",IF(H364="",F364,0))</f>
        <v/>
      </c>
      <c r="S364" s="32" t="str">
        <f aca="false">IF(F364="","",IF(N(O364)=0,"",IF(O364&lt;=30,"1-30",IF(O364&lt;=60,"31-60",IF(O364&lt;=90,"61-90","90+")))))</f>
        <v/>
      </c>
      <c r="T364" s="32" t="str">
        <f aca="false">IF(F364="","",IF(E364="","Diğer",E364))</f>
        <v/>
      </c>
      <c r="U364" s="32" t="str">
        <f aca="false">IF(OR(F364="",C364=""),"",IF(COUNTIF($C$2:C364,C364)=1,MAX($U$1:U363)+1,""))</f>
        <v/>
      </c>
    </row>
    <row r="365" customFormat="false" ht="15" hidden="false" customHeight="false" outlineLevel="0" collapsed="false">
      <c r="A365" s="34"/>
      <c r="B365" s="9"/>
      <c r="C365" s="34"/>
      <c r="D365" s="34"/>
      <c r="E365" s="34"/>
      <c r="F365" s="35"/>
      <c r="G365" s="9"/>
      <c r="H365" s="9"/>
      <c r="I365" s="34"/>
      <c r="J365" s="30" t="str">
        <f aca="false">IF(F365="","",G365-B365)</f>
        <v/>
      </c>
      <c r="K365" s="31" t="str">
        <f aca="false">IF(F365="","",IF(H365&lt;&gt;"",H365,MAX('Vade Sapması'!$D$3,G365)))</f>
        <v/>
      </c>
      <c r="L365" s="30" t="str">
        <f aca="false">IF(F365="","",K365-B365)</f>
        <v/>
      </c>
      <c r="M365" s="30" t="str">
        <f aca="false">IF(F365="","",L365-J365)</f>
        <v/>
      </c>
      <c r="N365" s="32" t="str">
        <f aca="false">IF(F365="","",IF(H365&lt;&gt;"","Kapandı",IF('Vade Sapması'!$D$3&gt;G365,"Açık · vadesi geçti","Açık · vadesi gelmedi")))</f>
        <v/>
      </c>
      <c r="O365" s="30" t="str">
        <f aca="false">IF(F365="","",IF(AND(H365="",'Vade Sapması'!$D$3&gt;G365),'Vade Sapması'!$D$3-G365,0))</f>
        <v/>
      </c>
      <c r="P365" s="33" t="str">
        <f aca="false">IF(F365="","",F365*J365)</f>
        <v/>
      </c>
      <c r="Q365" s="33" t="str">
        <f aca="false">IF(F365="","",F365*L365)</f>
        <v/>
      </c>
      <c r="R365" s="33" t="str">
        <f aca="false">IF(F365="","",IF(H365="",F365,0))</f>
        <v/>
      </c>
      <c r="S365" s="32" t="str">
        <f aca="false">IF(F365="","",IF(N(O365)=0,"",IF(O365&lt;=30,"1-30",IF(O365&lt;=60,"31-60",IF(O365&lt;=90,"61-90","90+")))))</f>
        <v/>
      </c>
      <c r="T365" s="32" t="str">
        <f aca="false">IF(F365="","",IF(E365="","Diğer",E365))</f>
        <v/>
      </c>
      <c r="U365" s="32" t="str">
        <f aca="false">IF(OR(F365="",C365=""),"",IF(COUNTIF($C$2:C365,C365)=1,MAX($U$1:U364)+1,""))</f>
        <v/>
      </c>
    </row>
    <row r="366" customFormat="false" ht="15" hidden="false" customHeight="false" outlineLevel="0" collapsed="false">
      <c r="A366" s="34"/>
      <c r="B366" s="9"/>
      <c r="C366" s="34"/>
      <c r="D366" s="34"/>
      <c r="E366" s="34"/>
      <c r="F366" s="35"/>
      <c r="G366" s="9"/>
      <c r="H366" s="9"/>
      <c r="I366" s="34"/>
      <c r="J366" s="30" t="str">
        <f aca="false">IF(F366="","",G366-B366)</f>
        <v/>
      </c>
      <c r="K366" s="31" t="str">
        <f aca="false">IF(F366="","",IF(H366&lt;&gt;"",H366,MAX('Vade Sapması'!$D$3,G366)))</f>
        <v/>
      </c>
      <c r="L366" s="30" t="str">
        <f aca="false">IF(F366="","",K366-B366)</f>
        <v/>
      </c>
      <c r="M366" s="30" t="str">
        <f aca="false">IF(F366="","",L366-J366)</f>
        <v/>
      </c>
      <c r="N366" s="32" t="str">
        <f aca="false">IF(F366="","",IF(H366&lt;&gt;"","Kapandı",IF('Vade Sapması'!$D$3&gt;G366,"Açık · vadesi geçti","Açık · vadesi gelmedi")))</f>
        <v/>
      </c>
      <c r="O366" s="30" t="str">
        <f aca="false">IF(F366="","",IF(AND(H366="",'Vade Sapması'!$D$3&gt;G366),'Vade Sapması'!$D$3-G366,0))</f>
        <v/>
      </c>
      <c r="P366" s="33" t="str">
        <f aca="false">IF(F366="","",F366*J366)</f>
        <v/>
      </c>
      <c r="Q366" s="33" t="str">
        <f aca="false">IF(F366="","",F366*L366)</f>
        <v/>
      </c>
      <c r="R366" s="33" t="str">
        <f aca="false">IF(F366="","",IF(H366="",F366,0))</f>
        <v/>
      </c>
      <c r="S366" s="32" t="str">
        <f aca="false">IF(F366="","",IF(N(O366)=0,"",IF(O366&lt;=30,"1-30",IF(O366&lt;=60,"31-60",IF(O366&lt;=90,"61-90","90+")))))</f>
        <v/>
      </c>
      <c r="T366" s="32" t="str">
        <f aca="false">IF(F366="","",IF(E366="","Diğer",E366))</f>
        <v/>
      </c>
      <c r="U366" s="32" t="str">
        <f aca="false">IF(OR(F366="",C366=""),"",IF(COUNTIF($C$2:C366,C366)=1,MAX($U$1:U365)+1,""))</f>
        <v/>
      </c>
    </row>
    <row r="367" customFormat="false" ht="15" hidden="false" customHeight="false" outlineLevel="0" collapsed="false">
      <c r="A367" s="34"/>
      <c r="B367" s="9"/>
      <c r="C367" s="34"/>
      <c r="D367" s="34"/>
      <c r="E367" s="34"/>
      <c r="F367" s="35"/>
      <c r="G367" s="9"/>
      <c r="H367" s="9"/>
      <c r="I367" s="34"/>
      <c r="J367" s="30" t="str">
        <f aca="false">IF(F367="","",G367-B367)</f>
        <v/>
      </c>
      <c r="K367" s="31" t="str">
        <f aca="false">IF(F367="","",IF(H367&lt;&gt;"",H367,MAX('Vade Sapması'!$D$3,G367)))</f>
        <v/>
      </c>
      <c r="L367" s="30" t="str">
        <f aca="false">IF(F367="","",K367-B367)</f>
        <v/>
      </c>
      <c r="M367" s="30" t="str">
        <f aca="false">IF(F367="","",L367-J367)</f>
        <v/>
      </c>
      <c r="N367" s="32" t="str">
        <f aca="false">IF(F367="","",IF(H367&lt;&gt;"","Kapandı",IF('Vade Sapması'!$D$3&gt;G367,"Açık · vadesi geçti","Açık · vadesi gelmedi")))</f>
        <v/>
      </c>
      <c r="O367" s="30" t="str">
        <f aca="false">IF(F367="","",IF(AND(H367="",'Vade Sapması'!$D$3&gt;G367),'Vade Sapması'!$D$3-G367,0))</f>
        <v/>
      </c>
      <c r="P367" s="33" t="str">
        <f aca="false">IF(F367="","",F367*J367)</f>
        <v/>
      </c>
      <c r="Q367" s="33" t="str">
        <f aca="false">IF(F367="","",F367*L367)</f>
        <v/>
      </c>
      <c r="R367" s="33" t="str">
        <f aca="false">IF(F367="","",IF(H367="",F367,0))</f>
        <v/>
      </c>
      <c r="S367" s="32" t="str">
        <f aca="false">IF(F367="","",IF(N(O367)=0,"",IF(O367&lt;=30,"1-30",IF(O367&lt;=60,"31-60",IF(O367&lt;=90,"61-90","90+")))))</f>
        <v/>
      </c>
      <c r="T367" s="32" t="str">
        <f aca="false">IF(F367="","",IF(E367="","Diğer",E367))</f>
        <v/>
      </c>
      <c r="U367" s="32" t="str">
        <f aca="false">IF(OR(F367="",C367=""),"",IF(COUNTIF($C$2:C367,C367)=1,MAX($U$1:U366)+1,""))</f>
        <v/>
      </c>
    </row>
    <row r="368" customFormat="false" ht="15" hidden="false" customHeight="false" outlineLevel="0" collapsed="false">
      <c r="A368" s="34"/>
      <c r="B368" s="9"/>
      <c r="C368" s="34"/>
      <c r="D368" s="34"/>
      <c r="E368" s="34"/>
      <c r="F368" s="35"/>
      <c r="G368" s="9"/>
      <c r="H368" s="9"/>
      <c r="I368" s="34"/>
      <c r="J368" s="30" t="str">
        <f aca="false">IF(F368="","",G368-B368)</f>
        <v/>
      </c>
      <c r="K368" s="31" t="str">
        <f aca="false">IF(F368="","",IF(H368&lt;&gt;"",H368,MAX('Vade Sapması'!$D$3,G368)))</f>
        <v/>
      </c>
      <c r="L368" s="30" t="str">
        <f aca="false">IF(F368="","",K368-B368)</f>
        <v/>
      </c>
      <c r="M368" s="30" t="str">
        <f aca="false">IF(F368="","",L368-J368)</f>
        <v/>
      </c>
      <c r="N368" s="32" t="str">
        <f aca="false">IF(F368="","",IF(H368&lt;&gt;"","Kapandı",IF('Vade Sapması'!$D$3&gt;G368,"Açık · vadesi geçti","Açık · vadesi gelmedi")))</f>
        <v/>
      </c>
      <c r="O368" s="30" t="str">
        <f aca="false">IF(F368="","",IF(AND(H368="",'Vade Sapması'!$D$3&gt;G368),'Vade Sapması'!$D$3-G368,0))</f>
        <v/>
      </c>
      <c r="P368" s="33" t="str">
        <f aca="false">IF(F368="","",F368*J368)</f>
        <v/>
      </c>
      <c r="Q368" s="33" t="str">
        <f aca="false">IF(F368="","",F368*L368)</f>
        <v/>
      </c>
      <c r="R368" s="33" t="str">
        <f aca="false">IF(F368="","",IF(H368="",F368,0))</f>
        <v/>
      </c>
      <c r="S368" s="32" t="str">
        <f aca="false">IF(F368="","",IF(N(O368)=0,"",IF(O368&lt;=30,"1-30",IF(O368&lt;=60,"31-60",IF(O368&lt;=90,"61-90","90+")))))</f>
        <v/>
      </c>
      <c r="T368" s="32" t="str">
        <f aca="false">IF(F368="","",IF(E368="","Diğer",E368))</f>
        <v/>
      </c>
      <c r="U368" s="32" t="str">
        <f aca="false">IF(OR(F368="",C368=""),"",IF(COUNTIF($C$2:C368,C368)=1,MAX($U$1:U367)+1,""))</f>
        <v/>
      </c>
    </row>
    <row r="369" customFormat="false" ht="15" hidden="false" customHeight="false" outlineLevel="0" collapsed="false">
      <c r="A369" s="34"/>
      <c r="B369" s="9"/>
      <c r="C369" s="34"/>
      <c r="D369" s="34"/>
      <c r="E369" s="34"/>
      <c r="F369" s="35"/>
      <c r="G369" s="9"/>
      <c r="H369" s="9"/>
      <c r="I369" s="34"/>
      <c r="J369" s="30" t="str">
        <f aca="false">IF(F369="","",G369-B369)</f>
        <v/>
      </c>
      <c r="K369" s="31" t="str">
        <f aca="false">IF(F369="","",IF(H369&lt;&gt;"",H369,MAX('Vade Sapması'!$D$3,G369)))</f>
        <v/>
      </c>
      <c r="L369" s="30" t="str">
        <f aca="false">IF(F369="","",K369-B369)</f>
        <v/>
      </c>
      <c r="M369" s="30" t="str">
        <f aca="false">IF(F369="","",L369-J369)</f>
        <v/>
      </c>
      <c r="N369" s="32" t="str">
        <f aca="false">IF(F369="","",IF(H369&lt;&gt;"","Kapandı",IF('Vade Sapması'!$D$3&gt;G369,"Açık · vadesi geçti","Açık · vadesi gelmedi")))</f>
        <v/>
      </c>
      <c r="O369" s="30" t="str">
        <f aca="false">IF(F369="","",IF(AND(H369="",'Vade Sapması'!$D$3&gt;G369),'Vade Sapması'!$D$3-G369,0))</f>
        <v/>
      </c>
      <c r="P369" s="33" t="str">
        <f aca="false">IF(F369="","",F369*J369)</f>
        <v/>
      </c>
      <c r="Q369" s="33" t="str">
        <f aca="false">IF(F369="","",F369*L369)</f>
        <v/>
      </c>
      <c r="R369" s="33" t="str">
        <f aca="false">IF(F369="","",IF(H369="",F369,0))</f>
        <v/>
      </c>
      <c r="S369" s="32" t="str">
        <f aca="false">IF(F369="","",IF(N(O369)=0,"",IF(O369&lt;=30,"1-30",IF(O369&lt;=60,"31-60",IF(O369&lt;=90,"61-90","90+")))))</f>
        <v/>
      </c>
      <c r="T369" s="32" t="str">
        <f aca="false">IF(F369="","",IF(E369="","Diğer",E369))</f>
        <v/>
      </c>
      <c r="U369" s="32" t="str">
        <f aca="false">IF(OR(F369="",C369=""),"",IF(COUNTIF($C$2:C369,C369)=1,MAX($U$1:U368)+1,""))</f>
        <v/>
      </c>
    </row>
    <row r="370" customFormat="false" ht="15" hidden="false" customHeight="false" outlineLevel="0" collapsed="false">
      <c r="A370" s="34"/>
      <c r="B370" s="9"/>
      <c r="C370" s="34"/>
      <c r="D370" s="34"/>
      <c r="E370" s="34"/>
      <c r="F370" s="35"/>
      <c r="G370" s="9"/>
      <c r="H370" s="9"/>
      <c r="I370" s="34"/>
      <c r="J370" s="30" t="str">
        <f aca="false">IF(F370="","",G370-B370)</f>
        <v/>
      </c>
      <c r="K370" s="31" t="str">
        <f aca="false">IF(F370="","",IF(H370&lt;&gt;"",H370,MAX('Vade Sapması'!$D$3,G370)))</f>
        <v/>
      </c>
      <c r="L370" s="30" t="str">
        <f aca="false">IF(F370="","",K370-B370)</f>
        <v/>
      </c>
      <c r="M370" s="30" t="str">
        <f aca="false">IF(F370="","",L370-J370)</f>
        <v/>
      </c>
      <c r="N370" s="32" t="str">
        <f aca="false">IF(F370="","",IF(H370&lt;&gt;"","Kapandı",IF('Vade Sapması'!$D$3&gt;G370,"Açık · vadesi geçti","Açık · vadesi gelmedi")))</f>
        <v/>
      </c>
      <c r="O370" s="30" t="str">
        <f aca="false">IF(F370="","",IF(AND(H370="",'Vade Sapması'!$D$3&gt;G370),'Vade Sapması'!$D$3-G370,0))</f>
        <v/>
      </c>
      <c r="P370" s="33" t="str">
        <f aca="false">IF(F370="","",F370*J370)</f>
        <v/>
      </c>
      <c r="Q370" s="33" t="str">
        <f aca="false">IF(F370="","",F370*L370)</f>
        <v/>
      </c>
      <c r="R370" s="33" t="str">
        <f aca="false">IF(F370="","",IF(H370="",F370,0))</f>
        <v/>
      </c>
      <c r="S370" s="32" t="str">
        <f aca="false">IF(F370="","",IF(N(O370)=0,"",IF(O370&lt;=30,"1-30",IF(O370&lt;=60,"31-60",IF(O370&lt;=90,"61-90","90+")))))</f>
        <v/>
      </c>
      <c r="T370" s="32" t="str">
        <f aca="false">IF(F370="","",IF(E370="","Diğer",E370))</f>
        <v/>
      </c>
      <c r="U370" s="32" t="str">
        <f aca="false">IF(OR(F370="",C370=""),"",IF(COUNTIF($C$2:C370,C370)=1,MAX($U$1:U369)+1,""))</f>
        <v/>
      </c>
    </row>
    <row r="371" customFormat="false" ht="15" hidden="false" customHeight="false" outlineLevel="0" collapsed="false">
      <c r="A371" s="34"/>
      <c r="B371" s="9"/>
      <c r="C371" s="34"/>
      <c r="D371" s="34"/>
      <c r="E371" s="34"/>
      <c r="F371" s="35"/>
      <c r="G371" s="9"/>
      <c r="H371" s="9"/>
      <c r="I371" s="34"/>
      <c r="J371" s="30" t="str">
        <f aca="false">IF(F371="","",G371-B371)</f>
        <v/>
      </c>
      <c r="K371" s="31" t="str">
        <f aca="false">IF(F371="","",IF(H371&lt;&gt;"",H371,MAX('Vade Sapması'!$D$3,G371)))</f>
        <v/>
      </c>
      <c r="L371" s="30" t="str">
        <f aca="false">IF(F371="","",K371-B371)</f>
        <v/>
      </c>
      <c r="M371" s="30" t="str">
        <f aca="false">IF(F371="","",L371-J371)</f>
        <v/>
      </c>
      <c r="N371" s="32" t="str">
        <f aca="false">IF(F371="","",IF(H371&lt;&gt;"","Kapandı",IF('Vade Sapması'!$D$3&gt;G371,"Açık · vadesi geçti","Açık · vadesi gelmedi")))</f>
        <v/>
      </c>
      <c r="O371" s="30" t="str">
        <f aca="false">IF(F371="","",IF(AND(H371="",'Vade Sapması'!$D$3&gt;G371),'Vade Sapması'!$D$3-G371,0))</f>
        <v/>
      </c>
      <c r="P371" s="33" t="str">
        <f aca="false">IF(F371="","",F371*J371)</f>
        <v/>
      </c>
      <c r="Q371" s="33" t="str">
        <f aca="false">IF(F371="","",F371*L371)</f>
        <v/>
      </c>
      <c r="R371" s="33" t="str">
        <f aca="false">IF(F371="","",IF(H371="",F371,0))</f>
        <v/>
      </c>
      <c r="S371" s="32" t="str">
        <f aca="false">IF(F371="","",IF(N(O371)=0,"",IF(O371&lt;=30,"1-30",IF(O371&lt;=60,"31-60",IF(O371&lt;=90,"61-90","90+")))))</f>
        <v/>
      </c>
      <c r="T371" s="32" t="str">
        <f aca="false">IF(F371="","",IF(E371="","Diğer",E371))</f>
        <v/>
      </c>
      <c r="U371" s="32" t="str">
        <f aca="false">IF(OR(F371="",C371=""),"",IF(COUNTIF($C$2:C371,C371)=1,MAX($U$1:U370)+1,""))</f>
        <v/>
      </c>
    </row>
    <row r="372" customFormat="false" ht="15" hidden="false" customHeight="false" outlineLevel="0" collapsed="false">
      <c r="A372" s="34"/>
      <c r="B372" s="9"/>
      <c r="C372" s="34"/>
      <c r="D372" s="34"/>
      <c r="E372" s="34"/>
      <c r="F372" s="35"/>
      <c r="G372" s="9"/>
      <c r="H372" s="9"/>
      <c r="I372" s="34"/>
      <c r="J372" s="30" t="str">
        <f aca="false">IF(F372="","",G372-B372)</f>
        <v/>
      </c>
      <c r="K372" s="31" t="str">
        <f aca="false">IF(F372="","",IF(H372&lt;&gt;"",H372,MAX('Vade Sapması'!$D$3,G372)))</f>
        <v/>
      </c>
      <c r="L372" s="30" t="str">
        <f aca="false">IF(F372="","",K372-B372)</f>
        <v/>
      </c>
      <c r="M372" s="30" t="str">
        <f aca="false">IF(F372="","",L372-J372)</f>
        <v/>
      </c>
      <c r="N372" s="32" t="str">
        <f aca="false">IF(F372="","",IF(H372&lt;&gt;"","Kapandı",IF('Vade Sapması'!$D$3&gt;G372,"Açık · vadesi geçti","Açık · vadesi gelmedi")))</f>
        <v/>
      </c>
      <c r="O372" s="30" t="str">
        <f aca="false">IF(F372="","",IF(AND(H372="",'Vade Sapması'!$D$3&gt;G372),'Vade Sapması'!$D$3-G372,0))</f>
        <v/>
      </c>
      <c r="P372" s="33" t="str">
        <f aca="false">IF(F372="","",F372*J372)</f>
        <v/>
      </c>
      <c r="Q372" s="33" t="str">
        <f aca="false">IF(F372="","",F372*L372)</f>
        <v/>
      </c>
      <c r="R372" s="33" t="str">
        <f aca="false">IF(F372="","",IF(H372="",F372,0))</f>
        <v/>
      </c>
      <c r="S372" s="32" t="str">
        <f aca="false">IF(F372="","",IF(N(O372)=0,"",IF(O372&lt;=30,"1-30",IF(O372&lt;=60,"31-60",IF(O372&lt;=90,"61-90","90+")))))</f>
        <v/>
      </c>
      <c r="T372" s="32" t="str">
        <f aca="false">IF(F372="","",IF(E372="","Diğer",E372))</f>
        <v/>
      </c>
      <c r="U372" s="32" t="str">
        <f aca="false">IF(OR(F372="",C372=""),"",IF(COUNTIF($C$2:C372,C372)=1,MAX($U$1:U371)+1,""))</f>
        <v/>
      </c>
    </row>
    <row r="373" customFormat="false" ht="15" hidden="false" customHeight="false" outlineLevel="0" collapsed="false">
      <c r="A373" s="34"/>
      <c r="B373" s="9"/>
      <c r="C373" s="34"/>
      <c r="D373" s="34"/>
      <c r="E373" s="34"/>
      <c r="F373" s="35"/>
      <c r="G373" s="9"/>
      <c r="H373" s="9"/>
      <c r="I373" s="34"/>
      <c r="J373" s="30" t="str">
        <f aca="false">IF(F373="","",G373-B373)</f>
        <v/>
      </c>
      <c r="K373" s="31" t="str">
        <f aca="false">IF(F373="","",IF(H373&lt;&gt;"",H373,MAX('Vade Sapması'!$D$3,G373)))</f>
        <v/>
      </c>
      <c r="L373" s="30" t="str">
        <f aca="false">IF(F373="","",K373-B373)</f>
        <v/>
      </c>
      <c r="M373" s="30" t="str">
        <f aca="false">IF(F373="","",L373-J373)</f>
        <v/>
      </c>
      <c r="N373" s="32" t="str">
        <f aca="false">IF(F373="","",IF(H373&lt;&gt;"","Kapandı",IF('Vade Sapması'!$D$3&gt;G373,"Açık · vadesi geçti","Açık · vadesi gelmedi")))</f>
        <v/>
      </c>
      <c r="O373" s="30" t="str">
        <f aca="false">IF(F373="","",IF(AND(H373="",'Vade Sapması'!$D$3&gt;G373),'Vade Sapması'!$D$3-G373,0))</f>
        <v/>
      </c>
      <c r="P373" s="33" t="str">
        <f aca="false">IF(F373="","",F373*J373)</f>
        <v/>
      </c>
      <c r="Q373" s="33" t="str">
        <f aca="false">IF(F373="","",F373*L373)</f>
        <v/>
      </c>
      <c r="R373" s="33" t="str">
        <f aca="false">IF(F373="","",IF(H373="",F373,0))</f>
        <v/>
      </c>
      <c r="S373" s="32" t="str">
        <f aca="false">IF(F373="","",IF(N(O373)=0,"",IF(O373&lt;=30,"1-30",IF(O373&lt;=60,"31-60",IF(O373&lt;=90,"61-90","90+")))))</f>
        <v/>
      </c>
      <c r="T373" s="32" t="str">
        <f aca="false">IF(F373="","",IF(E373="","Diğer",E373))</f>
        <v/>
      </c>
      <c r="U373" s="32" t="str">
        <f aca="false">IF(OR(F373="",C373=""),"",IF(COUNTIF($C$2:C373,C373)=1,MAX($U$1:U372)+1,""))</f>
        <v/>
      </c>
    </row>
    <row r="374" customFormat="false" ht="15" hidden="false" customHeight="false" outlineLevel="0" collapsed="false">
      <c r="A374" s="34"/>
      <c r="B374" s="9"/>
      <c r="C374" s="34"/>
      <c r="D374" s="34"/>
      <c r="E374" s="34"/>
      <c r="F374" s="35"/>
      <c r="G374" s="9"/>
      <c r="H374" s="9"/>
      <c r="I374" s="34"/>
      <c r="J374" s="30" t="str">
        <f aca="false">IF(F374="","",G374-B374)</f>
        <v/>
      </c>
      <c r="K374" s="31" t="str">
        <f aca="false">IF(F374="","",IF(H374&lt;&gt;"",H374,MAX('Vade Sapması'!$D$3,G374)))</f>
        <v/>
      </c>
      <c r="L374" s="30" t="str">
        <f aca="false">IF(F374="","",K374-B374)</f>
        <v/>
      </c>
      <c r="M374" s="30" t="str">
        <f aca="false">IF(F374="","",L374-J374)</f>
        <v/>
      </c>
      <c r="N374" s="32" t="str">
        <f aca="false">IF(F374="","",IF(H374&lt;&gt;"","Kapandı",IF('Vade Sapması'!$D$3&gt;G374,"Açık · vadesi geçti","Açık · vadesi gelmedi")))</f>
        <v/>
      </c>
      <c r="O374" s="30" t="str">
        <f aca="false">IF(F374="","",IF(AND(H374="",'Vade Sapması'!$D$3&gt;G374),'Vade Sapması'!$D$3-G374,0))</f>
        <v/>
      </c>
      <c r="P374" s="33" t="str">
        <f aca="false">IF(F374="","",F374*J374)</f>
        <v/>
      </c>
      <c r="Q374" s="33" t="str">
        <f aca="false">IF(F374="","",F374*L374)</f>
        <v/>
      </c>
      <c r="R374" s="33" t="str">
        <f aca="false">IF(F374="","",IF(H374="",F374,0))</f>
        <v/>
      </c>
      <c r="S374" s="32" t="str">
        <f aca="false">IF(F374="","",IF(N(O374)=0,"",IF(O374&lt;=30,"1-30",IF(O374&lt;=60,"31-60",IF(O374&lt;=90,"61-90","90+")))))</f>
        <v/>
      </c>
      <c r="T374" s="32" t="str">
        <f aca="false">IF(F374="","",IF(E374="","Diğer",E374))</f>
        <v/>
      </c>
      <c r="U374" s="32" t="str">
        <f aca="false">IF(OR(F374="",C374=""),"",IF(COUNTIF($C$2:C374,C374)=1,MAX($U$1:U373)+1,""))</f>
        <v/>
      </c>
    </row>
    <row r="375" customFormat="false" ht="15" hidden="false" customHeight="false" outlineLevel="0" collapsed="false">
      <c r="A375" s="34"/>
      <c r="B375" s="9"/>
      <c r="C375" s="34"/>
      <c r="D375" s="34"/>
      <c r="E375" s="34"/>
      <c r="F375" s="35"/>
      <c r="G375" s="9"/>
      <c r="H375" s="9"/>
      <c r="I375" s="34"/>
      <c r="J375" s="30" t="str">
        <f aca="false">IF(F375="","",G375-B375)</f>
        <v/>
      </c>
      <c r="K375" s="31" t="str">
        <f aca="false">IF(F375="","",IF(H375&lt;&gt;"",H375,MAX('Vade Sapması'!$D$3,G375)))</f>
        <v/>
      </c>
      <c r="L375" s="30" t="str">
        <f aca="false">IF(F375="","",K375-B375)</f>
        <v/>
      </c>
      <c r="M375" s="30" t="str">
        <f aca="false">IF(F375="","",L375-J375)</f>
        <v/>
      </c>
      <c r="N375" s="32" t="str">
        <f aca="false">IF(F375="","",IF(H375&lt;&gt;"","Kapandı",IF('Vade Sapması'!$D$3&gt;G375,"Açık · vadesi geçti","Açık · vadesi gelmedi")))</f>
        <v/>
      </c>
      <c r="O375" s="30" t="str">
        <f aca="false">IF(F375="","",IF(AND(H375="",'Vade Sapması'!$D$3&gt;G375),'Vade Sapması'!$D$3-G375,0))</f>
        <v/>
      </c>
      <c r="P375" s="33" t="str">
        <f aca="false">IF(F375="","",F375*J375)</f>
        <v/>
      </c>
      <c r="Q375" s="33" t="str">
        <f aca="false">IF(F375="","",F375*L375)</f>
        <v/>
      </c>
      <c r="R375" s="33" t="str">
        <f aca="false">IF(F375="","",IF(H375="",F375,0))</f>
        <v/>
      </c>
      <c r="S375" s="32" t="str">
        <f aca="false">IF(F375="","",IF(N(O375)=0,"",IF(O375&lt;=30,"1-30",IF(O375&lt;=60,"31-60",IF(O375&lt;=90,"61-90","90+")))))</f>
        <v/>
      </c>
      <c r="T375" s="32" t="str">
        <f aca="false">IF(F375="","",IF(E375="","Diğer",E375))</f>
        <v/>
      </c>
      <c r="U375" s="32" t="str">
        <f aca="false">IF(OR(F375="",C375=""),"",IF(COUNTIF($C$2:C375,C375)=1,MAX($U$1:U374)+1,""))</f>
        <v/>
      </c>
    </row>
    <row r="376" customFormat="false" ht="15" hidden="false" customHeight="false" outlineLevel="0" collapsed="false">
      <c r="A376" s="34"/>
      <c r="B376" s="9"/>
      <c r="C376" s="34"/>
      <c r="D376" s="34"/>
      <c r="E376" s="34"/>
      <c r="F376" s="35"/>
      <c r="G376" s="9"/>
      <c r="H376" s="9"/>
      <c r="I376" s="34"/>
      <c r="J376" s="30" t="str">
        <f aca="false">IF(F376="","",G376-B376)</f>
        <v/>
      </c>
      <c r="K376" s="31" t="str">
        <f aca="false">IF(F376="","",IF(H376&lt;&gt;"",H376,MAX('Vade Sapması'!$D$3,G376)))</f>
        <v/>
      </c>
      <c r="L376" s="30" t="str">
        <f aca="false">IF(F376="","",K376-B376)</f>
        <v/>
      </c>
      <c r="M376" s="30" t="str">
        <f aca="false">IF(F376="","",L376-J376)</f>
        <v/>
      </c>
      <c r="N376" s="32" t="str">
        <f aca="false">IF(F376="","",IF(H376&lt;&gt;"","Kapandı",IF('Vade Sapması'!$D$3&gt;G376,"Açık · vadesi geçti","Açık · vadesi gelmedi")))</f>
        <v/>
      </c>
      <c r="O376" s="30" t="str">
        <f aca="false">IF(F376="","",IF(AND(H376="",'Vade Sapması'!$D$3&gt;G376),'Vade Sapması'!$D$3-G376,0))</f>
        <v/>
      </c>
      <c r="P376" s="33" t="str">
        <f aca="false">IF(F376="","",F376*J376)</f>
        <v/>
      </c>
      <c r="Q376" s="33" t="str">
        <f aca="false">IF(F376="","",F376*L376)</f>
        <v/>
      </c>
      <c r="R376" s="33" t="str">
        <f aca="false">IF(F376="","",IF(H376="",F376,0))</f>
        <v/>
      </c>
      <c r="S376" s="32" t="str">
        <f aca="false">IF(F376="","",IF(N(O376)=0,"",IF(O376&lt;=30,"1-30",IF(O376&lt;=60,"31-60",IF(O376&lt;=90,"61-90","90+")))))</f>
        <v/>
      </c>
      <c r="T376" s="32" t="str">
        <f aca="false">IF(F376="","",IF(E376="","Diğer",E376))</f>
        <v/>
      </c>
      <c r="U376" s="32" t="str">
        <f aca="false">IF(OR(F376="",C376=""),"",IF(COUNTIF($C$2:C376,C376)=1,MAX($U$1:U375)+1,""))</f>
        <v/>
      </c>
    </row>
    <row r="377" customFormat="false" ht="15" hidden="false" customHeight="false" outlineLevel="0" collapsed="false">
      <c r="A377" s="34"/>
      <c r="B377" s="9"/>
      <c r="C377" s="34"/>
      <c r="D377" s="34"/>
      <c r="E377" s="34"/>
      <c r="F377" s="35"/>
      <c r="G377" s="9"/>
      <c r="H377" s="9"/>
      <c r="I377" s="34"/>
      <c r="J377" s="30" t="str">
        <f aca="false">IF(F377="","",G377-B377)</f>
        <v/>
      </c>
      <c r="K377" s="31" t="str">
        <f aca="false">IF(F377="","",IF(H377&lt;&gt;"",H377,MAX('Vade Sapması'!$D$3,G377)))</f>
        <v/>
      </c>
      <c r="L377" s="30" t="str">
        <f aca="false">IF(F377="","",K377-B377)</f>
        <v/>
      </c>
      <c r="M377" s="30" t="str">
        <f aca="false">IF(F377="","",L377-J377)</f>
        <v/>
      </c>
      <c r="N377" s="32" t="str">
        <f aca="false">IF(F377="","",IF(H377&lt;&gt;"","Kapandı",IF('Vade Sapması'!$D$3&gt;G377,"Açık · vadesi geçti","Açık · vadesi gelmedi")))</f>
        <v/>
      </c>
      <c r="O377" s="30" t="str">
        <f aca="false">IF(F377="","",IF(AND(H377="",'Vade Sapması'!$D$3&gt;G377),'Vade Sapması'!$D$3-G377,0))</f>
        <v/>
      </c>
      <c r="P377" s="33" t="str">
        <f aca="false">IF(F377="","",F377*J377)</f>
        <v/>
      </c>
      <c r="Q377" s="33" t="str">
        <f aca="false">IF(F377="","",F377*L377)</f>
        <v/>
      </c>
      <c r="R377" s="33" t="str">
        <f aca="false">IF(F377="","",IF(H377="",F377,0))</f>
        <v/>
      </c>
      <c r="S377" s="32" t="str">
        <f aca="false">IF(F377="","",IF(N(O377)=0,"",IF(O377&lt;=30,"1-30",IF(O377&lt;=60,"31-60",IF(O377&lt;=90,"61-90","90+")))))</f>
        <v/>
      </c>
      <c r="T377" s="32" t="str">
        <f aca="false">IF(F377="","",IF(E377="","Diğer",E377))</f>
        <v/>
      </c>
      <c r="U377" s="32" t="str">
        <f aca="false">IF(OR(F377="",C377=""),"",IF(COUNTIF($C$2:C377,C377)=1,MAX($U$1:U376)+1,""))</f>
        <v/>
      </c>
    </row>
    <row r="378" customFormat="false" ht="15" hidden="false" customHeight="false" outlineLevel="0" collapsed="false">
      <c r="A378" s="34"/>
      <c r="B378" s="9"/>
      <c r="C378" s="34"/>
      <c r="D378" s="34"/>
      <c r="E378" s="34"/>
      <c r="F378" s="35"/>
      <c r="G378" s="9"/>
      <c r="H378" s="9"/>
      <c r="I378" s="34"/>
      <c r="J378" s="30" t="str">
        <f aca="false">IF(F378="","",G378-B378)</f>
        <v/>
      </c>
      <c r="K378" s="31" t="str">
        <f aca="false">IF(F378="","",IF(H378&lt;&gt;"",H378,MAX('Vade Sapması'!$D$3,G378)))</f>
        <v/>
      </c>
      <c r="L378" s="30" t="str">
        <f aca="false">IF(F378="","",K378-B378)</f>
        <v/>
      </c>
      <c r="M378" s="30" t="str">
        <f aca="false">IF(F378="","",L378-J378)</f>
        <v/>
      </c>
      <c r="N378" s="32" t="str">
        <f aca="false">IF(F378="","",IF(H378&lt;&gt;"","Kapandı",IF('Vade Sapması'!$D$3&gt;G378,"Açık · vadesi geçti","Açık · vadesi gelmedi")))</f>
        <v/>
      </c>
      <c r="O378" s="30" t="str">
        <f aca="false">IF(F378="","",IF(AND(H378="",'Vade Sapması'!$D$3&gt;G378),'Vade Sapması'!$D$3-G378,0))</f>
        <v/>
      </c>
      <c r="P378" s="33" t="str">
        <f aca="false">IF(F378="","",F378*J378)</f>
        <v/>
      </c>
      <c r="Q378" s="33" t="str">
        <f aca="false">IF(F378="","",F378*L378)</f>
        <v/>
      </c>
      <c r="R378" s="33" t="str">
        <f aca="false">IF(F378="","",IF(H378="",F378,0))</f>
        <v/>
      </c>
      <c r="S378" s="32" t="str">
        <f aca="false">IF(F378="","",IF(N(O378)=0,"",IF(O378&lt;=30,"1-30",IF(O378&lt;=60,"31-60",IF(O378&lt;=90,"61-90","90+")))))</f>
        <v/>
      </c>
      <c r="T378" s="32" t="str">
        <f aca="false">IF(F378="","",IF(E378="","Diğer",E378))</f>
        <v/>
      </c>
      <c r="U378" s="32" t="str">
        <f aca="false">IF(OR(F378="",C378=""),"",IF(COUNTIF($C$2:C378,C378)=1,MAX($U$1:U377)+1,""))</f>
        <v/>
      </c>
    </row>
    <row r="379" customFormat="false" ht="15" hidden="false" customHeight="false" outlineLevel="0" collapsed="false">
      <c r="A379" s="34"/>
      <c r="B379" s="9"/>
      <c r="C379" s="34"/>
      <c r="D379" s="34"/>
      <c r="E379" s="34"/>
      <c r="F379" s="35"/>
      <c r="G379" s="9"/>
      <c r="H379" s="9"/>
      <c r="I379" s="34"/>
      <c r="J379" s="30" t="str">
        <f aca="false">IF(F379="","",G379-B379)</f>
        <v/>
      </c>
      <c r="K379" s="31" t="str">
        <f aca="false">IF(F379="","",IF(H379&lt;&gt;"",H379,MAX('Vade Sapması'!$D$3,G379)))</f>
        <v/>
      </c>
      <c r="L379" s="30" t="str">
        <f aca="false">IF(F379="","",K379-B379)</f>
        <v/>
      </c>
      <c r="M379" s="30" t="str">
        <f aca="false">IF(F379="","",L379-J379)</f>
        <v/>
      </c>
      <c r="N379" s="32" t="str">
        <f aca="false">IF(F379="","",IF(H379&lt;&gt;"","Kapandı",IF('Vade Sapması'!$D$3&gt;G379,"Açık · vadesi geçti","Açık · vadesi gelmedi")))</f>
        <v/>
      </c>
      <c r="O379" s="30" t="str">
        <f aca="false">IF(F379="","",IF(AND(H379="",'Vade Sapması'!$D$3&gt;G379),'Vade Sapması'!$D$3-G379,0))</f>
        <v/>
      </c>
      <c r="P379" s="33" t="str">
        <f aca="false">IF(F379="","",F379*J379)</f>
        <v/>
      </c>
      <c r="Q379" s="33" t="str">
        <f aca="false">IF(F379="","",F379*L379)</f>
        <v/>
      </c>
      <c r="R379" s="33" t="str">
        <f aca="false">IF(F379="","",IF(H379="",F379,0))</f>
        <v/>
      </c>
      <c r="S379" s="32" t="str">
        <f aca="false">IF(F379="","",IF(N(O379)=0,"",IF(O379&lt;=30,"1-30",IF(O379&lt;=60,"31-60",IF(O379&lt;=90,"61-90","90+")))))</f>
        <v/>
      </c>
      <c r="T379" s="32" t="str">
        <f aca="false">IF(F379="","",IF(E379="","Diğer",E379))</f>
        <v/>
      </c>
      <c r="U379" s="32" t="str">
        <f aca="false">IF(OR(F379="",C379=""),"",IF(COUNTIF($C$2:C379,C379)=1,MAX($U$1:U378)+1,""))</f>
        <v/>
      </c>
    </row>
    <row r="380" customFormat="false" ht="15" hidden="false" customHeight="false" outlineLevel="0" collapsed="false">
      <c r="A380" s="34"/>
      <c r="B380" s="9"/>
      <c r="C380" s="34"/>
      <c r="D380" s="34"/>
      <c r="E380" s="34"/>
      <c r="F380" s="35"/>
      <c r="G380" s="9"/>
      <c r="H380" s="9"/>
      <c r="I380" s="34"/>
      <c r="J380" s="30" t="str">
        <f aca="false">IF(F380="","",G380-B380)</f>
        <v/>
      </c>
      <c r="K380" s="31" t="str">
        <f aca="false">IF(F380="","",IF(H380&lt;&gt;"",H380,MAX('Vade Sapması'!$D$3,G380)))</f>
        <v/>
      </c>
      <c r="L380" s="30" t="str">
        <f aca="false">IF(F380="","",K380-B380)</f>
        <v/>
      </c>
      <c r="M380" s="30" t="str">
        <f aca="false">IF(F380="","",L380-J380)</f>
        <v/>
      </c>
      <c r="N380" s="32" t="str">
        <f aca="false">IF(F380="","",IF(H380&lt;&gt;"","Kapandı",IF('Vade Sapması'!$D$3&gt;G380,"Açık · vadesi geçti","Açık · vadesi gelmedi")))</f>
        <v/>
      </c>
      <c r="O380" s="30" t="str">
        <f aca="false">IF(F380="","",IF(AND(H380="",'Vade Sapması'!$D$3&gt;G380),'Vade Sapması'!$D$3-G380,0))</f>
        <v/>
      </c>
      <c r="P380" s="33" t="str">
        <f aca="false">IF(F380="","",F380*J380)</f>
        <v/>
      </c>
      <c r="Q380" s="33" t="str">
        <f aca="false">IF(F380="","",F380*L380)</f>
        <v/>
      </c>
      <c r="R380" s="33" t="str">
        <f aca="false">IF(F380="","",IF(H380="",F380,0))</f>
        <v/>
      </c>
      <c r="S380" s="32" t="str">
        <f aca="false">IF(F380="","",IF(N(O380)=0,"",IF(O380&lt;=30,"1-30",IF(O380&lt;=60,"31-60",IF(O380&lt;=90,"61-90","90+")))))</f>
        <v/>
      </c>
      <c r="T380" s="32" t="str">
        <f aca="false">IF(F380="","",IF(E380="","Diğer",E380))</f>
        <v/>
      </c>
      <c r="U380" s="32" t="str">
        <f aca="false">IF(OR(F380="",C380=""),"",IF(COUNTIF($C$2:C380,C380)=1,MAX($U$1:U379)+1,""))</f>
        <v/>
      </c>
    </row>
    <row r="381" customFormat="false" ht="15" hidden="false" customHeight="false" outlineLevel="0" collapsed="false">
      <c r="A381" s="34"/>
      <c r="B381" s="9"/>
      <c r="C381" s="34"/>
      <c r="D381" s="34"/>
      <c r="E381" s="34"/>
      <c r="F381" s="35"/>
      <c r="G381" s="9"/>
      <c r="H381" s="9"/>
      <c r="I381" s="34"/>
      <c r="J381" s="30" t="str">
        <f aca="false">IF(F381="","",G381-B381)</f>
        <v/>
      </c>
      <c r="K381" s="31" t="str">
        <f aca="false">IF(F381="","",IF(H381&lt;&gt;"",H381,MAX('Vade Sapması'!$D$3,G381)))</f>
        <v/>
      </c>
      <c r="L381" s="30" t="str">
        <f aca="false">IF(F381="","",K381-B381)</f>
        <v/>
      </c>
      <c r="M381" s="30" t="str">
        <f aca="false">IF(F381="","",L381-J381)</f>
        <v/>
      </c>
      <c r="N381" s="32" t="str">
        <f aca="false">IF(F381="","",IF(H381&lt;&gt;"","Kapandı",IF('Vade Sapması'!$D$3&gt;G381,"Açık · vadesi geçti","Açık · vadesi gelmedi")))</f>
        <v/>
      </c>
      <c r="O381" s="30" t="str">
        <f aca="false">IF(F381="","",IF(AND(H381="",'Vade Sapması'!$D$3&gt;G381),'Vade Sapması'!$D$3-G381,0))</f>
        <v/>
      </c>
      <c r="P381" s="33" t="str">
        <f aca="false">IF(F381="","",F381*J381)</f>
        <v/>
      </c>
      <c r="Q381" s="33" t="str">
        <f aca="false">IF(F381="","",F381*L381)</f>
        <v/>
      </c>
      <c r="R381" s="33" t="str">
        <f aca="false">IF(F381="","",IF(H381="",F381,0))</f>
        <v/>
      </c>
      <c r="S381" s="32" t="str">
        <f aca="false">IF(F381="","",IF(N(O381)=0,"",IF(O381&lt;=30,"1-30",IF(O381&lt;=60,"31-60",IF(O381&lt;=90,"61-90","90+")))))</f>
        <v/>
      </c>
      <c r="T381" s="32" t="str">
        <f aca="false">IF(F381="","",IF(E381="","Diğer",E381))</f>
        <v/>
      </c>
      <c r="U381" s="32" t="str">
        <f aca="false">IF(OR(F381="",C381=""),"",IF(COUNTIF($C$2:C381,C381)=1,MAX($U$1:U380)+1,""))</f>
        <v/>
      </c>
    </row>
    <row r="382" customFormat="false" ht="15" hidden="false" customHeight="false" outlineLevel="0" collapsed="false">
      <c r="A382" s="34"/>
      <c r="B382" s="9"/>
      <c r="C382" s="34"/>
      <c r="D382" s="34"/>
      <c r="E382" s="34"/>
      <c r="F382" s="35"/>
      <c r="G382" s="9"/>
      <c r="H382" s="9"/>
      <c r="I382" s="34"/>
      <c r="J382" s="30" t="str">
        <f aca="false">IF(F382="","",G382-B382)</f>
        <v/>
      </c>
      <c r="K382" s="31" t="str">
        <f aca="false">IF(F382="","",IF(H382&lt;&gt;"",H382,MAX('Vade Sapması'!$D$3,G382)))</f>
        <v/>
      </c>
      <c r="L382" s="30" t="str">
        <f aca="false">IF(F382="","",K382-B382)</f>
        <v/>
      </c>
      <c r="M382" s="30" t="str">
        <f aca="false">IF(F382="","",L382-J382)</f>
        <v/>
      </c>
      <c r="N382" s="32" t="str">
        <f aca="false">IF(F382="","",IF(H382&lt;&gt;"","Kapandı",IF('Vade Sapması'!$D$3&gt;G382,"Açık · vadesi geçti","Açık · vadesi gelmedi")))</f>
        <v/>
      </c>
      <c r="O382" s="30" t="str">
        <f aca="false">IF(F382="","",IF(AND(H382="",'Vade Sapması'!$D$3&gt;G382),'Vade Sapması'!$D$3-G382,0))</f>
        <v/>
      </c>
      <c r="P382" s="33" t="str">
        <f aca="false">IF(F382="","",F382*J382)</f>
        <v/>
      </c>
      <c r="Q382" s="33" t="str">
        <f aca="false">IF(F382="","",F382*L382)</f>
        <v/>
      </c>
      <c r="R382" s="33" t="str">
        <f aca="false">IF(F382="","",IF(H382="",F382,0))</f>
        <v/>
      </c>
      <c r="S382" s="32" t="str">
        <f aca="false">IF(F382="","",IF(N(O382)=0,"",IF(O382&lt;=30,"1-30",IF(O382&lt;=60,"31-60",IF(O382&lt;=90,"61-90","90+")))))</f>
        <v/>
      </c>
      <c r="T382" s="32" t="str">
        <f aca="false">IF(F382="","",IF(E382="","Diğer",E382))</f>
        <v/>
      </c>
      <c r="U382" s="32" t="str">
        <f aca="false">IF(OR(F382="",C382=""),"",IF(COUNTIF($C$2:C382,C382)=1,MAX($U$1:U381)+1,""))</f>
        <v/>
      </c>
    </row>
    <row r="383" customFormat="false" ht="15" hidden="false" customHeight="false" outlineLevel="0" collapsed="false">
      <c r="A383" s="34"/>
      <c r="B383" s="9"/>
      <c r="C383" s="34"/>
      <c r="D383" s="34"/>
      <c r="E383" s="34"/>
      <c r="F383" s="35"/>
      <c r="G383" s="9"/>
      <c r="H383" s="9"/>
      <c r="I383" s="34"/>
      <c r="J383" s="30" t="str">
        <f aca="false">IF(F383="","",G383-B383)</f>
        <v/>
      </c>
      <c r="K383" s="31" t="str">
        <f aca="false">IF(F383="","",IF(H383&lt;&gt;"",H383,MAX('Vade Sapması'!$D$3,G383)))</f>
        <v/>
      </c>
      <c r="L383" s="30" t="str">
        <f aca="false">IF(F383="","",K383-B383)</f>
        <v/>
      </c>
      <c r="M383" s="30" t="str">
        <f aca="false">IF(F383="","",L383-J383)</f>
        <v/>
      </c>
      <c r="N383" s="32" t="str">
        <f aca="false">IF(F383="","",IF(H383&lt;&gt;"","Kapandı",IF('Vade Sapması'!$D$3&gt;G383,"Açık · vadesi geçti","Açık · vadesi gelmedi")))</f>
        <v/>
      </c>
      <c r="O383" s="30" t="str">
        <f aca="false">IF(F383="","",IF(AND(H383="",'Vade Sapması'!$D$3&gt;G383),'Vade Sapması'!$D$3-G383,0))</f>
        <v/>
      </c>
      <c r="P383" s="33" t="str">
        <f aca="false">IF(F383="","",F383*J383)</f>
        <v/>
      </c>
      <c r="Q383" s="33" t="str">
        <f aca="false">IF(F383="","",F383*L383)</f>
        <v/>
      </c>
      <c r="R383" s="33" t="str">
        <f aca="false">IF(F383="","",IF(H383="",F383,0))</f>
        <v/>
      </c>
      <c r="S383" s="32" t="str">
        <f aca="false">IF(F383="","",IF(N(O383)=0,"",IF(O383&lt;=30,"1-30",IF(O383&lt;=60,"31-60",IF(O383&lt;=90,"61-90","90+")))))</f>
        <v/>
      </c>
      <c r="T383" s="32" t="str">
        <f aca="false">IF(F383="","",IF(E383="","Diğer",E383))</f>
        <v/>
      </c>
      <c r="U383" s="32" t="str">
        <f aca="false">IF(OR(F383="",C383=""),"",IF(COUNTIF($C$2:C383,C383)=1,MAX($U$1:U382)+1,""))</f>
        <v/>
      </c>
    </row>
    <row r="384" customFormat="false" ht="15" hidden="false" customHeight="false" outlineLevel="0" collapsed="false">
      <c r="A384" s="34"/>
      <c r="B384" s="9"/>
      <c r="C384" s="34"/>
      <c r="D384" s="34"/>
      <c r="E384" s="34"/>
      <c r="F384" s="35"/>
      <c r="G384" s="9"/>
      <c r="H384" s="9"/>
      <c r="I384" s="34"/>
      <c r="J384" s="30" t="str">
        <f aca="false">IF(F384="","",G384-B384)</f>
        <v/>
      </c>
      <c r="K384" s="31" t="str">
        <f aca="false">IF(F384="","",IF(H384&lt;&gt;"",H384,MAX('Vade Sapması'!$D$3,G384)))</f>
        <v/>
      </c>
      <c r="L384" s="30" t="str">
        <f aca="false">IF(F384="","",K384-B384)</f>
        <v/>
      </c>
      <c r="M384" s="30" t="str">
        <f aca="false">IF(F384="","",L384-J384)</f>
        <v/>
      </c>
      <c r="N384" s="32" t="str">
        <f aca="false">IF(F384="","",IF(H384&lt;&gt;"","Kapandı",IF('Vade Sapması'!$D$3&gt;G384,"Açık · vadesi geçti","Açık · vadesi gelmedi")))</f>
        <v/>
      </c>
      <c r="O384" s="30" t="str">
        <f aca="false">IF(F384="","",IF(AND(H384="",'Vade Sapması'!$D$3&gt;G384),'Vade Sapması'!$D$3-G384,0))</f>
        <v/>
      </c>
      <c r="P384" s="33" t="str">
        <f aca="false">IF(F384="","",F384*J384)</f>
        <v/>
      </c>
      <c r="Q384" s="33" t="str">
        <f aca="false">IF(F384="","",F384*L384)</f>
        <v/>
      </c>
      <c r="R384" s="33" t="str">
        <f aca="false">IF(F384="","",IF(H384="",F384,0))</f>
        <v/>
      </c>
      <c r="S384" s="32" t="str">
        <f aca="false">IF(F384="","",IF(N(O384)=0,"",IF(O384&lt;=30,"1-30",IF(O384&lt;=60,"31-60",IF(O384&lt;=90,"61-90","90+")))))</f>
        <v/>
      </c>
      <c r="T384" s="32" t="str">
        <f aca="false">IF(F384="","",IF(E384="","Diğer",E384))</f>
        <v/>
      </c>
      <c r="U384" s="32" t="str">
        <f aca="false">IF(OR(F384="",C384=""),"",IF(COUNTIF($C$2:C384,C384)=1,MAX($U$1:U383)+1,""))</f>
        <v/>
      </c>
    </row>
    <row r="385" customFormat="false" ht="15" hidden="false" customHeight="false" outlineLevel="0" collapsed="false">
      <c r="A385" s="34"/>
      <c r="B385" s="9"/>
      <c r="C385" s="34"/>
      <c r="D385" s="34"/>
      <c r="E385" s="34"/>
      <c r="F385" s="35"/>
      <c r="G385" s="9"/>
      <c r="H385" s="9"/>
      <c r="I385" s="34"/>
      <c r="J385" s="30" t="str">
        <f aca="false">IF(F385="","",G385-B385)</f>
        <v/>
      </c>
      <c r="K385" s="31" t="str">
        <f aca="false">IF(F385="","",IF(H385&lt;&gt;"",H385,MAX('Vade Sapması'!$D$3,G385)))</f>
        <v/>
      </c>
      <c r="L385" s="30" t="str">
        <f aca="false">IF(F385="","",K385-B385)</f>
        <v/>
      </c>
      <c r="M385" s="30" t="str">
        <f aca="false">IF(F385="","",L385-J385)</f>
        <v/>
      </c>
      <c r="N385" s="32" t="str">
        <f aca="false">IF(F385="","",IF(H385&lt;&gt;"","Kapandı",IF('Vade Sapması'!$D$3&gt;G385,"Açık · vadesi geçti","Açık · vadesi gelmedi")))</f>
        <v/>
      </c>
      <c r="O385" s="30" t="str">
        <f aca="false">IF(F385="","",IF(AND(H385="",'Vade Sapması'!$D$3&gt;G385),'Vade Sapması'!$D$3-G385,0))</f>
        <v/>
      </c>
      <c r="P385" s="33" t="str">
        <f aca="false">IF(F385="","",F385*J385)</f>
        <v/>
      </c>
      <c r="Q385" s="33" t="str">
        <f aca="false">IF(F385="","",F385*L385)</f>
        <v/>
      </c>
      <c r="R385" s="33" t="str">
        <f aca="false">IF(F385="","",IF(H385="",F385,0))</f>
        <v/>
      </c>
      <c r="S385" s="32" t="str">
        <f aca="false">IF(F385="","",IF(N(O385)=0,"",IF(O385&lt;=30,"1-30",IF(O385&lt;=60,"31-60",IF(O385&lt;=90,"61-90","90+")))))</f>
        <v/>
      </c>
      <c r="T385" s="32" t="str">
        <f aca="false">IF(F385="","",IF(E385="","Diğer",E385))</f>
        <v/>
      </c>
      <c r="U385" s="32" t="str">
        <f aca="false">IF(OR(F385="",C385=""),"",IF(COUNTIF($C$2:C385,C385)=1,MAX($U$1:U384)+1,""))</f>
        <v/>
      </c>
    </row>
    <row r="386" customFormat="false" ht="15" hidden="false" customHeight="false" outlineLevel="0" collapsed="false">
      <c r="A386" s="34"/>
      <c r="B386" s="9"/>
      <c r="C386" s="34"/>
      <c r="D386" s="34"/>
      <c r="E386" s="34"/>
      <c r="F386" s="35"/>
      <c r="G386" s="9"/>
      <c r="H386" s="9"/>
      <c r="I386" s="34"/>
      <c r="J386" s="30" t="str">
        <f aca="false">IF(F386="","",G386-B386)</f>
        <v/>
      </c>
      <c r="K386" s="31" t="str">
        <f aca="false">IF(F386="","",IF(H386&lt;&gt;"",H386,MAX('Vade Sapması'!$D$3,G386)))</f>
        <v/>
      </c>
      <c r="L386" s="30" t="str">
        <f aca="false">IF(F386="","",K386-B386)</f>
        <v/>
      </c>
      <c r="M386" s="30" t="str">
        <f aca="false">IF(F386="","",L386-J386)</f>
        <v/>
      </c>
      <c r="N386" s="32" t="str">
        <f aca="false">IF(F386="","",IF(H386&lt;&gt;"","Kapandı",IF('Vade Sapması'!$D$3&gt;G386,"Açık · vadesi geçti","Açık · vadesi gelmedi")))</f>
        <v/>
      </c>
      <c r="O386" s="30" t="str">
        <f aca="false">IF(F386="","",IF(AND(H386="",'Vade Sapması'!$D$3&gt;G386),'Vade Sapması'!$D$3-G386,0))</f>
        <v/>
      </c>
      <c r="P386" s="33" t="str">
        <f aca="false">IF(F386="","",F386*J386)</f>
        <v/>
      </c>
      <c r="Q386" s="33" t="str">
        <f aca="false">IF(F386="","",F386*L386)</f>
        <v/>
      </c>
      <c r="R386" s="33" t="str">
        <f aca="false">IF(F386="","",IF(H386="",F386,0))</f>
        <v/>
      </c>
      <c r="S386" s="32" t="str">
        <f aca="false">IF(F386="","",IF(N(O386)=0,"",IF(O386&lt;=30,"1-30",IF(O386&lt;=60,"31-60",IF(O386&lt;=90,"61-90","90+")))))</f>
        <v/>
      </c>
      <c r="T386" s="32" t="str">
        <f aca="false">IF(F386="","",IF(E386="","Diğer",E386))</f>
        <v/>
      </c>
      <c r="U386" s="32" t="str">
        <f aca="false">IF(OR(F386="",C386=""),"",IF(COUNTIF($C$2:C386,C386)=1,MAX($U$1:U385)+1,""))</f>
        <v/>
      </c>
    </row>
    <row r="387" customFormat="false" ht="15" hidden="false" customHeight="false" outlineLevel="0" collapsed="false">
      <c r="A387" s="34"/>
      <c r="B387" s="9"/>
      <c r="C387" s="34"/>
      <c r="D387" s="34"/>
      <c r="E387" s="34"/>
      <c r="F387" s="35"/>
      <c r="G387" s="9"/>
      <c r="H387" s="9"/>
      <c r="I387" s="34"/>
      <c r="J387" s="30" t="str">
        <f aca="false">IF(F387="","",G387-B387)</f>
        <v/>
      </c>
      <c r="K387" s="31" t="str">
        <f aca="false">IF(F387="","",IF(H387&lt;&gt;"",H387,MAX('Vade Sapması'!$D$3,G387)))</f>
        <v/>
      </c>
      <c r="L387" s="30" t="str">
        <f aca="false">IF(F387="","",K387-B387)</f>
        <v/>
      </c>
      <c r="M387" s="30" t="str">
        <f aca="false">IF(F387="","",L387-J387)</f>
        <v/>
      </c>
      <c r="N387" s="32" t="str">
        <f aca="false">IF(F387="","",IF(H387&lt;&gt;"","Kapandı",IF('Vade Sapması'!$D$3&gt;G387,"Açık · vadesi geçti","Açık · vadesi gelmedi")))</f>
        <v/>
      </c>
      <c r="O387" s="30" t="str">
        <f aca="false">IF(F387="","",IF(AND(H387="",'Vade Sapması'!$D$3&gt;G387),'Vade Sapması'!$D$3-G387,0))</f>
        <v/>
      </c>
      <c r="P387" s="33" t="str">
        <f aca="false">IF(F387="","",F387*J387)</f>
        <v/>
      </c>
      <c r="Q387" s="33" t="str">
        <f aca="false">IF(F387="","",F387*L387)</f>
        <v/>
      </c>
      <c r="R387" s="33" t="str">
        <f aca="false">IF(F387="","",IF(H387="",F387,0))</f>
        <v/>
      </c>
      <c r="S387" s="32" t="str">
        <f aca="false">IF(F387="","",IF(N(O387)=0,"",IF(O387&lt;=30,"1-30",IF(O387&lt;=60,"31-60",IF(O387&lt;=90,"61-90","90+")))))</f>
        <v/>
      </c>
      <c r="T387" s="32" t="str">
        <f aca="false">IF(F387="","",IF(E387="","Diğer",E387))</f>
        <v/>
      </c>
      <c r="U387" s="32" t="str">
        <f aca="false">IF(OR(F387="",C387=""),"",IF(COUNTIF($C$2:C387,C387)=1,MAX($U$1:U386)+1,""))</f>
        <v/>
      </c>
    </row>
    <row r="388" customFormat="false" ht="15" hidden="false" customHeight="false" outlineLevel="0" collapsed="false">
      <c r="A388" s="34"/>
      <c r="B388" s="9"/>
      <c r="C388" s="34"/>
      <c r="D388" s="34"/>
      <c r="E388" s="34"/>
      <c r="F388" s="35"/>
      <c r="G388" s="9"/>
      <c r="H388" s="9"/>
      <c r="I388" s="34"/>
      <c r="J388" s="30" t="str">
        <f aca="false">IF(F388="","",G388-B388)</f>
        <v/>
      </c>
      <c r="K388" s="31" t="str">
        <f aca="false">IF(F388="","",IF(H388&lt;&gt;"",H388,MAX('Vade Sapması'!$D$3,G388)))</f>
        <v/>
      </c>
      <c r="L388" s="30" t="str">
        <f aca="false">IF(F388="","",K388-B388)</f>
        <v/>
      </c>
      <c r="M388" s="30" t="str">
        <f aca="false">IF(F388="","",L388-J388)</f>
        <v/>
      </c>
      <c r="N388" s="32" t="str">
        <f aca="false">IF(F388="","",IF(H388&lt;&gt;"","Kapandı",IF('Vade Sapması'!$D$3&gt;G388,"Açık · vadesi geçti","Açık · vadesi gelmedi")))</f>
        <v/>
      </c>
      <c r="O388" s="30" t="str">
        <f aca="false">IF(F388="","",IF(AND(H388="",'Vade Sapması'!$D$3&gt;G388),'Vade Sapması'!$D$3-G388,0))</f>
        <v/>
      </c>
      <c r="P388" s="33" t="str">
        <f aca="false">IF(F388="","",F388*J388)</f>
        <v/>
      </c>
      <c r="Q388" s="33" t="str">
        <f aca="false">IF(F388="","",F388*L388)</f>
        <v/>
      </c>
      <c r="R388" s="33" t="str">
        <f aca="false">IF(F388="","",IF(H388="",F388,0))</f>
        <v/>
      </c>
      <c r="S388" s="32" t="str">
        <f aca="false">IF(F388="","",IF(N(O388)=0,"",IF(O388&lt;=30,"1-30",IF(O388&lt;=60,"31-60",IF(O388&lt;=90,"61-90","90+")))))</f>
        <v/>
      </c>
      <c r="T388" s="32" t="str">
        <f aca="false">IF(F388="","",IF(E388="","Diğer",E388))</f>
        <v/>
      </c>
      <c r="U388" s="32" t="str">
        <f aca="false">IF(OR(F388="",C388=""),"",IF(COUNTIF($C$2:C388,C388)=1,MAX($U$1:U387)+1,""))</f>
        <v/>
      </c>
    </row>
    <row r="389" customFormat="false" ht="15" hidden="false" customHeight="false" outlineLevel="0" collapsed="false">
      <c r="A389" s="34"/>
      <c r="B389" s="9"/>
      <c r="C389" s="34"/>
      <c r="D389" s="34"/>
      <c r="E389" s="34"/>
      <c r="F389" s="35"/>
      <c r="G389" s="9"/>
      <c r="H389" s="9"/>
      <c r="I389" s="34"/>
      <c r="J389" s="30" t="str">
        <f aca="false">IF(F389="","",G389-B389)</f>
        <v/>
      </c>
      <c r="K389" s="31" t="str">
        <f aca="false">IF(F389="","",IF(H389&lt;&gt;"",H389,MAX('Vade Sapması'!$D$3,G389)))</f>
        <v/>
      </c>
      <c r="L389" s="30" t="str">
        <f aca="false">IF(F389="","",K389-B389)</f>
        <v/>
      </c>
      <c r="M389" s="30" t="str">
        <f aca="false">IF(F389="","",L389-J389)</f>
        <v/>
      </c>
      <c r="N389" s="32" t="str">
        <f aca="false">IF(F389="","",IF(H389&lt;&gt;"","Kapandı",IF('Vade Sapması'!$D$3&gt;G389,"Açık · vadesi geçti","Açık · vadesi gelmedi")))</f>
        <v/>
      </c>
      <c r="O389" s="30" t="str">
        <f aca="false">IF(F389="","",IF(AND(H389="",'Vade Sapması'!$D$3&gt;G389),'Vade Sapması'!$D$3-G389,0))</f>
        <v/>
      </c>
      <c r="P389" s="33" t="str">
        <f aca="false">IF(F389="","",F389*J389)</f>
        <v/>
      </c>
      <c r="Q389" s="33" t="str">
        <f aca="false">IF(F389="","",F389*L389)</f>
        <v/>
      </c>
      <c r="R389" s="33" t="str">
        <f aca="false">IF(F389="","",IF(H389="",F389,0))</f>
        <v/>
      </c>
      <c r="S389" s="32" t="str">
        <f aca="false">IF(F389="","",IF(N(O389)=0,"",IF(O389&lt;=30,"1-30",IF(O389&lt;=60,"31-60",IF(O389&lt;=90,"61-90","90+")))))</f>
        <v/>
      </c>
      <c r="T389" s="32" t="str">
        <f aca="false">IF(F389="","",IF(E389="","Diğer",E389))</f>
        <v/>
      </c>
      <c r="U389" s="32" t="str">
        <f aca="false">IF(OR(F389="",C389=""),"",IF(COUNTIF($C$2:C389,C389)=1,MAX($U$1:U388)+1,""))</f>
        <v/>
      </c>
    </row>
    <row r="390" customFormat="false" ht="15" hidden="false" customHeight="false" outlineLevel="0" collapsed="false">
      <c r="A390" s="34"/>
      <c r="B390" s="9"/>
      <c r="C390" s="34"/>
      <c r="D390" s="34"/>
      <c r="E390" s="34"/>
      <c r="F390" s="35"/>
      <c r="G390" s="9"/>
      <c r="H390" s="9"/>
      <c r="I390" s="34"/>
      <c r="J390" s="30" t="str">
        <f aca="false">IF(F390="","",G390-B390)</f>
        <v/>
      </c>
      <c r="K390" s="31" t="str">
        <f aca="false">IF(F390="","",IF(H390&lt;&gt;"",H390,MAX('Vade Sapması'!$D$3,G390)))</f>
        <v/>
      </c>
      <c r="L390" s="30" t="str">
        <f aca="false">IF(F390="","",K390-B390)</f>
        <v/>
      </c>
      <c r="M390" s="30" t="str">
        <f aca="false">IF(F390="","",L390-J390)</f>
        <v/>
      </c>
      <c r="N390" s="32" t="str">
        <f aca="false">IF(F390="","",IF(H390&lt;&gt;"","Kapandı",IF('Vade Sapması'!$D$3&gt;G390,"Açık · vadesi geçti","Açık · vadesi gelmedi")))</f>
        <v/>
      </c>
      <c r="O390" s="30" t="str">
        <f aca="false">IF(F390="","",IF(AND(H390="",'Vade Sapması'!$D$3&gt;G390),'Vade Sapması'!$D$3-G390,0))</f>
        <v/>
      </c>
      <c r="P390" s="33" t="str">
        <f aca="false">IF(F390="","",F390*J390)</f>
        <v/>
      </c>
      <c r="Q390" s="33" t="str">
        <f aca="false">IF(F390="","",F390*L390)</f>
        <v/>
      </c>
      <c r="R390" s="33" t="str">
        <f aca="false">IF(F390="","",IF(H390="",F390,0))</f>
        <v/>
      </c>
      <c r="S390" s="32" t="str">
        <f aca="false">IF(F390="","",IF(N(O390)=0,"",IF(O390&lt;=30,"1-30",IF(O390&lt;=60,"31-60",IF(O390&lt;=90,"61-90","90+")))))</f>
        <v/>
      </c>
      <c r="T390" s="32" t="str">
        <f aca="false">IF(F390="","",IF(E390="","Diğer",E390))</f>
        <v/>
      </c>
      <c r="U390" s="32" t="str">
        <f aca="false">IF(OR(F390="",C390=""),"",IF(COUNTIF($C$2:C390,C390)=1,MAX($U$1:U389)+1,""))</f>
        <v/>
      </c>
    </row>
    <row r="391" customFormat="false" ht="15" hidden="false" customHeight="false" outlineLevel="0" collapsed="false">
      <c r="A391" s="34"/>
      <c r="B391" s="9"/>
      <c r="C391" s="34"/>
      <c r="D391" s="34"/>
      <c r="E391" s="34"/>
      <c r="F391" s="35"/>
      <c r="G391" s="9"/>
      <c r="H391" s="9"/>
      <c r="I391" s="34"/>
      <c r="J391" s="30" t="str">
        <f aca="false">IF(F391="","",G391-B391)</f>
        <v/>
      </c>
      <c r="K391" s="31" t="str">
        <f aca="false">IF(F391="","",IF(H391&lt;&gt;"",H391,MAX('Vade Sapması'!$D$3,G391)))</f>
        <v/>
      </c>
      <c r="L391" s="30" t="str">
        <f aca="false">IF(F391="","",K391-B391)</f>
        <v/>
      </c>
      <c r="M391" s="30" t="str">
        <f aca="false">IF(F391="","",L391-J391)</f>
        <v/>
      </c>
      <c r="N391" s="32" t="str">
        <f aca="false">IF(F391="","",IF(H391&lt;&gt;"","Kapandı",IF('Vade Sapması'!$D$3&gt;G391,"Açık · vadesi geçti","Açık · vadesi gelmedi")))</f>
        <v/>
      </c>
      <c r="O391" s="30" t="str">
        <f aca="false">IF(F391="","",IF(AND(H391="",'Vade Sapması'!$D$3&gt;G391),'Vade Sapması'!$D$3-G391,0))</f>
        <v/>
      </c>
      <c r="P391" s="33" t="str">
        <f aca="false">IF(F391="","",F391*J391)</f>
        <v/>
      </c>
      <c r="Q391" s="33" t="str">
        <f aca="false">IF(F391="","",F391*L391)</f>
        <v/>
      </c>
      <c r="R391" s="33" t="str">
        <f aca="false">IF(F391="","",IF(H391="",F391,0))</f>
        <v/>
      </c>
      <c r="S391" s="32" t="str">
        <f aca="false">IF(F391="","",IF(N(O391)=0,"",IF(O391&lt;=30,"1-30",IF(O391&lt;=60,"31-60",IF(O391&lt;=90,"61-90","90+")))))</f>
        <v/>
      </c>
      <c r="T391" s="32" t="str">
        <f aca="false">IF(F391="","",IF(E391="","Diğer",E391))</f>
        <v/>
      </c>
      <c r="U391" s="32" t="str">
        <f aca="false">IF(OR(F391="",C391=""),"",IF(COUNTIF($C$2:C391,C391)=1,MAX($U$1:U390)+1,""))</f>
        <v/>
      </c>
    </row>
    <row r="392" customFormat="false" ht="15" hidden="false" customHeight="false" outlineLevel="0" collapsed="false">
      <c r="A392" s="34"/>
      <c r="B392" s="9"/>
      <c r="C392" s="34"/>
      <c r="D392" s="34"/>
      <c r="E392" s="34"/>
      <c r="F392" s="35"/>
      <c r="G392" s="9"/>
      <c r="H392" s="9"/>
      <c r="I392" s="34"/>
      <c r="J392" s="30" t="str">
        <f aca="false">IF(F392="","",G392-B392)</f>
        <v/>
      </c>
      <c r="K392" s="31" t="str">
        <f aca="false">IF(F392="","",IF(H392&lt;&gt;"",H392,MAX('Vade Sapması'!$D$3,G392)))</f>
        <v/>
      </c>
      <c r="L392" s="30" t="str">
        <f aca="false">IF(F392="","",K392-B392)</f>
        <v/>
      </c>
      <c r="M392" s="30" t="str">
        <f aca="false">IF(F392="","",L392-J392)</f>
        <v/>
      </c>
      <c r="N392" s="32" t="str">
        <f aca="false">IF(F392="","",IF(H392&lt;&gt;"","Kapandı",IF('Vade Sapması'!$D$3&gt;G392,"Açık · vadesi geçti","Açık · vadesi gelmedi")))</f>
        <v/>
      </c>
      <c r="O392" s="30" t="str">
        <f aca="false">IF(F392="","",IF(AND(H392="",'Vade Sapması'!$D$3&gt;G392),'Vade Sapması'!$D$3-G392,0))</f>
        <v/>
      </c>
      <c r="P392" s="33" t="str">
        <f aca="false">IF(F392="","",F392*J392)</f>
        <v/>
      </c>
      <c r="Q392" s="33" t="str">
        <f aca="false">IF(F392="","",F392*L392)</f>
        <v/>
      </c>
      <c r="R392" s="33" t="str">
        <f aca="false">IF(F392="","",IF(H392="",F392,0))</f>
        <v/>
      </c>
      <c r="S392" s="32" t="str">
        <f aca="false">IF(F392="","",IF(N(O392)=0,"",IF(O392&lt;=30,"1-30",IF(O392&lt;=60,"31-60",IF(O392&lt;=90,"61-90","90+")))))</f>
        <v/>
      </c>
      <c r="T392" s="32" t="str">
        <f aca="false">IF(F392="","",IF(E392="","Diğer",E392))</f>
        <v/>
      </c>
      <c r="U392" s="32" t="str">
        <f aca="false">IF(OR(F392="",C392=""),"",IF(COUNTIF($C$2:C392,C392)=1,MAX($U$1:U391)+1,""))</f>
        <v/>
      </c>
    </row>
    <row r="393" customFormat="false" ht="15" hidden="false" customHeight="false" outlineLevel="0" collapsed="false">
      <c r="A393" s="34"/>
      <c r="B393" s="9"/>
      <c r="C393" s="34"/>
      <c r="D393" s="34"/>
      <c r="E393" s="34"/>
      <c r="F393" s="35"/>
      <c r="G393" s="9"/>
      <c r="H393" s="9"/>
      <c r="I393" s="34"/>
      <c r="J393" s="30" t="str">
        <f aca="false">IF(F393="","",G393-B393)</f>
        <v/>
      </c>
      <c r="K393" s="31" t="str">
        <f aca="false">IF(F393="","",IF(H393&lt;&gt;"",H393,MAX('Vade Sapması'!$D$3,G393)))</f>
        <v/>
      </c>
      <c r="L393" s="30" t="str">
        <f aca="false">IF(F393="","",K393-B393)</f>
        <v/>
      </c>
      <c r="M393" s="30" t="str">
        <f aca="false">IF(F393="","",L393-J393)</f>
        <v/>
      </c>
      <c r="N393" s="32" t="str">
        <f aca="false">IF(F393="","",IF(H393&lt;&gt;"","Kapandı",IF('Vade Sapması'!$D$3&gt;G393,"Açık · vadesi geçti","Açık · vadesi gelmedi")))</f>
        <v/>
      </c>
      <c r="O393" s="30" t="str">
        <f aca="false">IF(F393="","",IF(AND(H393="",'Vade Sapması'!$D$3&gt;G393),'Vade Sapması'!$D$3-G393,0))</f>
        <v/>
      </c>
      <c r="P393" s="33" t="str">
        <f aca="false">IF(F393="","",F393*J393)</f>
        <v/>
      </c>
      <c r="Q393" s="33" t="str">
        <f aca="false">IF(F393="","",F393*L393)</f>
        <v/>
      </c>
      <c r="R393" s="33" t="str">
        <f aca="false">IF(F393="","",IF(H393="",F393,0))</f>
        <v/>
      </c>
      <c r="S393" s="32" t="str">
        <f aca="false">IF(F393="","",IF(N(O393)=0,"",IF(O393&lt;=30,"1-30",IF(O393&lt;=60,"31-60",IF(O393&lt;=90,"61-90","90+")))))</f>
        <v/>
      </c>
      <c r="T393" s="32" t="str">
        <f aca="false">IF(F393="","",IF(E393="","Diğer",E393))</f>
        <v/>
      </c>
      <c r="U393" s="32" t="str">
        <f aca="false">IF(OR(F393="",C393=""),"",IF(COUNTIF($C$2:C393,C393)=1,MAX($U$1:U392)+1,""))</f>
        <v/>
      </c>
    </row>
    <row r="394" customFormat="false" ht="15" hidden="false" customHeight="false" outlineLevel="0" collapsed="false">
      <c r="A394" s="34"/>
      <c r="B394" s="9"/>
      <c r="C394" s="34"/>
      <c r="D394" s="34"/>
      <c r="E394" s="34"/>
      <c r="F394" s="35"/>
      <c r="G394" s="9"/>
      <c r="H394" s="9"/>
      <c r="I394" s="34"/>
      <c r="J394" s="30" t="str">
        <f aca="false">IF(F394="","",G394-B394)</f>
        <v/>
      </c>
      <c r="K394" s="31" t="str">
        <f aca="false">IF(F394="","",IF(H394&lt;&gt;"",H394,MAX('Vade Sapması'!$D$3,G394)))</f>
        <v/>
      </c>
      <c r="L394" s="30" t="str">
        <f aca="false">IF(F394="","",K394-B394)</f>
        <v/>
      </c>
      <c r="M394" s="30" t="str">
        <f aca="false">IF(F394="","",L394-J394)</f>
        <v/>
      </c>
      <c r="N394" s="32" t="str">
        <f aca="false">IF(F394="","",IF(H394&lt;&gt;"","Kapandı",IF('Vade Sapması'!$D$3&gt;G394,"Açık · vadesi geçti","Açık · vadesi gelmedi")))</f>
        <v/>
      </c>
      <c r="O394" s="30" t="str">
        <f aca="false">IF(F394="","",IF(AND(H394="",'Vade Sapması'!$D$3&gt;G394),'Vade Sapması'!$D$3-G394,0))</f>
        <v/>
      </c>
      <c r="P394" s="33" t="str">
        <f aca="false">IF(F394="","",F394*J394)</f>
        <v/>
      </c>
      <c r="Q394" s="33" t="str">
        <f aca="false">IF(F394="","",F394*L394)</f>
        <v/>
      </c>
      <c r="R394" s="33" t="str">
        <f aca="false">IF(F394="","",IF(H394="",F394,0))</f>
        <v/>
      </c>
      <c r="S394" s="32" t="str">
        <f aca="false">IF(F394="","",IF(N(O394)=0,"",IF(O394&lt;=30,"1-30",IF(O394&lt;=60,"31-60",IF(O394&lt;=90,"61-90","90+")))))</f>
        <v/>
      </c>
      <c r="T394" s="32" t="str">
        <f aca="false">IF(F394="","",IF(E394="","Diğer",E394))</f>
        <v/>
      </c>
      <c r="U394" s="32" t="str">
        <f aca="false">IF(OR(F394="",C394=""),"",IF(COUNTIF($C$2:C394,C394)=1,MAX($U$1:U393)+1,""))</f>
        <v/>
      </c>
    </row>
    <row r="395" customFormat="false" ht="15" hidden="false" customHeight="false" outlineLevel="0" collapsed="false">
      <c r="A395" s="34"/>
      <c r="B395" s="9"/>
      <c r="C395" s="34"/>
      <c r="D395" s="34"/>
      <c r="E395" s="34"/>
      <c r="F395" s="35"/>
      <c r="G395" s="9"/>
      <c r="H395" s="9"/>
      <c r="I395" s="34"/>
      <c r="J395" s="30" t="str">
        <f aca="false">IF(F395="","",G395-B395)</f>
        <v/>
      </c>
      <c r="K395" s="31" t="str">
        <f aca="false">IF(F395="","",IF(H395&lt;&gt;"",H395,MAX('Vade Sapması'!$D$3,G395)))</f>
        <v/>
      </c>
      <c r="L395" s="30" t="str">
        <f aca="false">IF(F395="","",K395-B395)</f>
        <v/>
      </c>
      <c r="M395" s="30" t="str">
        <f aca="false">IF(F395="","",L395-J395)</f>
        <v/>
      </c>
      <c r="N395" s="32" t="str">
        <f aca="false">IF(F395="","",IF(H395&lt;&gt;"","Kapandı",IF('Vade Sapması'!$D$3&gt;G395,"Açık · vadesi geçti","Açık · vadesi gelmedi")))</f>
        <v/>
      </c>
      <c r="O395" s="30" t="str">
        <f aca="false">IF(F395="","",IF(AND(H395="",'Vade Sapması'!$D$3&gt;G395),'Vade Sapması'!$D$3-G395,0))</f>
        <v/>
      </c>
      <c r="P395" s="33" t="str">
        <f aca="false">IF(F395="","",F395*J395)</f>
        <v/>
      </c>
      <c r="Q395" s="33" t="str">
        <f aca="false">IF(F395="","",F395*L395)</f>
        <v/>
      </c>
      <c r="R395" s="33" t="str">
        <f aca="false">IF(F395="","",IF(H395="",F395,0))</f>
        <v/>
      </c>
      <c r="S395" s="32" t="str">
        <f aca="false">IF(F395="","",IF(N(O395)=0,"",IF(O395&lt;=30,"1-30",IF(O395&lt;=60,"31-60",IF(O395&lt;=90,"61-90","90+")))))</f>
        <v/>
      </c>
      <c r="T395" s="32" t="str">
        <f aca="false">IF(F395="","",IF(E395="","Diğer",E395))</f>
        <v/>
      </c>
      <c r="U395" s="32" t="str">
        <f aca="false">IF(OR(F395="",C395=""),"",IF(COUNTIF($C$2:C395,C395)=1,MAX($U$1:U394)+1,""))</f>
        <v/>
      </c>
    </row>
    <row r="396" customFormat="false" ht="15" hidden="false" customHeight="false" outlineLevel="0" collapsed="false">
      <c r="A396" s="34"/>
      <c r="B396" s="9"/>
      <c r="C396" s="34"/>
      <c r="D396" s="34"/>
      <c r="E396" s="34"/>
      <c r="F396" s="35"/>
      <c r="G396" s="9"/>
      <c r="H396" s="9"/>
      <c r="I396" s="34"/>
      <c r="J396" s="30" t="str">
        <f aca="false">IF(F396="","",G396-B396)</f>
        <v/>
      </c>
      <c r="K396" s="31" t="str">
        <f aca="false">IF(F396="","",IF(H396&lt;&gt;"",H396,MAX('Vade Sapması'!$D$3,G396)))</f>
        <v/>
      </c>
      <c r="L396" s="30" t="str">
        <f aca="false">IF(F396="","",K396-B396)</f>
        <v/>
      </c>
      <c r="M396" s="30" t="str">
        <f aca="false">IF(F396="","",L396-J396)</f>
        <v/>
      </c>
      <c r="N396" s="32" t="str">
        <f aca="false">IF(F396="","",IF(H396&lt;&gt;"","Kapandı",IF('Vade Sapması'!$D$3&gt;G396,"Açık · vadesi geçti","Açık · vadesi gelmedi")))</f>
        <v/>
      </c>
      <c r="O396" s="30" t="str">
        <f aca="false">IF(F396="","",IF(AND(H396="",'Vade Sapması'!$D$3&gt;G396),'Vade Sapması'!$D$3-G396,0))</f>
        <v/>
      </c>
      <c r="P396" s="33" t="str">
        <f aca="false">IF(F396="","",F396*J396)</f>
        <v/>
      </c>
      <c r="Q396" s="33" t="str">
        <f aca="false">IF(F396="","",F396*L396)</f>
        <v/>
      </c>
      <c r="R396" s="33" t="str">
        <f aca="false">IF(F396="","",IF(H396="",F396,0))</f>
        <v/>
      </c>
      <c r="S396" s="32" t="str">
        <f aca="false">IF(F396="","",IF(N(O396)=0,"",IF(O396&lt;=30,"1-30",IF(O396&lt;=60,"31-60",IF(O396&lt;=90,"61-90","90+")))))</f>
        <v/>
      </c>
      <c r="T396" s="32" t="str">
        <f aca="false">IF(F396="","",IF(E396="","Diğer",E396))</f>
        <v/>
      </c>
      <c r="U396" s="32" t="str">
        <f aca="false">IF(OR(F396="",C396=""),"",IF(COUNTIF($C$2:C396,C396)=1,MAX($U$1:U395)+1,""))</f>
        <v/>
      </c>
    </row>
    <row r="397" customFormat="false" ht="15" hidden="false" customHeight="false" outlineLevel="0" collapsed="false">
      <c r="A397" s="34"/>
      <c r="B397" s="9"/>
      <c r="C397" s="34"/>
      <c r="D397" s="34"/>
      <c r="E397" s="34"/>
      <c r="F397" s="35"/>
      <c r="G397" s="9"/>
      <c r="H397" s="9"/>
      <c r="I397" s="34"/>
      <c r="J397" s="30" t="str">
        <f aca="false">IF(F397="","",G397-B397)</f>
        <v/>
      </c>
      <c r="K397" s="31" t="str">
        <f aca="false">IF(F397="","",IF(H397&lt;&gt;"",H397,MAX('Vade Sapması'!$D$3,G397)))</f>
        <v/>
      </c>
      <c r="L397" s="30" t="str">
        <f aca="false">IF(F397="","",K397-B397)</f>
        <v/>
      </c>
      <c r="M397" s="30" t="str">
        <f aca="false">IF(F397="","",L397-J397)</f>
        <v/>
      </c>
      <c r="N397" s="32" t="str">
        <f aca="false">IF(F397="","",IF(H397&lt;&gt;"","Kapandı",IF('Vade Sapması'!$D$3&gt;G397,"Açık · vadesi geçti","Açık · vadesi gelmedi")))</f>
        <v/>
      </c>
      <c r="O397" s="30" t="str">
        <f aca="false">IF(F397="","",IF(AND(H397="",'Vade Sapması'!$D$3&gt;G397),'Vade Sapması'!$D$3-G397,0))</f>
        <v/>
      </c>
      <c r="P397" s="33" t="str">
        <f aca="false">IF(F397="","",F397*J397)</f>
        <v/>
      </c>
      <c r="Q397" s="33" t="str">
        <f aca="false">IF(F397="","",F397*L397)</f>
        <v/>
      </c>
      <c r="R397" s="33" t="str">
        <f aca="false">IF(F397="","",IF(H397="",F397,0))</f>
        <v/>
      </c>
      <c r="S397" s="32" t="str">
        <f aca="false">IF(F397="","",IF(N(O397)=0,"",IF(O397&lt;=30,"1-30",IF(O397&lt;=60,"31-60",IF(O397&lt;=90,"61-90","90+")))))</f>
        <v/>
      </c>
      <c r="T397" s="32" t="str">
        <f aca="false">IF(F397="","",IF(E397="","Diğer",E397))</f>
        <v/>
      </c>
      <c r="U397" s="32" t="str">
        <f aca="false">IF(OR(F397="",C397=""),"",IF(COUNTIF($C$2:C397,C397)=1,MAX($U$1:U396)+1,""))</f>
        <v/>
      </c>
    </row>
    <row r="398" customFormat="false" ht="15" hidden="false" customHeight="false" outlineLevel="0" collapsed="false">
      <c r="A398" s="34"/>
      <c r="B398" s="9"/>
      <c r="C398" s="34"/>
      <c r="D398" s="34"/>
      <c r="E398" s="34"/>
      <c r="F398" s="35"/>
      <c r="G398" s="9"/>
      <c r="H398" s="9"/>
      <c r="I398" s="34"/>
      <c r="J398" s="30" t="str">
        <f aca="false">IF(F398="","",G398-B398)</f>
        <v/>
      </c>
      <c r="K398" s="31" t="str">
        <f aca="false">IF(F398="","",IF(H398&lt;&gt;"",H398,MAX('Vade Sapması'!$D$3,G398)))</f>
        <v/>
      </c>
      <c r="L398" s="30" t="str">
        <f aca="false">IF(F398="","",K398-B398)</f>
        <v/>
      </c>
      <c r="M398" s="30" t="str">
        <f aca="false">IF(F398="","",L398-J398)</f>
        <v/>
      </c>
      <c r="N398" s="32" t="str">
        <f aca="false">IF(F398="","",IF(H398&lt;&gt;"","Kapandı",IF('Vade Sapması'!$D$3&gt;G398,"Açık · vadesi geçti","Açık · vadesi gelmedi")))</f>
        <v/>
      </c>
      <c r="O398" s="30" t="str">
        <f aca="false">IF(F398="","",IF(AND(H398="",'Vade Sapması'!$D$3&gt;G398),'Vade Sapması'!$D$3-G398,0))</f>
        <v/>
      </c>
      <c r="P398" s="33" t="str">
        <f aca="false">IF(F398="","",F398*J398)</f>
        <v/>
      </c>
      <c r="Q398" s="33" t="str">
        <f aca="false">IF(F398="","",F398*L398)</f>
        <v/>
      </c>
      <c r="R398" s="33" t="str">
        <f aca="false">IF(F398="","",IF(H398="",F398,0))</f>
        <v/>
      </c>
      <c r="S398" s="32" t="str">
        <f aca="false">IF(F398="","",IF(N(O398)=0,"",IF(O398&lt;=30,"1-30",IF(O398&lt;=60,"31-60",IF(O398&lt;=90,"61-90","90+")))))</f>
        <v/>
      </c>
      <c r="T398" s="32" t="str">
        <f aca="false">IF(F398="","",IF(E398="","Diğer",E398))</f>
        <v/>
      </c>
      <c r="U398" s="32" t="str">
        <f aca="false">IF(OR(F398="",C398=""),"",IF(COUNTIF($C$2:C398,C398)=1,MAX($U$1:U397)+1,""))</f>
        <v/>
      </c>
    </row>
    <row r="399" customFormat="false" ht="15" hidden="false" customHeight="false" outlineLevel="0" collapsed="false">
      <c r="A399" s="34"/>
      <c r="B399" s="9"/>
      <c r="C399" s="34"/>
      <c r="D399" s="34"/>
      <c r="E399" s="34"/>
      <c r="F399" s="35"/>
      <c r="G399" s="9"/>
      <c r="H399" s="9"/>
      <c r="I399" s="34"/>
      <c r="J399" s="30" t="str">
        <f aca="false">IF(F399="","",G399-B399)</f>
        <v/>
      </c>
      <c r="K399" s="31" t="str">
        <f aca="false">IF(F399="","",IF(H399&lt;&gt;"",H399,MAX('Vade Sapması'!$D$3,G399)))</f>
        <v/>
      </c>
      <c r="L399" s="30" t="str">
        <f aca="false">IF(F399="","",K399-B399)</f>
        <v/>
      </c>
      <c r="M399" s="30" t="str">
        <f aca="false">IF(F399="","",L399-J399)</f>
        <v/>
      </c>
      <c r="N399" s="32" t="str">
        <f aca="false">IF(F399="","",IF(H399&lt;&gt;"","Kapandı",IF('Vade Sapması'!$D$3&gt;G399,"Açık · vadesi geçti","Açık · vadesi gelmedi")))</f>
        <v/>
      </c>
      <c r="O399" s="30" t="str">
        <f aca="false">IF(F399="","",IF(AND(H399="",'Vade Sapması'!$D$3&gt;G399),'Vade Sapması'!$D$3-G399,0))</f>
        <v/>
      </c>
      <c r="P399" s="33" t="str">
        <f aca="false">IF(F399="","",F399*J399)</f>
        <v/>
      </c>
      <c r="Q399" s="33" t="str">
        <f aca="false">IF(F399="","",F399*L399)</f>
        <v/>
      </c>
      <c r="R399" s="33" t="str">
        <f aca="false">IF(F399="","",IF(H399="",F399,0))</f>
        <v/>
      </c>
      <c r="S399" s="32" t="str">
        <f aca="false">IF(F399="","",IF(N(O399)=0,"",IF(O399&lt;=30,"1-30",IF(O399&lt;=60,"31-60",IF(O399&lt;=90,"61-90","90+")))))</f>
        <v/>
      </c>
      <c r="T399" s="32" t="str">
        <f aca="false">IF(F399="","",IF(E399="","Diğer",E399))</f>
        <v/>
      </c>
      <c r="U399" s="32" t="str">
        <f aca="false">IF(OR(F399="",C399=""),"",IF(COUNTIF($C$2:C399,C399)=1,MAX($U$1:U398)+1,""))</f>
        <v/>
      </c>
    </row>
    <row r="400" customFormat="false" ht="15" hidden="false" customHeight="false" outlineLevel="0" collapsed="false">
      <c r="A400" s="34"/>
      <c r="B400" s="9"/>
      <c r="C400" s="34"/>
      <c r="D400" s="34"/>
      <c r="E400" s="34"/>
      <c r="F400" s="35"/>
      <c r="G400" s="9"/>
      <c r="H400" s="9"/>
      <c r="I400" s="34"/>
      <c r="J400" s="30" t="str">
        <f aca="false">IF(F400="","",G400-B400)</f>
        <v/>
      </c>
      <c r="K400" s="31" t="str">
        <f aca="false">IF(F400="","",IF(H400&lt;&gt;"",H400,MAX('Vade Sapması'!$D$3,G400)))</f>
        <v/>
      </c>
      <c r="L400" s="30" t="str">
        <f aca="false">IF(F400="","",K400-B400)</f>
        <v/>
      </c>
      <c r="M400" s="30" t="str">
        <f aca="false">IF(F400="","",L400-J400)</f>
        <v/>
      </c>
      <c r="N400" s="32" t="str">
        <f aca="false">IF(F400="","",IF(H400&lt;&gt;"","Kapandı",IF('Vade Sapması'!$D$3&gt;G400,"Açık · vadesi geçti","Açık · vadesi gelmedi")))</f>
        <v/>
      </c>
      <c r="O400" s="30" t="str">
        <f aca="false">IF(F400="","",IF(AND(H400="",'Vade Sapması'!$D$3&gt;G400),'Vade Sapması'!$D$3-G400,0))</f>
        <v/>
      </c>
      <c r="P400" s="33" t="str">
        <f aca="false">IF(F400="","",F400*J400)</f>
        <v/>
      </c>
      <c r="Q400" s="33" t="str">
        <f aca="false">IF(F400="","",F400*L400)</f>
        <v/>
      </c>
      <c r="R400" s="33" t="str">
        <f aca="false">IF(F400="","",IF(H400="",F400,0))</f>
        <v/>
      </c>
      <c r="S400" s="32" t="str">
        <f aca="false">IF(F400="","",IF(N(O400)=0,"",IF(O400&lt;=30,"1-30",IF(O400&lt;=60,"31-60",IF(O400&lt;=90,"61-90","90+")))))</f>
        <v/>
      </c>
      <c r="T400" s="32" t="str">
        <f aca="false">IF(F400="","",IF(E400="","Diğer",E400))</f>
        <v/>
      </c>
      <c r="U400" s="32" t="str">
        <f aca="false">IF(OR(F400="",C400=""),"",IF(COUNTIF($C$2:C400,C400)=1,MAX($U$1:U399)+1,""))</f>
        <v/>
      </c>
    </row>
    <row r="401" customFormat="false" ht="15" hidden="false" customHeight="false" outlineLevel="0" collapsed="false">
      <c r="A401" s="34"/>
      <c r="B401" s="9"/>
      <c r="C401" s="34"/>
      <c r="D401" s="34"/>
      <c r="E401" s="34"/>
      <c r="F401" s="35"/>
      <c r="G401" s="9"/>
      <c r="H401" s="9"/>
      <c r="I401" s="34"/>
      <c r="J401" s="30" t="str">
        <f aca="false">IF(F401="","",G401-B401)</f>
        <v/>
      </c>
      <c r="K401" s="31" t="str">
        <f aca="false">IF(F401="","",IF(H401&lt;&gt;"",H401,MAX('Vade Sapması'!$D$3,G401)))</f>
        <v/>
      </c>
      <c r="L401" s="30" t="str">
        <f aca="false">IF(F401="","",K401-B401)</f>
        <v/>
      </c>
      <c r="M401" s="30" t="str">
        <f aca="false">IF(F401="","",L401-J401)</f>
        <v/>
      </c>
      <c r="N401" s="32" t="str">
        <f aca="false">IF(F401="","",IF(H401&lt;&gt;"","Kapandı",IF('Vade Sapması'!$D$3&gt;G401,"Açık · vadesi geçti","Açık · vadesi gelmedi")))</f>
        <v/>
      </c>
      <c r="O401" s="30" t="str">
        <f aca="false">IF(F401="","",IF(AND(H401="",'Vade Sapması'!$D$3&gt;G401),'Vade Sapması'!$D$3-G401,0))</f>
        <v/>
      </c>
      <c r="P401" s="33" t="str">
        <f aca="false">IF(F401="","",F401*J401)</f>
        <v/>
      </c>
      <c r="Q401" s="33" t="str">
        <f aca="false">IF(F401="","",F401*L401)</f>
        <v/>
      </c>
      <c r="R401" s="33" t="str">
        <f aca="false">IF(F401="","",IF(H401="",F401,0))</f>
        <v/>
      </c>
      <c r="S401" s="32" t="str">
        <f aca="false">IF(F401="","",IF(N(O401)=0,"",IF(O401&lt;=30,"1-30",IF(O401&lt;=60,"31-60",IF(O401&lt;=90,"61-90","90+")))))</f>
        <v/>
      </c>
      <c r="T401" s="32" t="str">
        <f aca="false">IF(F401="","",IF(E401="","Diğer",E401))</f>
        <v/>
      </c>
      <c r="U401" s="32" t="str">
        <f aca="false">IF(OR(F401="",C401=""),"",IF(COUNTIF($C$2:C401,C401)=1,MAX($U$1:U400)+1,""))</f>
        <v/>
      </c>
    </row>
    <row r="402" customFormat="false" ht="15" hidden="false" customHeight="false" outlineLevel="0" collapsed="false">
      <c r="A402" s="34"/>
      <c r="B402" s="9"/>
      <c r="C402" s="34"/>
      <c r="D402" s="34"/>
      <c r="E402" s="34"/>
      <c r="F402" s="35"/>
      <c r="G402" s="9"/>
      <c r="H402" s="9"/>
      <c r="I402" s="34"/>
      <c r="J402" s="30" t="str">
        <f aca="false">IF(F402="","",G402-B402)</f>
        <v/>
      </c>
      <c r="K402" s="31" t="str">
        <f aca="false">IF(F402="","",IF(H402&lt;&gt;"",H402,MAX('Vade Sapması'!$D$3,G402)))</f>
        <v/>
      </c>
      <c r="L402" s="30" t="str">
        <f aca="false">IF(F402="","",K402-B402)</f>
        <v/>
      </c>
      <c r="M402" s="30" t="str">
        <f aca="false">IF(F402="","",L402-J402)</f>
        <v/>
      </c>
      <c r="N402" s="32" t="str">
        <f aca="false">IF(F402="","",IF(H402&lt;&gt;"","Kapandı",IF('Vade Sapması'!$D$3&gt;G402,"Açık · vadesi geçti","Açık · vadesi gelmedi")))</f>
        <v/>
      </c>
      <c r="O402" s="30" t="str">
        <f aca="false">IF(F402="","",IF(AND(H402="",'Vade Sapması'!$D$3&gt;G402),'Vade Sapması'!$D$3-G402,0))</f>
        <v/>
      </c>
      <c r="P402" s="33" t="str">
        <f aca="false">IF(F402="","",F402*J402)</f>
        <v/>
      </c>
      <c r="Q402" s="33" t="str">
        <f aca="false">IF(F402="","",F402*L402)</f>
        <v/>
      </c>
      <c r="R402" s="33" t="str">
        <f aca="false">IF(F402="","",IF(H402="",F402,0))</f>
        <v/>
      </c>
      <c r="S402" s="32" t="str">
        <f aca="false">IF(F402="","",IF(N(O402)=0,"",IF(O402&lt;=30,"1-30",IF(O402&lt;=60,"31-60",IF(O402&lt;=90,"61-90","90+")))))</f>
        <v/>
      </c>
      <c r="T402" s="32" t="str">
        <f aca="false">IF(F402="","",IF(E402="","Diğer",E402))</f>
        <v/>
      </c>
      <c r="U402" s="32" t="str">
        <f aca="false">IF(OR(F402="",C402=""),"",IF(COUNTIF($C$2:C402,C402)=1,MAX($U$1:U401)+1,""))</f>
        <v/>
      </c>
    </row>
    <row r="403" customFormat="false" ht="15" hidden="false" customHeight="false" outlineLevel="0" collapsed="false">
      <c r="A403" s="34"/>
      <c r="B403" s="9"/>
      <c r="C403" s="34"/>
      <c r="D403" s="34"/>
      <c r="E403" s="34"/>
      <c r="F403" s="35"/>
      <c r="G403" s="9"/>
      <c r="H403" s="9"/>
      <c r="I403" s="34"/>
      <c r="J403" s="30" t="str">
        <f aca="false">IF(F403="","",G403-B403)</f>
        <v/>
      </c>
      <c r="K403" s="31" t="str">
        <f aca="false">IF(F403="","",IF(H403&lt;&gt;"",H403,MAX('Vade Sapması'!$D$3,G403)))</f>
        <v/>
      </c>
      <c r="L403" s="30" t="str">
        <f aca="false">IF(F403="","",K403-B403)</f>
        <v/>
      </c>
      <c r="M403" s="30" t="str">
        <f aca="false">IF(F403="","",L403-J403)</f>
        <v/>
      </c>
      <c r="N403" s="32" t="str">
        <f aca="false">IF(F403="","",IF(H403&lt;&gt;"","Kapandı",IF('Vade Sapması'!$D$3&gt;G403,"Açık · vadesi geçti","Açık · vadesi gelmedi")))</f>
        <v/>
      </c>
      <c r="O403" s="30" t="str">
        <f aca="false">IF(F403="","",IF(AND(H403="",'Vade Sapması'!$D$3&gt;G403),'Vade Sapması'!$D$3-G403,0))</f>
        <v/>
      </c>
      <c r="P403" s="33" t="str">
        <f aca="false">IF(F403="","",F403*J403)</f>
        <v/>
      </c>
      <c r="Q403" s="33" t="str">
        <f aca="false">IF(F403="","",F403*L403)</f>
        <v/>
      </c>
      <c r="R403" s="33" t="str">
        <f aca="false">IF(F403="","",IF(H403="",F403,0))</f>
        <v/>
      </c>
      <c r="S403" s="32" t="str">
        <f aca="false">IF(F403="","",IF(N(O403)=0,"",IF(O403&lt;=30,"1-30",IF(O403&lt;=60,"31-60",IF(O403&lt;=90,"61-90","90+")))))</f>
        <v/>
      </c>
      <c r="T403" s="32" t="str">
        <f aca="false">IF(F403="","",IF(E403="","Diğer",E403))</f>
        <v/>
      </c>
      <c r="U403" s="32" t="str">
        <f aca="false">IF(OR(F403="",C403=""),"",IF(COUNTIF($C$2:C403,C403)=1,MAX($U$1:U402)+1,""))</f>
        <v/>
      </c>
    </row>
    <row r="404" customFormat="false" ht="15" hidden="false" customHeight="false" outlineLevel="0" collapsed="false">
      <c r="A404" s="34"/>
      <c r="B404" s="9"/>
      <c r="C404" s="34"/>
      <c r="D404" s="34"/>
      <c r="E404" s="34"/>
      <c r="F404" s="35"/>
      <c r="G404" s="9"/>
      <c r="H404" s="9"/>
      <c r="I404" s="34"/>
      <c r="J404" s="30" t="str">
        <f aca="false">IF(F404="","",G404-B404)</f>
        <v/>
      </c>
      <c r="K404" s="31" t="str">
        <f aca="false">IF(F404="","",IF(H404&lt;&gt;"",H404,MAX('Vade Sapması'!$D$3,G404)))</f>
        <v/>
      </c>
      <c r="L404" s="30" t="str">
        <f aca="false">IF(F404="","",K404-B404)</f>
        <v/>
      </c>
      <c r="M404" s="30" t="str">
        <f aca="false">IF(F404="","",L404-J404)</f>
        <v/>
      </c>
      <c r="N404" s="32" t="str">
        <f aca="false">IF(F404="","",IF(H404&lt;&gt;"","Kapandı",IF('Vade Sapması'!$D$3&gt;G404,"Açık · vadesi geçti","Açık · vadesi gelmedi")))</f>
        <v/>
      </c>
      <c r="O404" s="30" t="str">
        <f aca="false">IF(F404="","",IF(AND(H404="",'Vade Sapması'!$D$3&gt;G404),'Vade Sapması'!$D$3-G404,0))</f>
        <v/>
      </c>
      <c r="P404" s="33" t="str">
        <f aca="false">IF(F404="","",F404*J404)</f>
        <v/>
      </c>
      <c r="Q404" s="33" t="str">
        <f aca="false">IF(F404="","",F404*L404)</f>
        <v/>
      </c>
      <c r="R404" s="33" t="str">
        <f aca="false">IF(F404="","",IF(H404="",F404,0))</f>
        <v/>
      </c>
      <c r="S404" s="32" t="str">
        <f aca="false">IF(F404="","",IF(N(O404)=0,"",IF(O404&lt;=30,"1-30",IF(O404&lt;=60,"31-60",IF(O404&lt;=90,"61-90","90+")))))</f>
        <v/>
      </c>
      <c r="T404" s="32" t="str">
        <f aca="false">IF(F404="","",IF(E404="","Diğer",E404))</f>
        <v/>
      </c>
      <c r="U404" s="32" t="str">
        <f aca="false">IF(OR(F404="",C404=""),"",IF(COUNTIF($C$2:C404,C404)=1,MAX($U$1:U403)+1,""))</f>
        <v/>
      </c>
    </row>
    <row r="405" customFormat="false" ht="15" hidden="false" customHeight="false" outlineLevel="0" collapsed="false">
      <c r="A405" s="34"/>
      <c r="B405" s="9"/>
      <c r="C405" s="34"/>
      <c r="D405" s="34"/>
      <c r="E405" s="34"/>
      <c r="F405" s="35"/>
      <c r="G405" s="9"/>
      <c r="H405" s="9"/>
      <c r="I405" s="34"/>
      <c r="J405" s="30" t="str">
        <f aca="false">IF(F405="","",G405-B405)</f>
        <v/>
      </c>
      <c r="K405" s="31" t="str">
        <f aca="false">IF(F405="","",IF(H405&lt;&gt;"",H405,MAX('Vade Sapması'!$D$3,G405)))</f>
        <v/>
      </c>
      <c r="L405" s="30" t="str">
        <f aca="false">IF(F405="","",K405-B405)</f>
        <v/>
      </c>
      <c r="M405" s="30" t="str">
        <f aca="false">IF(F405="","",L405-J405)</f>
        <v/>
      </c>
      <c r="N405" s="32" t="str">
        <f aca="false">IF(F405="","",IF(H405&lt;&gt;"","Kapandı",IF('Vade Sapması'!$D$3&gt;G405,"Açık · vadesi geçti","Açık · vadesi gelmedi")))</f>
        <v/>
      </c>
      <c r="O405" s="30" t="str">
        <f aca="false">IF(F405="","",IF(AND(H405="",'Vade Sapması'!$D$3&gt;G405),'Vade Sapması'!$D$3-G405,0))</f>
        <v/>
      </c>
      <c r="P405" s="33" t="str">
        <f aca="false">IF(F405="","",F405*J405)</f>
        <v/>
      </c>
      <c r="Q405" s="33" t="str">
        <f aca="false">IF(F405="","",F405*L405)</f>
        <v/>
      </c>
      <c r="R405" s="33" t="str">
        <f aca="false">IF(F405="","",IF(H405="",F405,0))</f>
        <v/>
      </c>
      <c r="S405" s="32" t="str">
        <f aca="false">IF(F405="","",IF(N(O405)=0,"",IF(O405&lt;=30,"1-30",IF(O405&lt;=60,"31-60",IF(O405&lt;=90,"61-90","90+")))))</f>
        <v/>
      </c>
      <c r="T405" s="32" t="str">
        <f aca="false">IF(F405="","",IF(E405="","Diğer",E405))</f>
        <v/>
      </c>
      <c r="U405" s="32" t="str">
        <f aca="false">IF(OR(F405="",C405=""),"",IF(COUNTIF($C$2:C405,C405)=1,MAX($U$1:U404)+1,""))</f>
        <v/>
      </c>
    </row>
    <row r="406" customFormat="false" ht="15" hidden="false" customHeight="false" outlineLevel="0" collapsed="false">
      <c r="A406" s="34"/>
      <c r="B406" s="9"/>
      <c r="C406" s="34"/>
      <c r="D406" s="34"/>
      <c r="E406" s="34"/>
      <c r="F406" s="35"/>
      <c r="G406" s="9"/>
      <c r="H406" s="9"/>
      <c r="I406" s="34"/>
      <c r="J406" s="30" t="str">
        <f aca="false">IF(F406="","",G406-B406)</f>
        <v/>
      </c>
      <c r="K406" s="31" t="str">
        <f aca="false">IF(F406="","",IF(H406&lt;&gt;"",H406,MAX('Vade Sapması'!$D$3,G406)))</f>
        <v/>
      </c>
      <c r="L406" s="30" t="str">
        <f aca="false">IF(F406="","",K406-B406)</f>
        <v/>
      </c>
      <c r="M406" s="30" t="str">
        <f aca="false">IF(F406="","",L406-J406)</f>
        <v/>
      </c>
      <c r="N406" s="32" t="str">
        <f aca="false">IF(F406="","",IF(H406&lt;&gt;"","Kapandı",IF('Vade Sapması'!$D$3&gt;G406,"Açık · vadesi geçti","Açık · vadesi gelmedi")))</f>
        <v/>
      </c>
      <c r="O406" s="30" t="str">
        <f aca="false">IF(F406="","",IF(AND(H406="",'Vade Sapması'!$D$3&gt;G406),'Vade Sapması'!$D$3-G406,0))</f>
        <v/>
      </c>
      <c r="P406" s="33" t="str">
        <f aca="false">IF(F406="","",F406*J406)</f>
        <v/>
      </c>
      <c r="Q406" s="33" t="str">
        <f aca="false">IF(F406="","",F406*L406)</f>
        <v/>
      </c>
      <c r="R406" s="33" t="str">
        <f aca="false">IF(F406="","",IF(H406="",F406,0))</f>
        <v/>
      </c>
      <c r="S406" s="32" t="str">
        <f aca="false">IF(F406="","",IF(N(O406)=0,"",IF(O406&lt;=30,"1-30",IF(O406&lt;=60,"31-60",IF(O406&lt;=90,"61-90","90+")))))</f>
        <v/>
      </c>
      <c r="T406" s="32" t="str">
        <f aca="false">IF(F406="","",IF(E406="","Diğer",E406))</f>
        <v/>
      </c>
      <c r="U406" s="32" t="str">
        <f aca="false">IF(OR(F406="",C406=""),"",IF(COUNTIF($C$2:C406,C406)=1,MAX($U$1:U405)+1,""))</f>
        <v/>
      </c>
    </row>
    <row r="407" customFormat="false" ht="15" hidden="false" customHeight="false" outlineLevel="0" collapsed="false">
      <c r="A407" s="34"/>
      <c r="B407" s="9"/>
      <c r="C407" s="34"/>
      <c r="D407" s="34"/>
      <c r="E407" s="34"/>
      <c r="F407" s="35"/>
      <c r="G407" s="9"/>
      <c r="H407" s="9"/>
      <c r="I407" s="34"/>
      <c r="J407" s="30" t="str">
        <f aca="false">IF(F407="","",G407-B407)</f>
        <v/>
      </c>
      <c r="K407" s="31" t="str">
        <f aca="false">IF(F407="","",IF(H407&lt;&gt;"",H407,MAX('Vade Sapması'!$D$3,G407)))</f>
        <v/>
      </c>
      <c r="L407" s="30" t="str">
        <f aca="false">IF(F407="","",K407-B407)</f>
        <v/>
      </c>
      <c r="M407" s="30" t="str">
        <f aca="false">IF(F407="","",L407-J407)</f>
        <v/>
      </c>
      <c r="N407" s="32" t="str">
        <f aca="false">IF(F407="","",IF(H407&lt;&gt;"","Kapandı",IF('Vade Sapması'!$D$3&gt;G407,"Açık · vadesi geçti","Açık · vadesi gelmedi")))</f>
        <v/>
      </c>
      <c r="O407" s="30" t="str">
        <f aca="false">IF(F407="","",IF(AND(H407="",'Vade Sapması'!$D$3&gt;G407),'Vade Sapması'!$D$3-G407,0))</f>
        <v/>
      </c>
      <c r="P407" s="33" t="str">
        <f aca="false">IF(F407="","",F407*J407)</f>
        <v/>
      </c>
      <c r="Q407" s="33" t="str">
        <f aca="false">IF(F407="","",F407*L407)</f>
        <v/>
      </c>
      <c r="R407" s="33" t="str">
        <f aca="false">IF(F407="","",IF(H407="",F407,0))</f>
        <v/>
      </c>
      <c r="S407" s="32" t="str">
        <f aca="false">IF(F407="","",IF(N(O407)=0,"",IF(O407&lt;=30,"1-30",IF(O407&lt;=60,"31-60",IF(O407&lt;=90,"61-90","90+")))))</f>
        <v/>
      </c>
      <c r="T407" s="32" t="str">
        <f aca="false">IF(F407="","",IF(E407="","Diğer",E407))</f>
        <v/>
      </c>
      <c r="U407" s="32" t="str">
        <f aca="false">IF(OR(F407="",C407=""),"",IF(COUNTIF($C$2:C407,C407)=1,MAX($U$1:U406)+1,""))</f>
        <v/>
      </c>
    </row>
    <row r="408" customFormat="false" ht="15" hidden="false" customHeight="false" outlineLevel="0" collapsed="false">
      <c r="A408" s="34"/>
      <c r="B408" s="9"/>
      <c r="C408" s="34"/>
      <c r="D408" s="34"/>
      <c r="E408" s="34"/>
      <c r="F408" s="35"/>
      <c r="G408" s="9"/>
      <c r="H408" s="9"/>
      <c r="I408" s="34"/>
      <c r="J408" s="30" t="str">
        <f aca="false">IF(F408="","",G408-B408)</f>
        <v/>
      </c>
      <c r="K408" s="31" t="str">
        <f aca="false">IF(F408="","",IF(H408&lt;&gt;"",H408,MAX('Vade Sapması'!$D$3,G408)))</f>
        <v/>
      </c>
      <c r="L408" s="30" t="str">
        <f aca="false">IF(F408="","",K408-B408)</f>
        <v/>
      </c>
      <c r="M408" s="30" t="str">
        <f aca="false">IF(F408="","",L408-J408)</f>
        <v/>
      </c>
      <c r="N408" s="32" t="str">
        <f aca="false">IF(F408="","",IF(H408&lt;&gt;"","Kapandı",IF('Vade Sapması'!$D$3&gt;G408,"Açık · vadesi geçti","Açık · vadesi gelmedi")))</f>
        <v/>
      </c>
      <c r="O408" s="30" t="str">
        <f aca="false">IF(F408="","",IF(AND(H408="",'Vade Sapması'!$D$3&gt;G408),'Vade Sapması'!$D$3-G408,0))</f>
        <v/>
      </c>
      <c r="P408" s="33" t="str">
        <f aca="false">IF(F408="","",F408*J408)</f>
        <v/>
      </c>
      <c r="Q408" s="33" t="str">
        <f aca="false">IF(F408="","",F408*L408)</f>
        <v/>
      </c>
      <c r="R408" s="33" t="str">
        <f aca="false">IF(F408="","",IF(H408="",F408,0))</f>
        <v/>
      </c>
      <c r="S408" s="32" t="str">
        <f aca="false">IF(F408="","",IF(N(O408)=0,"",IF(O408&lt;=30,"1-30",IF(O408&lt;=60,"31-60",IF(O408&lt;=90,"61-90","90+")))))</f>
        <v/>
      </c>
      <c r="T408" s="32" t="str">
        <f aca="false">IF(F408="","",IF(E408="","Diğer",E408))</f>
        <v/>
      </c>
      <c r="U408" s="32" t="str">
        <f aca="false">IF(OR(F408="",C408=""),"",IF(COUNTIF($C$2:C408,C408)=1,MAX($U$1:U407)+1,""))</f>
        <v/>
      </c>
    </row>
    <row r="409" customFormat="false" ht="15" hidden="false" customHeight="false" outlineLevel="0" collapsed="false">
      <c r="A409" s="34"/>
      <c r="B409" s="9"/>
      <c r="C409" s="34"/>
      <c r="D409" s="34"/>
      <c r="E409" s="34"/>
      <c r="F409" s="35"/>
      <c r="G409" s="9"/>
      <c r="H409" s="9"/>
      <c r="I409" s="34"/>
      <c r="J409" s="30" t="str">
        <f aca="false">IF(F409="","",G409-B409)</f>
        <v/>
      </c>
      <c r="K409" s="31" t="str">
        <f aca="false">IF(F409="","",IF(H409&lt;&gt;"",H409,MAX('Vade Sapması'!$D$3,G409)))</f>
        <v/>
      </c>
      <c r="L409" s="30" t="str">
        <f aca="false">IF(F409="","",K409-B409)</f>
        <v/>
      </c>
      <c r="M409" s="30" t="str">
        <f aca="false">IF(F409="","",L409-J409)</f>
        <v/>
      </c>
      <c r="N409" s="32" t="str">
        <f aca="false">IF(F409="","",IF(H409&lt;&gt;"","Kapandı",IF('Vade Sapması'!$D$3&gt;G409,"Açık · vadesi geçti","Açık · vadesi gelmedi")))</f>
        <v/>
      </c>
      <c r="O409" s="30" t="str">
        <f aca="false">IF(F409="","",IF(AND(H409="",'Vade Sapması'!$D$3&gt;G409),'Vade Sapması'!$D$3-G409,0))</f>
        <v/>
      </c>
      <c r="P409" s="33" t="str">
        <f aca="false">IF(F409="","",F409*J409)</f>
        <v/>
      </c>
      <c r="Q409" s="33" t="str">
        <f aca="false">IF(F409="","",F409*L409)</f>
        <v/>
      </c>
      <c r="R409" s="33" t="str">
        <f aca="false">IF(F409="","",IF(H409="",F409,0))</f>
        <v/>
      </c>
      <c r="S409" s="32" t="str">
        <f aca="false">IF(F409="","",IF(N(O409)=0,"",IF(O409&lt;=30,"1-30",IF(O409&lt;=60,"31-60",IF(O409&lt;=90,"61-90","90+")))))</f>
        <v/>
      </c>
      <c r="T409" s="32" t="str">
        <f aca="false">IF(F409="","",IF(E409="","Diğer",E409))</f>
        <v/>
      </c>
      <c r="U409" s="32" t="str">
        <f aca="false">IF(OR(F409="",C409=""),"",IF(COUNTIF($C$2:C409,C409)=1,MAX($U$1:U408)+1,""))</f>
        <v/>
      </c>
    </row>
    <row r="410" customFormat="false" ht="15" hidden="false" customHeight="false" outlineLevel="0" collapsed="false">
      <c r="A410" s="34"/>
      <c r="B410" s="9"/>
      <c r="C410" s="34"/>
      <c r="D410" s="34"/>
      <c r="E410" s="34"/>
      <c r="F410" s="35"/>
      <c r="G410" s="9"/>
      <c r="H410" s="9"/>
      <c r="I410" s="34"/>
      <c r="J410" s="30" t="str">
        <f aca="false">IF(F410="","",G410-B410)</f>
        <v/>
      </c>
      <c r="K410" s="31" t="str">
        <f aca="false">IF(F410="","",IF(H410&lt;&gt;"",H410,MAX('Vade Sapması'!$D$3,G410)))</f>
        <v/>
      </c>
      <c r="L410" s="30" t="str">
        <f aca="false">IF(F410="","",K410-B410)</f>
        <v/>
      </c>
      <c r="M410" s="30" t="str">
        <f aca="false">IF(F410="","",L410-J410)</f>
        <v/>
      </c>
      <c r="N410" s="32" t="str">
        <f aca="false">IF(F410="","",IF(H410&lt;&gt;"","Kapandı",IF('Vade Sapması'!$D$3&gt;G410,"Açık · vadesi geçti","Açık · vadesi gelmedi")))</f>
        <v/>
      </c>
      <c r="O410" s="30" t="str">
        <f aca="false">IF(F410="","",IF(AND(H410="",'Vade Sapması'!$D$3&gt;G410),'Vade Sapması'!$D$3-G410,0))</f>
        <v/>
      </c>
      <c r="P410" s="33" t="str">
        <f aca="false">IF(F410="","",F410*J410)</f>
        <v/>
      </c>
      <c r="Q410" s="33" t="str">
        <f aca="false">IF(F410="","",F410*L410)</f>
        <v/>
      </c>
      <c r="R410" s="33" t="str">
        <f aca="false">IF(F410="","",IF(H410="",F410,0))</f>
        <v/>
      </c>
      <c r="S410" s="32" t="str">
        <f aca="false">IF(F410="","",IF(N(O410)=0,"",IF(O410&lt;=30,"1-30",IF(O410&lt;=60,"31-60",IF(O410&lt;=90,"61-90","90+")))))</f>
        <v/>
      </c>
      <c r="T410" s="32" t="str">
        <f aca="false">IF(F410="","",IF(E410="","Diğer",E410))</f>
        <v/>
      </c>
      <c r="U410" s="32" t="str">
        <f aca="false">IF(OR(F410="",C410=""),"",IF(COUNTIF($C$2:C410,C410)=1,MAX($U$1:U409)+1,""))</f>
        <v/>
      </c>
    </row>
    <row r="411" customFormat="false" ht="15" hidden="false" customHeight="false" outlineLevel="0" collapsed="false">
      <c r="A411" s="34"/>
      <c r="B411" s="9"/>
      <c r="C411" s="34"/>
      <c r="D411" s="34"/>
      <c r="E411" s="34"/>
      <c r="F411" s="35"/>
      <c r="G411" s="9"/>
      <c r="H411" s="9"/>
      <c r="I411" s="34"/>
      <c r="J411" s="30" t="str">
        <f aca="false">IF(F411="","",G411-B411)</f>
        <v/>
      </c>
      <c r="K411" s="31" t="str">
        <f aca="false">IF(F411="","",IF(H411&lt;&gt;"",H411,MAX('Vade Sapması'!$D$3,G411)))</f>
        <v/>
      </c>
      <c r="L411" s="30" t="str">
        <f aca="false">IF(F411="","",K411-B411)</f>
        <v/>
      </c>
      <c r="M411" s="30" t="str">
        <f aca="false">IF(F411="","",L411-J411)</f>
        <v/>
      </c>
      <c r="N411" s="32" t="str">
        <f aca="false">IF(F411="","",IF(H411&lt;&gt;"","Kapandı",IF('Vade Sapması'!$D$3&gt;G411,"Açık · vadesi geçti","Açık · vadesi gelmedi")))</f>
        <v/>
      </c>
      <c r="O411" s="30" t="str">
        <f aca="false">IF(F411="","",IF(AND(H411="",'Vade Sapması'!$D$3&gt;G411),'Vade Sapması'!$D$3-G411,0))</f>
        <v/>
      </c>
      <c r="P411" s="33" t="str">
        <f aca="false">IF(F411="","",F411*J411)</f>
        <v/>
      </c>
      <c r="Q411" s="33" t="str">
        <f aca="false">IF(F411="","",F411*L411)</f>
        <v/>
      </c>
      <c r="R411" s="33" t="str">
        <f aca="false">IF(F411="","",IF(H411="",F411,0))</f>
        <v/>
      </c>
      <c r="S411" s="32" t="str">
        <f aca="false">IF(F411="","",IF(N(O411)=0,"",IF(O411&lt;=30,"1-30",IF(O411&lt;=60,"31-60",IF(O411&lt;=90,"61-90","90+")))))</f>
        <v/>
      </c>
      <c r="T411" s="32" t="str">
        <f aca="false">IF(F411="","",IF(E411="","Diğer",E411))</f>
        <v/>
      </c>
      <c r="U411" s="32" t="str">
        <f aca="false">IF(OR(F411="",C411=""),"",IF(COUNTIF($C$2:C411,C411)=1,MAX($U$1:U410)+1,""))</f>
        <v/>
      </c>
    </row>
    <row r="412" customFormat="false" ht="15" hidden="false" customHeight="false" outlineLevel="0" collapsed="false">
      <c r="A412" s="34"/>
      <c r="B412" s="9"/>
      <c r="C412" s="34"/>
      <c r="D412" s="34"/>
      <c r="E412" s="34"/>
      <c r="F412" s="35"/>
      <c r="G412" s="9"/>
      <c r="H412" s="9"/>
      <c r="I412" s="34"/>
      <c r="J412" s="30" t="str">
        <f aca="false">IF(F412="","",G412-B412)</f>
        <v/>
      </c>
      <c r="K412" s="31" t="str">
        <f aca="false">IF(F412="","",IF(H412&lt;&gt;"",H412,MAX('Vade Sapması'!$D$3,G412)))</f>
        <v/>
      </c>
      <c r="L412" s="30" t="str">
        <f aca="false">IF(F412="","",K412-B412)</f>
        <v/>
      </c>
      <c r="M412" s="30" t="str">
        <f aca="false">IF(F412="","",L412-J412)</f>
        <v/>
      </c>
      <c r="N412" s="32" t="str">
        <f aca="false">IF(F412="","",IF(H412&lt;&gt;"","Kapandı",IF('Vade Sapması'!$D$3&gt;G412,"Açık · vadesi geçti","Açık · vadesi gelmedi")))</f>
        <v/>
      </c>
      <c r="O412" s="30" t="str">
        <f aca="false">IF(F412="","",IF(AND(H412="",'Vade Sapması'!$D$3&gt;G412),'Vade Sapması'!$D$3-G412,0))</f>
        <v/>
      </c>
      <c r="P412" s="33" t="str">
        <f aca="false">IF(F412="","",F412*J412)</f>
        <v/>
      </c>
      <c r="Q412" s="33" t="str">
        <f aca="false">IF(F412="","",F412*L412)</f>
        <v/>
      </c>
      <c r="R412" s="33" t="str">
        <f aca="false">IF(F412="","",IF(H412="",F412,0))</f>
        <v/>
      </c>
      <c r="S412" s="32" t="str">
        <f aca="false">IF(F412="","",IF(N(O412)=0,"",IF(O412&lt;=30,"1-30",IF(O412&lt;=60,"31-60",IF(O412&lt;=90,"61-90","90+")))))</f>
        <v/>
      </c>
      <c r="T412" s="32" t="str">
        <f aca="false">IF(F412="","",IF(E412="","Diğer",E412))</f>
        <v/>
      </c>
      <c r="U412" s="32" t="str">
        <f aca="false">IF(OR(F412="",C412=""),"",IF(COUNTIF($C$2:C412,C412)=1,MAX($U$1:U411)+1,""))</f>
        <v/>
      </c>
    </row>
    <row r="413" customFormat="false" ht="15" hidden="false" customHeight="false" outlineLevel="0" collapsed="false">
      <c r="A413" s="34"/>
      <c r="B413" s="9"/>
      <c r="C413" s="34"/>
      <c r="D413" s="34"/>
      <c r="E413" s="34"/>
      <c r="F413" s="35"/>
      <c r="G413" s="9"/>
      <c r="H413" s="9"/>
      <c r="I413" s="34"/>
      <c r="J413" s="30" t="str">
        <f aca="false">IF(F413="","",G413-B413)</f>
        <v/>
      </c>
      <c r="K413" s="31" t="str">
        <f aca="false">IF(F413="","",IF(H413&lt;&gt;"",H413,MAX('Vade Sapması'!$D$3,G413)))</f>
        <v/>
      </c>
      <c r="L413" s="30" t="str">
        <f aca="false">IF(F413="","",K413-B413)</f>
        <v/>
      </c>
      <c r="M413" s="30" t="str">
        <f aca="false">IF(F413="","",L413-J413)</f>
        <v/>
      </c>
      <c r="N413" s="32" t="str">
        <f aca="false">IF(F413="","",IF(H413&lt;&gt;"","Kapandı",IF('Vade Sapması'!$D$3&gt;G413,"Açık · vadesi geçti","Açık · vadesi gelmedi")))</f>
        <v/>
      </c>
      <c r="O413" s="30" t="str">
        <f aca="false">IF(F413="","",IF(AND(H413="",'Vade Sapması'!$D$3&gt;G413),'Vade Sapması'!$D$3-G413,0))</f>
        <v/>
      </c>
      <c r="P413" s="33" t="str">
        <f aca="false">IF(F413="","",F413*J413)</f>
        <v/>
      </c>
      <c r="Q413" s="33" t="str">
        <f aca="false">IF(F413="","",F413*L413)</f>
        <v/>
      </c>
      <c r="R413" s="33" t="str">
        <f aca="false">IF(F413="","",IF(H413="",F413,0))</f>
        <v/>
      </c>
      <c r="S413" s="32" t="str">
        <f aca="false">IF(F413="","",IF(N(O413)=0,"",IF(O413&lt;=30,"1-30",IF(O413&lt;=60,"31-60",IF(O413&lt;=90,"61-90","90+")))))</f>
        <v/>
      </c>
      <c r="T413" s="32" t="str">
        <f aca="false">IF(F413="","",IF(E413="","Diğer",E413))</f>
        <v/>
      </c>
      <c r="U413" s="32" t="str">
        <f aca="false">IF(OR(F413="",C413=""),"",IF(COUNTIF($C$2:C413,C413)=1,MAX($U$1:U412)+1,""))</f>
        <v/>
      </c>
    </row>
    <row r="414" customFormat="false" ht="15" hidden="false" customHeight="false" outlineLevel="0" collapsed="false">
      <c r="A414" s="34"/>
      <c r="B414" s="9"/>
      <c r="C414" s="34"/>
      <c r="D414" s="34"/>
      <c r="E414" s="34"/>
      <c r="F414" s="35"/>
      <c r="G414" s="9"/>
      <c r="H414" s="9"/>
      <c r="I414" s="34"/>
      <c r="J414" s="30" t="str">
        <f aca="false">IF(F414="","",G414-B414)</f>
        <v/>
      </c>
      <c r="K414" s="31" t="str">
        <f aca="false">IF(F414="","",IF(H414&lt;&gt;"",H414,MAX('Vade Sapması'!$D$3,G414)))</f>
        <v/>
      </c>
      <c r="L414" s="30" t="str">
        <f aca="false">IF(F414="","",K414-B414)</f>
        <v/>
      </c>
      <c r="M414" s="30" t="str">
        <f aca="false">IF(F414="","",L414-J414)</f>
        <v/>
      </c>
      <c r="N414" s="32" t="str">
        <f aca="false">IF(F414="","",IF(H414&lt;&gt;"","Kapandı",IF('Vade Sapması'!$D$3&gt;G414,"Açık · vadesi geçti","Açık · vadesi gelmedi")))</f>
        <v/>
      </c>
      <c r="O414" s="30" t="str">
        <f aca="false">IF(F414="","",IF(AND(H414="",'Vade Sapması'!$D$3&gt;G414),'Vade Sapması'!$D$3-G414,0))</f>
        <v/>
      </c>
      <c r="P414" s="33" t="str">
        <f aca="false">IF(F414="","",F414*J414)</f>
        <v/>
      </c>
      <c r="Q414" s="33" t="str">
        <f aca="false">IF(F414="","",F414*L414)</f>
        <v/>
      </c>
      <c r="R414" s="33" t="str">
        <f aca="false">IF(F414="","",IF(H414="",F414,0))</f>
        <v/>
      </c>
      <c r="S414" s="32" t="str">
        <f aca="false">IF(F414="","",IF(N(O414)=0,"",IF(O414&lt;=30,"1-30",IF(O414&lt;=60,"31-60",IF(O414&lt;=90,"61-90","90+")))))</f>
        <v/>
      </c>
      <c r="T414" s="32" t="str">
        <f aca="false">IF(F414="","",IF(E414="","Diğer",E414))</f>
        <v/>
      </c>
      <c r="U414" s="32" t="str">
        <f aca="false">IF(OR(F414="",C414=""),"",IF(COUNTIF($C$2:C414,C414)=1,MAX($U$1:U413)+1,""))</f>
        <v/>
      </c>
    </row>
    <row r="415" customFormat="false" ht="15" hidden="false" customHeight="false" outlineLevel="0" collapsed="false">
      <c r="A415" s="34"/>
      <c r="B415" s="9"/>
      <c r="C415" s="34"/>
      <c r="D415" s="34"/>
      <c r="E415" s="34"/>
      <c r="F415" s="35"/>
      <c r="G415" s="9"/>
      <c r="H415" s="9"/>
      <c r="I415" s="34"/>
      <c r="J415" s="30" t="str">
        <f aca="false">IF(F415="","",G415-B415)</f>
        <v/>
      </c>
      <c r="K415" s="31" t="str">
        <f aca="false">IF(F415="","",IF(H415&lt;&gt;"",H415,MAX('Vade Sapması'!$D$3,G415)))</f>
        <v/>
      </c>
      <c r="L415" s="30" t="str">
        <f aca="false">IF(F415="","",K415-B415)</f>
        <v/>
      </c>
      <c r="M415" s="30" t="str">
        <f aca="false">IF(F415="","",L415-J415)</f>
        <v/>
      </c>
      <c r="N415" s="32" t="str">
        <f aca="false">IF(F415="","",IF(H415&lt;&gt;"","Kapandı",IF('Vade Sapması'!$D$3&gt;G415,"Açık · vadesi geçti","Açık · vadesi gelmedi")))</f>
        <v/>
      </c>
      <c r="O415" s="30" t="str">
        <f aca="false">IF(F415="","",IF(AND(H415="",'Vade Sapması'!$D$3&gt;G415),'Vade Sapması'!$D$3-G415,0))</f>
        <v/>
      </c>
      <c r="P415" s="33" t="str">
        <f aca="false">IF(F415="","",F415*J415)</f>
        <v/>
      </c>
      <c r="Q415" s="33" t="str">
        <f aca="false">IF(F415="","",F415*L415)</f>
        <v/>
      </c>
      <c r="R415" s="33" t="str">
        <f aca="false">IF(F415="","",IF(H415="",F415,0))</f>
        <v/>
      </c>
      <c r="S415" s="32" t="str">
        <f aca="false">IF(F415="","",IF(N(O415)=0,"",IF(O415&lt;=30,"1-30",IF(O415&lt;=60,"31-60",IF(O415&lt;=90,"61-90","90+")))))</f>
        <v/>
      </c>
      <c r="T415" s="32" t="str">
        <f aca="false">IF(F415="","",IF(E415="","Diğer",E415))</f>
        <v/>
      </c>
      <c r="U415" s="32" t="str">
        <f aca="false">IF(OR(F415="",C415=""),"",IF(COUNTIF($C$2:C415,C415)=1,MAX($U$1:U414)+1,""))</f>
        <v/>
      </c>
    </row>
    <row r="416" customFormat="false" ht="15" hidden="false" customHeight="false" outlineLevel="0" collapsed="false">
      <c r="A416" s="34"/>
      <c r="B416" s="9"/>
      <c r="C416" s="34"/>
      <c r="D416" s="34"/>
      <c r="E416" s="34"/>
      <c r="F416" s="35"/>
      <c r="G416" s="9"/>
      <c r="H416" s="9"/>
      <c r="I416" s="34"/>
      <c r="J416" s="30" t="str">
        <f aca="false">IF(F416="","",G416-B416)</f>
        <v/>
      </c>
      <c r="K416" s="31" t="str">
        <f aca="false">IF(F416="","",IF(H416&lt;&gt;"",H416,MAX('Vade Sapması'!$D$3,G416)))</f>
        <v/>
      </c>
      <c r="L416" s="30" t="str">
        <f aca="false">IF(F416="","",K416-B416)</f>
        <v/>
      </c>
      <c r="M416" s="30" t="str">
        <f aca="false">IF(F416="","",L416-J416)</f>
        <v/>
      </c>
      <c r="N416" s="32" t="str">
        <f aca="false">IF(F416="","",IF(H416&lt;&gt;"","Kapandı",IF('Vade Sapması'!$D$3&gt;G416,"Açık · vadesi geçti","Açık · vadesi gelmedi")))</f>
        <v/>
      </c>
      <c r="O416" s="30" t="str">
        <f aca="false">IF(F416="","",IF(AND(H416="",'Vade Sapması'!$D$3&gt;G416),'Vade Sapması'!$D$3-G416,0))</f>
        <v/>
      </c>
      <c r="P416" s="33" t="str">
        <f aca="false">IF(F416="","",F416*J416)</f>
        <v/>
      </c>
      <c r="Q416" s="33" t="str">
        <f aca="false">IF(F416="","",F416*L416)</f>
        <v/>
      </c>
      <c r="R416" s="33" t="str">
        <f aca="false">IF(F416="","",IF(H416="",F416,0))</f>
        <v/>
      </c>
      <c r="S416" s="32" t="str">
        <f aca="false">IF(F416="","",IF(N(O416)=0,"",IF(O416&lt;=30,"1-30",IF(O416&lt;=60,"31-60",IF(O416&lt;=90,"61-90","90+")))))</f>
        <v/>
      </c>
      <c r="T416" s="32" t="str">
        <f aca="false">IF(F416="","",IF(E416="","Diğer",E416))</f>
        <v/>
      </c>
      <c r="U416" s="32" t="str">
        <f aca="false">IF(OR(F416="",C416=""),"",IF(COUNTIF($C$2:C416,C416)=1,MAX($U$1:U415)+1,""))</f>
        <v/>
      </c>
    </row>
    <row r="417" customFormat="false" ht="15" hidden="false" customHeight="false" outlineLevel="0" collapsed="false">
      <c r="A417" s="34"/>
      <c r="B417" s="9"/>
      <c r="C417" s="34"/>
      <c r="D417" s="34"/>
      <c r="E417" s="34"/>
      <c r="F417" s="35"/>
      <c r="G417" s="9"/>
      <c r="H417" s="9"/>
      <c r="I417" s="34"/>
      <c r="J417" s="30" t="str">
        <f aca="false">IF(F417="","",G417-B417)</f>
        <v/>
      </c>
      <c r="K417" s="31" t="str">
        <f aca="false">IF(F417="","",IF(H417&lt;&gt;"",H417,MAX('Vade Sapması'!$D$3,G417)))</f>
        <v/>
      </c>
      <c r="L417" s="30" t="str">
        <f aca="false">IF(F417="","",K417-B417)</f>
        <v/>
      </c>
      <c r="M417" s="30" t="str">
        <f aca="false">IF(F417="","",L417-J417)</f>
        <v/>
      </c>
      <c r="N417" s="32" t="str">
        <f aca="false">IF(F417="","",IF(H417&lt;&gt;"","Kapandı",IF('Vade Sapması'!$D$3&gt;G417,"Açık · vadesi geçti","Açık · vadesi gelmedi")))</f>
        <v/>
      </c>
      <c r="O417" s="30" t="str">
        <f aca="false">IF(F417="","",IF(AND(H417="",'Vade Sapması'!$D$3&gt;G417),'Vade Sapması'!$D$3-G417,0))</f>
        <v/>
      </c>
      <c r="P417" s="33" t="str">
        <f aca="false">IF(F417="","",F417*J417)</f>
        <v/>
      </c>
      <c r="Q417" s="33" t="str">
        <f aca="false">IF(F417="","",F417*L417)</f>
        <v/>
      </c>
      <c r="R417" s="33" t="str">
        <f aca="false">IF(F417="","",IF(H417="",F417,0))</f>
        <v/>
      </c>
      <c r="S417" s="32" t="str">
        <f aca="false">IF(F417="","",IF(N(O417)=0,"",IF(O417&lt;=30,"1-30",IF(O417&lt;=60,"31-60",IF(O417&lt;=90,"61-90","90+")))))</f>
        <v/>
      </c>
      <c r="T417" s="32" t="str">
        <f aca="false">IF(F417="","",IF(E417="","Diğer",E417))</f>
        <v/>
      </c>
      <c r="U417" s="32" t="str">
        <f aca="false">IF(OR(F417="",C417=""),"",IF(COUNTIF($C$2:C417,C417)=1,MAX($U$1:U416)+1,""))</f>
        <v/>
      </c>
    </row>
    <row r="418" customFormat="false" ht="15" hidden="false" customHeight="false" outlineLevel="0" collapsed="false">
      <c r="A418" s="34"/>
      <c r="B418" s="9"/>
      <c r="C418" s="34"/>
      <c r="D418" s="34"/>
      <c r="E418" s="34"/>
      <c r="F418" s="35"/>
      <c r="G418" s="9"/>
      <c r="H418" s="9"/>
      <c r="I418" s="34"/>
      <c r="J418" s="30" t="str">
        <f aca="false">IF(F418="","",G418-B418)</f>
        <v/>
      </c>
      <c r="K418" s="31" t="str">
        <f aca="false">IF(F418="","",IF(H418&lt;&gt;"",H418,MAX('Vade Sapması'!$D$3,G418)))</f>
        <v/>
      </c>
      <c r="L418" s="30" t="str">
        <f aca="false">IF(F418="","",K418-B418)</f>
        <v/>
      </c>
      <c r="M418" s="30" t="str">
        <f aca="false">IF(F418="","",L418-J418)</f>
        <v/>
      </c>
      <c r="N418" s="32" t="str">
        <f aca="false">IF(F418="","",IF(H418&lt;&gt;"","Kapandı",IF('Vade Sapması'!$D$3&gt;G418,"Açık · vadesi geçti","Açık · vadesi gelmedi")))</f>
        <v/>
      </c>
      <c r="O418" s="30" t="str">
        <f aca="false">IF(F418="","",IF(AND(H418="",'Vade Sapması'!$D$3&gt;G418),'Vade Sapması'!$D$3-G418,0))</f>
        <v/>
      </c>
      <c r="P418" s="33" t="str">
        <f aca="false">IF(F418="","",F418*J418)</f>
        <v/>
      </c>
      <c r="Q418" s="33" t="str">
        <f aca="false">IF(F418="","",F418*L418)</f>
        <v/>
      </c>
      <c r="R418" s="33" t="str">
        <f aca="false">IF(F418="","",IF(H418="",F418,0))</f>
        <v/>
      </c>
      <c r="S418" s="32" t="str">
        <f aca="false">IF(F418="","",IF(N(O418)=0,"",IF(O418&lt;=30,"1-30",IF(O418&lt;=60,"31-60",IF(O418&lt;=90,"61-90","90+")))))</f>
        <v/>
      </c>
      <c r="T418" s="32" t="str">
        <f aca="false">IF(F418="","",IF(E418="","Diğer",E418))</f>
        <v/>
      </c>
      <c r="U418" s="32" t="str">
        <f aca="false">IF(OR(F418="",C418=""),"",IF(COUNTIF($C$2:C418,C418)=1,MAX($U$1:U417)+1,""))</f>
        <v/>
      </c>
    </row>
    <row r="419" customFormat="false" ht="15" hidden="false" customHeight="false" outlineLevel="0" collapsed="false">
      <c r="A419" s="34"/>
      <c r="B419" s="9"/>
      <c r="C419" s="34"/>
      <c r="D419" s="34"/>
      <c r="E419" s="34"/>
      <c r="F419" s="35"/>
      <c r="G419" s="9"/>
      <c r="H419" s="9"/>
      <c r="I419" s="34"/>
      <c r="J419" s="30" t="str">
        <f aca="false">IF(F419="","",G419-B419)</f>
        <v/>
      </c>
      <c r="K419" s="31" t="str">
        <f aca="false">IF(F419="","",IF(H419&lt;&gt;"",H419,MAX('Vade Sapması'!$D$3,G419)))</f>
        <v/>
      </c>
      <c r="L419" s="30" t="str">
        <f aca="false">IF(F419="","",K419-B419)</f>
        <v/>
      </c>
      <c r="M419" s="30" t="str">
        <f aca="false">IF(F419="","",L419-J419)</f>
        <v/>
      </c>
      <c r="N419" s="32" t="str">
        <f aca="false">IF(F419="","",IF(H419&lt;&gt;"","Kapandı",IF('Vade Sapması'!$D$3&gt;G419,"Açık · vadesi geçti","Açık · vadesi gelmedi")))</f>
        <v/>
      </c>
      <c r="O419" s="30" t="str">
        <f aca="false">IF(F419="","",IF(AND(H419="",'Vade Sapması'!$D$3&gt;G419),'Vade Sapması'!$D$3-G419,0))</f>
        <v/>
      </c>
      <c r="P419" s="33" t="str">
        <f aca="false">IF(F419="","",F419*J419)</f>
        <v/>
      </c>
      <c r="Q419" s="33" t="str">
        <f aca="false">IF(F419="","",F419*L419)</f>
        <v/>
      </c>
      <c r="R419" s="33" t="str">
        <f aca="false">IF(F419="","",IF(H419="",F419,0))</f>
        <v/>
      </c>
      <c r="S419" s="32" t="str">
        <f aca="false">IF(F419="","",IF(N(O419)=0,"",IF(O419&lt;=30,"1-30",IF(O419&lt;=60,"31-60",IF(O419&lt;=90,"61-90","90+")))))</f>
        <v/>
      </c>
      <c r="T419" s="32" t="str">
        <f aca="false">IF(F419="","",IF(E419="","Diğer",E419))</f>
        <v/>
      </c>
      <c r="U419" s="32" t="str">
        <f aca="false">IF(OR(F419="",C419=""),"",IF(COUNTIF($C$2:C419,C419)=1,MAX($U$1:U418)+1,""))</f>
        <v/>
      </c>
    </row>
    <row r="420" customFormat="false" ht="15" hidden="false" customHeight="false" outlineLevel="0" collapsed="false">
      <c r="A420" s="34"/>
      <c r="B420" s="9"/>
      <c r="C420" s="34"/>
      <c r="D420" s="34"/>
      <c r="E420" s="34"/>
      <c r="F420" s="35"/>
      <c r="G420" s="9"/>
      <c r="H420" s="9"/>
      <c r="I420" s="34"/>
      <c r="J420" s="30" t="str">
        <f aca="false">IF(F420="","",G420-B420)</f>
        <v/>
      </c>
      <c r="K420" s="31" t="str">
        <f aca="false">IF(F420="","",IF(H420&lt;&gt;"",H420,MAX('Vade Sapması'!$D$3,G420)))</f>
        <v/>
      </c>
      <c r="L420" s="30" t="str">
        <f aca="false">IF(F420="","",K420-B420)</f>
        <v/>
      </c>
      <c r="M420" s="30" t="str">
        <f aca="false">IF(F420="","",L420-J420)</f>
        <v/>
      </c>
      <c r="N420" s="32" t="str">
        <f aca="false">IF(F420="","",IF(H420&lt;&gt;"","Kapandı",IF('Vade Sapması'!$D$3&gt;G420,"Açık · vadesi geçti","Açık · vadesi gelmedi")))</f>
        <v/>
      </c>
      <c r="O420" s="30" t="str">
        <f aca="false">IF(F420="","",IF(AND(H420="",'Vade Sapması'!$D$3&gt;G420),'Vade Sapması'!$D$3-G420,0))</f>
        <v/>
      </c>
      <c r="P420" s="33" t="str">
        <f aca="false">IF(F420="","",F420*J420)</f>
        <v/>
      </c>
      <c r="Q420" s="33" t="str">
        <f aca="false">IF(F420="","",F420*L420)</f>
        <v/>
      </c>
      <c r="R420" s="33" t="str">
        <f aca="false">IF(F420="","",IF(H420="",F420,0))</f>
        <v/>
      </c>
      <c r="S420" s="32" t="str">
        <f aca="false">IF(F420="","",IF(N(O420)=0,"",IF(O420&lt;=30,"1-30",IF(O420&lt;=60,"31-60",IF(O420&lt;=90,"61-90","90+")))))</f>
        <v/>
      </c>
      <c r="T420" s="32" t="str">
        <f aca="false">IF(F420="","",IF(E420="","Diğer",E420))</f>
        <v/>
      </c>
      <c r="U420" s="32" t="str">
        <f aca="false">IF(OR(F420="",C420=""),"",IF(COUNTIF($C$2:C420,C420)=1,MAX($U$1:U419)+1,""))</f>
        <v/>
      </c>
    </row>
    <row r="421" customFormat="false" ht="15" hidden="false" customHeight="false" outlineLevel="0" collapsed="false">
      <c r="A421" s="34"/>
      <c r="B421" s="9"/>
      <c r="C421" s="34"/>
      <c r="D421" s="34"/>
      <c r="E421" s="34"/>
      <c r="F421" s="35"/>
      <c r="G421" s="9"/>
      <c r="H421" s="9"/>
      <c r="I421" s="34"/>
      <c r="J421" s="30" t="str">
        <f aca="false">IF(F421="","",G421-B421)</f>
        <v/>
      </c>
      <c r="K421" s="31" t="str">
        <f aca="false">IF(F421="","",IF(H421&lt;&gt;"",H421,MAX('Vade Sapması'!$D$3,G421)))</f>
        <v/>
      </c>
      <c r="L421" s="30" t="str">
        <f aca="false">IF(F421="","",K421-B421)</f>
        <v/>
      </c>
      <c r="M421" s="30" t="str">
        <f aca="false">IF(F421="","",L421-J421)</f>
        <v/>
      </c>
      <c r="N421" s="32" t="str">
        <f aca="false">IF(F421="","",IF(H421&lt;&gt;"","Kapandı",IF('Vade Sapması'!$D$3&gt;G421,"Açık · vadesi geçti","Açık · vadesi gelmedi")))</f>
        <v/>
      </c>
      <c r="O421" s="30" t="str">
        <f aca="false">IF(F421="","",IF(AND(H421="",'Vade Sapması'!$D$3&gt;G421),'Vade Sapması'!$D$3-G421,0))</f>
        <v/>
      </c>
      <c r="P421" s="33" t="str">
        <f aca="false">IF(F421="","",F421*J421)</f>
        <v/>
      </c>
      <c r="Q421" s="33" t="str">
        <f aca="false">IF(F421="","",F421*L421)</f>
        <v/>
      </c>
      <c r="R421" s="33" t="str">
        <f aca="false">IF(F421="","",IF(H421="",F421,0))</f>
        <v/>
      </c>
      <c r="S421" s="32" t="str">
        <f aca="false">IF(F421="","",IF(N(O421)=0,"",IF(O421&lt;=30,"1-30",IF(O421&lt;=60,"31-60",IF(O421&lt;=90,"61-90","90+")))))</f>
        <v/>
      </c>
      <c r="T421" s="32" t="str">
        <f aca="false">IF(F421="","",IF(E421="","Diğer",E421))</f>
        <v/>
      </c>
      <c r="U421" s="32" t="str">
        <f aca="false">IF(OR(F421="",C421=""),"",IF(COUNTIF($C$2:C421,C421)=1,MAX($U$1:U420)+1,""))</f>
        <v/>
      </c>
    </row>
    <row r="422" customFormat="false" ht="15" hidden="false" customHeight="false" outlineLevel="0" collapsed="false">
      <c r="A422" s="34"/>
      <c r="B422" s="9"/>
      <c r="C422" s="34"/>
      <c r="D422" s="34"/>
      <c r="E422" s="34"/>
      <c r="F422" s="35"/>
      <c r="G422" s="9"/>
      <c r="H422" s="9"/>
      <c r="I422" s="34"/>
      <c r="J422" s="30" t="str">
        <f aca="false">IF(F422="","",G422-B422)</f>
        <v/>
      </c>
      <c r="K422" s="31" t="str">
        <f aca="false">IF(F422="","",IF(H422&lt;&gt;"",H422,MAX('Vade Sapması'!$D$3,G422)))</f>
        <v/>
      </c>
      <c r="L422" s="30" t="str">
        <f aca="false">IF(F422="","",K422-B422)</f>
        <v/>
      </c>
      <c r="M422" s="30" t="str">
        <f aca="false">IF(F422="","",L422-J422)</f>
        <v/>
      </c>
      <c r="N422" s="32" t="str">
        <f aca="false">IF(F422="","",IF(H422&lt;&gt;"","Kapandı",IF('Vade Sapması'!$D$3&gt;G422,"Açık · vadesi geçti","Açık · vadesi gelmedi")))</f>
        <v/>
      </c>
      <c r="O422" s="30" t="str">
        <f aca="false">IF(F422="","",IF(AND(H422="",'Vade Sapması'!$D$3&gt;G422),'Vade Sapması'!$D$3-G422,0))</f>
        <v/>
      </c>
      <c r="P422" s="33" t="str">
        <f aca="false">IF(F422="","",F422*J422)</f>
        <v/>
      </c>
      <c r="Q422" s="33" t="str">
        <f aca="false">IF(F422="","",F422*L422)</f>
        <v/>
      </c>
      <c r="R422" s="33" t="str">
        <f aca="false">IF(F422="","",IF(H422="",F422,0))</f>
        <v/>
      </c>
      <c r="S422" s="32" t="str">
        <f aca="false">IF(F422="","",IF(N(O422)=0,"",IF(O422&lt;=30,"1-30",IF(O422&lt;=60,"31-60",IF(O422&lt;=90,"61-90","90+")))))</f>
        <v/>
      </c>
      <c r="T422" s="32" t="str">
        <f aca="false">IF(F422="","",IF(E422="","Diğer",E422))</f>
        <v/>
      </c>
      <c r="U422" s="32" t="str">
        <f aca="false">IF(OR(F422="",C422=""),"",IF(COUNTIF($C$2:C422,C422)=1,MAX($U$1:U421)+1,""))</f>
        <v/>
      </c>
    </row>
    <row r="423" customFormat="false" ht="15" hidden="false" customHeight="false" outlineLevel="0" collapsed="false">
      <c r="A423" s="34"/>
      <c r="B423" s="9"/>
      <c r="C423" s="34"/>
      <c r="D423" s="34"/>
      <c r="E423" s="34"/>
      <c r="F423" s="35"/>
      <c r="G423" s="9"/>
      <c r="H423" s="9"/>
      <c r="I423" s="34"/>
      <c r="J423" s="30" t="str">
        <f aca="false">IF(F423="","",G423-B423)</f>
        <v/>
      </c>
      <c r="K423" s="31" t="str">
        <f aca="false">IF(F423="","",IF(H423&lt;&gt;"",H423,MAX('Vade Sapması'!$D$3,G423)))</f>
        <v/>
      </c>
      <c r="L423" s="30" t="str">
        <f aca="false">IF(F423="","",K423-B423)</f>
        <v/>
      </c>
      <c r="M423" s="30" t="str">
        <f aca="false">IF(F423="","",L423-J423)</f>
        <v/>
      </c>
      <c r="N423" s="32" t="str">
        <f aca="false">IF(F423="","",IF(H423&lt;&gt;"","Kapandı",IF('Vade Sapması'!$D$3&gt;G423,"Açık · vadesi geçti","Açık · vadesi gelmedi")))</f>
        <v/>
      </c>
      <c r="O423" s="30" t="str">
        <f aca="false">IF(F423="","",IF(AND(H423="",'Vade Sapması'!$D$3&gt;G423),'Vade Sapması'!$D$3-G423,0))</f>
        <v/>
      </c>
      <c r="P423" s="33" t="str">
        <f aca="false">IF(F423="","",F423*J423)</f>
        <v/>
      </c>
      <c r="Q423" s="33" t="str">
        <f aca="false">IF(F423="","",F423*L423)</f>
        <v/>
      </c>
      <c r="R423" s="33" t="str">
        <f aca="false">IF(F423="","",IF(H423="",F423,0))</f>
        <v/>
      </c>
      <c r="S423" s="32" t="str">
        <f aca="false">IF(F423="","",IF(N(O423)=0,"",IF(O423&lt;=30,"1-30",IF(O423&lt;=60,"31-60",IF(O423&lt;=90,"61-90","90+")))))</f>
        <v/>
      </c>
      <c r="T423" s="32" t="str">
        <f aca="false">IF(F423="","",IF(E423="","Diğer",E423))</f>
        <v/>
      </c>
      <c r="U423" s="32" t="str">
        <f aca="false">IF(OR(F423="",C423=""),"",IF(COUNTIF($C$2:C423,C423)=1,MAX($U$1:U422)+1,""))</f>
        <v/>
      </c>
    </row>
    <row r="424" customFormat="false" ht="15" hidden="false" customHeight="false" outlineLevel="0" collapsed="false">
      <c r="A424" s="34"/>
      <c r="B424" s="9"/>
      <c r="C424" s="34"/>
      <c r="D424" s="34"/>
      <c r="E424" s="34"/>
      <c r="F424" s="35"/>
      <c r="G424" s="9"/>
      <c r="H424" s="9"/>
      <c r="I424" s="34"/>
      <c r="J424" s="30" t="str">
        <f aca="false">IF(F424="","",G424-B424)</f>
        <v/>
      </c>
      <c r="K424" s="31" t="str">
        <f aca="false">IF(F424="","",IF(H424&lt;&gt;"",H424,MAX('Vade Sapması'!$D$3,G424)))</f>
        <v/>
      </c>
      <c r="L424" s="30" t="str">
        <f aca="false">IF(F424="","",K424-B424)</f>
        <v/>
      </c>
      <c r="M424" s="30" t="str">
        <f aca="false">IF(F424="","",L424-J424)</f>
        <v/>
      </c>
      <c r="N424" s="32" t="str">
        <f aca="false">IF(F424="","",IF(H424&lt;&gt;"","Kapandı",IF('Vade Sapması'!$D$3&gt;G424,"Açık · vadesi geçti","Açık · vadesi gelmedi")))</f>
        <v/>
      </c>
      <c r="O424" s="30" t="str">
        <f aca="false">IF(F424="","",IF(AND(H424="",'Vade Sapması'!$D$3&gt;G424),'Vade Sapması'!$D$3-G424,0))</f>
        <v/>
      </c>
      <c r="P424" s="33" t="str">
        <f aca="false">IF(F424="","",F424*J424)</f>
        <v/>
      </c>
      <c r="Q424" s="33" t="str">
        <f aca="false">IF(F424="","",F424*L424)</f>
        <v/>
      </c>
      <c r="R424" s="33" t="str">
        <f aca="false">IF(F424="","",IF(H424="",F424,0))</f>
        <v/>
      </c>
      <c r="S424" s="32" t="str">
        <f aca="false">IF(F424="","",IF(N(O424)=0,"",IF(O424&lt;=30,"1-30",IF(O424&lt;=60,"31-60",IF(O424&lt;=90,"61-90","90+")))))</f>
        <v/>
      </c>
      <c r="T424" s="32" t="str">
        <f aca="false">IF(F424="","",IF(E424="","Diğer",E424))</f>
        <v/>
      </c>
      <c r="U424" s="32" t="str">
        <f aca="false">IF(OR(F424="",C424=""),"",IF(COUNTIF($C$2:C424,C424)=1,MAX($U$1:U423)+1,""))</f>
        <v/>
      </c>
    </row>
    <row r="425" customFormat="false" ht="15" hidden="false" customHeight="false" outlineLevel="0" collapsed="false">
      <c r="A425" s="34"/>
      <c r="B425" s="9"/>
      <c r="C425" s="34"/>
      <c r="D425" s="34"/>
      <c r="E425" s="34"/>
      <c r="F425" s="35"/>
      <c r="G425" s="9"/>
      <c r="H425" s="9"/>
      <c r="I425" s="34"/>
      <c r="J425" s="30" t="str">
        <f aca="false">IF(F425="","",G425-B425)</f>
        <v/>
      </c>
      <c r="K425" s="31" t="str">
        <f aca="false">IF(F425="","",IF(H425&lt;&gt;"",H425,MAX('Vade Sapması'!$D$3,G425)))</f>
        <v/>
      </c>
      <c r="L425" s="30" t="str">
        <f aca="false">IF(F425="","",K425-B425)</f>
        <v/>
      </c>
      <c r="M425" s="30" t="str">
        <f aca="false">IF(F425="","",L425-J425)</f>
        <v/>
      </c>
      <c r="N425" s="32" t="str">
        <f aca="false">IF(F425="","",IF(H425&lt;&gt;"","Kapandı",IF('Vade Sapması'!$D$3&gt;G425,"Açık · vadesi geçti","Açık · vadesi gelmedi")))</f>
        <v/>
      </c>
      <c r="O425" s="30" t="str">
        <f aca="false">IF(F425="","",IF(AND(H425="",'Vade Sapması'!$D$3&gt;G425),'Vade Sapması'!$D$3-G425,0))</f>
        <v/>
      </c>
      <c r="P425" s="33" t="str">
        <f aca="false">IF(F425="","",F425*J425)</f>
        <v/>
      </c>
      <c r="Q425" s="33" t="str">
        <f aca="false">IF(F425="","",F425*L425)</f>
        <v/>
      </c>
      <c r="R425" s="33" t="str">
        <f aca="false">IF(F425="","",IF(H425="",F425,0))</f>
        <v/>
      </c>
      <c r="S425" s="32" t="str">
        <f aca="false">IF(F425="","",IF(N(O425)=0,"",IF(O425&lt;=30,"1-30",IF(O425&lt;=60,"31-60",IF(O425&lt;=90,"61-90","90+")))))</f>
        <v/>
      </c>
      <c r="T425" s="32" t="str">
        <f aca="false">IF(F425="","",IF(E425="","Diğer",E425))</f>
        <v/>
      </c>
      <c r="U425" s="32" t="str">
        <f aca="false">IF(OR(F425="",C425=""),"",IF(COUNTIF($C$2:C425,C425)=1,MAX($U$1:U424)+1,""))</f>
        <v/>
      </c>
    </row>
    <row r="426" customFormat="false" ht="15" hidden="false" customHeight="false" outlineLevel="0" collapsed="false">
      <c r="A426" s="34"/>
      <c r="B426" s="9"/>
      <c r="C426" s="34"/>
      <c r="D426" s="34"/>
      <c r="E426" s="34"/>
      <c r="F426" s="35"/>
      <c r="G426" s="9"/>
      <c r="H426" s="9"/>
      <c r="I426" s="34"/>
      <c r="J426" s="30" t="str">
        <f aca="false">IF(F426="","",G426-B426)</f>
        <v/>
      </c>
      <c r="K426" s="31" t="str">
        <f aca="false">IF(F426="","",IF(H426&lt;&gt;"",H426,MAX('Vade Sapması'!$D$3,G426)))</f>
        <v/>
      </c>
      <c r="L426" s="30" t="str">
        <f aca="false">IF(F426="","",K426-B426)</f>
        <v/>
      </c>
      <c r="M426" s="30" t="str">
        <f aca="false">IF(F426="","",L426-J426)</f>
        <v/>
      </c>
      <c r="N426" s="32" t="str">
        <f aca="false">IF(F426="","",IF(H426&lt;&gt;"","Kapandı",IF('Vade Sapması'!$D$3&gt;G426,"Açık · vadesi geçti","Açık · vadesi gelmedi")))</f>
        <v/>
      </c>
      <c r="O426" s="30" t="str">
        <f aca="false">IF(F426="","",IF(AND(H426="",'Vade Sapması'!$D$3&gt;G426),'Vade Sapması'!$D$3-G426,0))</f>
        <v/>
      </c>
      <c r="P426" s="33" t="str">
        <f aca="false">IF(F426="","",F426*J426)</f>
        <v/>
      </c>
      <c r="Q426" s="33" t="str">
        <f aca="false">IF(F426="","",F426*L426)</f>
        <v/>
      </c>
      <c r="R426" s="33" t="str">
        <f aca="false">IF(F426="","",IF(H426="",F426,0))</f>
        <v/>
      </c>
      <c r="S426" s="32" t="str">
        <f aca="false">IF(F426="","",IF(N(O426)=0,"",IF(O426&lt;=30,"1-30",IF(O426&lt;=60,"31-60",IF(O426&lt;=90,"61-90","90+")))))</f>
        <v/>
      </c>
      <c r="T426" s="32" t="str">
        <f aca="false">IF(F426="","",IF(E426="","Diğer",E426))</f>
        <v/>
      </c>
      <c r="U426" s="32" t="str">
        <f aca="false">IF(OR(F426="",C426=""),"",IF(COUNTIF($C$2:C426,C426)=1,MAX($U$1:U425)+1,""))</f>
        <v/>
      </c>
    </row>
    <row r="427" customFormat="false" ht="15" hidden="false" customHeight="false" outlineLevel="0" collapsed="false">
      <c r="A427" s="34"/>
      <c r="B427" s="9"/>
      <c r="C427" s="34"/>
      <c r="D427" s="34"/>
      <c r="E427" s="34"/>
      <c r="F427" s="35"/>
      <c r="G427" s="9"/>
      <c r="H427" s="9"/>
      <c r="I427" s="34"/>
      <c r="J427" s="30" t="str">
        <f aca="false">IF(F427="","",G427-B427)</f>
        <v/>
      </c>
      <c r="K427" s="31" t="str">
        <f aca="false">IF(F427="","",IF(H427&lt;&gt;"",H427,MAX('Vade Sapması'!$D$3,G427)))</f>
        <v/>
      </c>
      <c r="L427" s="30" t="str">
        <f aca="false">IF(F427="","",K427-B427)</f>
        <v/>
      </c>
      <c r="M427" s="30" t="str">
        <f aca="false">IF(F427="","",L427-J427)</f>
        <v/>
      </c>
      <c r="N427" s="32" t="str">
        <f aca="false">IF(F427="","",IF(H427&lt;&gt;"","Kapandı",IF('Vade Sapması'!$D$3&gt;G427,"Açık · vadesi geçti","Açık · vadesi gelmedi")))</f>
        <v/>
      </c>
      <c r="O427" s="30" t="str">
        <f aca="false">IF(F427="","",IF(AND(H427="",'Vade Sapması'!$D$3&gt;G427),'Vade Sapması'!$D$3-G427,0))</f>
        <v/>
      </c>
      <c r="P427" s="33" t="str">
        <f aca="false">IF(F427="","",F427*J427)</f>
        <v/>
      </c>
      <c r="Q427" s="33" t="str">
        <f aca="false">IF(F427="","",F427*L427)</f>
        <v/>
      </c>
      <c r="R427" s="33" t="str">
        <f aca="false">IF(F427="","",IF(H427="",F427,0))</f>
        <v/>
      </c>
      <c r="S427" s="32" t="str">
        <f aca="false">IF(F427="","",IF(N(O427)=0,"",IF(O427&lt;=30,"1-30",IF(O427&lt;=60,"31-60",IF(O427&lt;=90,"61-90","90+")))))</f>
        <v/>
      </c>
      <c r="T427" s="32" t="str">
        <f aca="false">IF(F427="","",IF(E427="","Diğer",E427))</f>
        <v/>
      </c>
      <c r="U427" s="32" t="str">
        <f aca="false">IF(OR(F427="",C427=""),"",IF(COUNTIF($C$2:C427,C427)=1,MAX($U$1:U426)+1,""))</f>
        <v/>
      </c>
    </row>
    <row r="428" customFormat="false" ht="15" hidden="false" customHeight="false" outlineLevel="0" collapsed="false">
      <c r="A428" s="34"/>
      <c r="B428" s="9"/>
      <c r="C428" s="34"/>
      <c r="D428" s="34"/>
      <c r="E428" s="34"/>
      <c r="F428" s="35"/>
      <c r="G428" s="9"/>
      <c r="H428" s="9"/>
      <c r="I428" s="34"/>
      <c r="J428" s="30" t="str">
        <f aca="false">IF(F428="","",G428-B428)</f>
        <v/>
      </c>
      <c r="K428" s="31" t="str">
        <f aca="false">IF(F428="","",IF(H428&lt;&gt;"",H428,MAX('Vade Sapması'!$D$3,G428)))</f>
        <v/>
      </c>
      <c r="L428" s="30" t="str">
        <f aca="false">IF(F428="","",K428-B428)</f>
        <v/>
      </c>
      <c r="M428" s="30" t="str">
        <f aca="false">IF(F428="","",L428-J428)</f>
        <v/>
      </c>
      <c r="N428" s="32" t="str">
        <f aca="false">IF(F428="","",IF(H428&lt;&gt;"","Kapandı",IF('Vade Sapması'!$D$3&gt;G428,"Açık · vadesi geçti","Açık · vadesi gelmedi")))</f>
        <v/>
      </c>
      <c r="O428" s="30" t="str">
        <f aca="false">IF(F428="","",IF(AND(H428="",'Vade Sapması'!$D$3&gt;G428),'Vade Sapması'!$D$3-G428,0))</f>
        <v/>
      </c>
      <c r="P428" s="33" t="str">
        <f aca="false">IF(F428="","",F428*J428)</f>
        <v/>
      </c>
      <c r="Q428" s="33" t="str">
        <f aca="false">IF(F428="","",F428*L428)</f>
        <v/>
      </c>
      <c r="R428" s="33" t="str">
        <f aca="false">IF(F428="","",IF(H428="",F428,0))</f>
        <v/>
      </c>
      <c r="S428" s="32" t="str">
        <f aca="false">IF(F428="","",IF(N(O428)=0,"",IF(O428&lt;=30,"1-30",IF(O428&lt;=60,"31-60",IF(O428&lt;=90,"61-90","90+")))))</f>
        <v/>
      </c>
      <c r="T428" s="32" t="str">
        <f aca="false">IF(F428="","",IF(E428="","Diğer",E428))</f>
        <v/>
      </c>
      <c r="U428" s="32" t="str">
        <f aca="false">IF(OR(F428="",C428=""),"",IF(COUNTIF($C$2:C428,C428)=1,MAX($U$1:U427)+1,""))</f>
        <v/>
      </c>
    </row>
    <row r="429" customFormat="false" ht="15" hidden="false" customHeight="false" outlineLevel="0" collapsed="false">
      <c r="A429" s="34"/>
      <c r="B429" s="9"/>
      <c r="C429" s="34"/>
      <c r="D429" s="34"/>
      <c r="E429" s="34"/>
      <c r="F429" s="35"/>
      <c r="G429" s="9"/>
      <c r="H429" s="9"/>
      <c r="I429" s="34"/>
      <c r="J429" s="30" t="str">
        <f aca="false">IF(F429="","",G429-B429)</f>
        <v/>
      </c>
      <c r="K429" s="31" t="str">
        <f aca="false">IF(F429="","",IF(H429&lt;&gt;"",H429,MAX('Vade Sapması'!$D$3,G429)))</f>
        <v/>
      </c>
      <c r="L429" s="30" t="str">
        <f aca="false">IF(F429="","",K429-B429)</f>
        <v/>
      </c>
      <c r="M429" s="30" t="str">
        <f aca="false">IF(F429="","",L429-J429)</f>
        <v/>
      </c>
      <c r="N429" s="32" t="str">
        <f aca="false">IF(F429="","",IF(H429&lt;&gt;"","Kapandı",IF('Vade Sapması'!$D$3&gt;G429,"Açık · vadesi geçti","Açık · vadesi gelmedi")))</f>
        <v/>
      </c>
      <c r="O429" s="30" t="str">
        <f aca="false">IF(F429="","",IF(AND(H429="",'Vade Sapması'!$D$3&gt;G429),'Vade Sapması'!$D$3-G429,0))</f>
        <v/>
      </c>
      <c r="P429" s="33" t="str">
        <f aca="false">IF(F429="","",F429*J429)</f>
        <v/>
      </c>
      <c r="Q429" s="33" t="str">
        <f aca="false">IF(F429="","",F429*L429)</f>
        <v/>
      </c>
      <c r="R429" s="33" t="str">
        <f aca="false">IF(F429="","",IF(H429="",F429,0))</f>
        <v/>
      </c>
      <c r="S429" s="32" t="str">
        <f aca="false">IF(F429="","",IF(N(O429)=0,"",IF(O429&lt;=30,"1-30",IF(O429&lt;=60,"31-60",IF(O429&lt;=90,"61-90","90+")))))</f>
        <v/>
      </c>
      <c r="T429" s="32" t="str">
        <f aca="false">IF(F429="","",IF(E429="","Diğer",E429))</f>
        <v/>
      </c>
      <c r="U429" s="32" t="str">
        <f aca="false">IF(OR(F429="",C429=""),"",IF(COUNTIF($C$2:C429,C429)=1,MAX($U$1:U428)+1,""))</f>
        <v/>
      </c>
    </row>
    <row r="430" customFormat="false" ht="15" hidden="false" customHeight="false" outlineLevel="0" collapsed="false">
      <c r="A430" s="34"/>
      <c r="B430" s="9"/>
      <c r="C430" s="34"/>
      <c r="D430" s="34"/>
      <c r="E430" s="34"/>
      <c r="F430" s="35"/>
      <c r="G430" s="9"/>
      <c r="H430" s="9"/>
      <c r="I430" s="34"/>
      <c r="J430" s="30" t="str">
        <f aca="false">IF(F430="","",G430-B430)</f>
        <v/>
      </c>
      <c r="K430" s="31" t="str">
        <f aca="false">IF(F430="","",IF(H430&lt;&gt;"",H430,MAX('Vade Sapması'!$D$3,G430)))</f>
        <v/>
      </c>
      <c r="L430" s="30" t="str">
        <f aca="false">IF(F430="","",K430-B430)</f>
        <v/>
      </c>
      <c r="M430" s="30" t="str">
        <f aca="false">IF(F430="","",L430-J430)</f>
        <v/>
      </c>
      <c r="N430" s="32" t="str">
        <f aca="false">IF(F430="","",IF(H430&lt;&gt;"","Kapandı",IF('Vade Sapması'!$D$3&gt;G430,"Açık · vadesi geçti","Açık · vadesi gelmedi")))</f>
        <v/>
      </c>
      <c r="O430" s="30" t="str">
        <f aca="false">IF(F430="","",IF(AND(H430="",'Vade Sapması'!$D$3&gt;G430),'Vade Sapması'!$D$3-G430,0))</f>
        <v/>
      </c>
      <c r="P430" s="33" t="str">
        <f aca="false">IF(F430="","",F430*J430)</f>
        <v/>
      </c>
      <c r="Q430" s="33" t="str">
        <f aca="false">IF(F430="","",F430*L430)</f>
        <v/>
      </c>
      <c r="R430" s="33" t="str">
        <f aca="false">IF(F430="","",IF(H430="",F430,0))</f>
        <v/>
      </c>
      <c r="S430" s="32" t="str">
        <f aca="false">IF(F430="","",IF(N(O430)=0,"",IF(O430&lt;=30,"1-30",IF(O430&lt;=60,"31-60",IF(O430&lt;=90,"61-90","90+")))))</f>
        <v/>
      </c>
      <c r="T430" s="32" t="str">
        <f aca="false">IF(F430="","",IF(E430="","Diğer",E430))</f>
        <v/>
      </c>
      <c r="U430" s="32" t="str">
        <f aca="false">IF(OR(F430="",C430=""),"",IF(COUNTIF($C$2:C430,C430)=1,MAX($U$1:U429)+1,""))</f>
        <v/>
      </c>
    </row>
    <row r="431" customFormat="false" ht="15" hidden="false" customHeight="false" outlineLevel="0" collapsed="false">
      <c r="A431" s="34"/>
      <c r="B431" s="9"/>
      <c r="C431" s="34"/>
      <c r="D431" s="34"/>
      <c r="E431" s="34"/>
      <c r="F431" s="35"/>
      <c r="G431" s="9"/>
      <c r="H431" s="9"/>
      <c r="I431" s="34"/>
      <c r="J431" s="30" t="str">
        <f aca="false">IF(F431="","",G431-B431)</f>
        <v/>
      </c>
      <c r="K431" s="31" t="str">
        <f aca="false">IF(F431="","",IF(H431&lt;&gt;"",H431,MAX('Vade Sapması'!$D$3,G431)))</f>
        <v/>
      </c>
      <c r="L431" s="30" t="str">
        <f aca="false">IF(F431="","",K431-B431)</f>
        <v/>
      </c>
      <c r="M431" s="30" t="str">
        <f aca="false">IF(F431="","",L431-J431)</f>
        <v/>
      </c>
      <c r="N431" s="32" t="str">
        <f aca="false">IF(F431="","",IF(H431&lt;&gt;"","Kapandı",IF('Vade Sapması'!$D$3&gt;G431,"Açık · vadesi geçti","Açık · vadesi gelmedi")))</f>
        <v/>
      </c>
      <c r="O431" s="30" t="str">
        <f aca="false">IF(F431="","",IF(AND(H431="",'Vade Sapması'!$D$3&gt;G431),'Vade Sapması'!$D$3-G431,0))</f>
        <v/>
      </c>
      <c r="P431" s="33" t="str">
        <f aca="false">IF(F431="","",F431*J431)</f>
        <v/>
      </c>
      <c r="Q431" s="33" t="str">
        <f aca="false">IF(F431="","",F431*L431)</f>
        <v/>
      </c>
      <c r="R431" s="33" t="str">
        <f aca="false">IF(F431="","",IF(H431="",F431,0))</f>
        <v/>
      </c>
      <c r="S431" s="32" t="str">
        <f aca="false">IF(F431="","",IF(N(O431)=0,"",IF(O431&lt;=30,"1-30",IF(O431&lt;=60,"31-60",IF(O431&lt;=90,"61-90","90+")))))</f>
        <v/>
      </c>
      <c r="T431" s="32" t="str">
        <f aca="false">IF(F431="","",IF(E431="","Diğer",E431))</f>
        <v/>
      </c>
      <c r="U431" s="32" t="str">
        <f aca="false">IF(OR(F431="",C431=""),"",IF(COUNTIF($C$2:C431,C431)=1,MAX($U$1:U430)+1,""))</f>
        <v/>
      </c>
    </row>
    <row r="432" customFormat="false" ht="15" hidden="false" customHeight="false" outlineLevel="0" collapsed="false">
      <c r="A432" s="34"/>
      <c r="B432" s="9"/>
      <c r="C432" s="34"/>
      <c r="D432" s="34"/>
      <c r="E432" s="34"/>
      <c r="F432" s="35"/>
      <c r="G432" s="9"/>
      <c r="H432" s="9"/>
      <c r="I432" s="34"/>
      <c r="J432" s="30" t="str">
        <f aca="false">IF(F432="","",G432-B432)</f>
        <v/>
      </c>
      <c r="K432" s="31" t="str">
        <f aca="false">IF(F432="","",IF(H432&lt;&gt;"",H432,MAX('Vade Sapması'!$D$3,G432)))</f>
        <v/>
      </c>
      <c r="L432" s="30" t="str">
        <f aca="false">IF(F432="","",K432-B432)</f>
        <v/>
      </c>
      <c r="M432" s="30" t="str">
        <f aca="false">IF(F432="","",L432-J432)</f>
        <v/>
      </c>
      <c r="N432" s="32" t="str">
        <f aca="false">IF(F432="","",IF(H432&lt;&gt;"","Kapandı",IF('Vade Sapması'!$D$3&gt;G432,"Açık · vadesi geçti","Açık · vadesi gelmedi")))</f>
        <v/>
      </c>
      <c r="O432" s="30" t="str">
        <f aca="false">IF(F432="","",IF(AND(H432="",'Vade Sapması'!$D$3&gt;G432),'Vade Sapması'!$D$3-G432,0))</f>
        <v/>
      </c>
      <c r="P432" s="33" t="str">
        <f aca="false">IF(F432="","",F432*J432)</f>
        <v/>
      </c>
      <c r="Q432" s="33" t="str">
        <f aca="false">IF(F432="","",F432*L432)</f>
        <v/>
      </c>
      <c r="R432" s="33" t="str">
        <f aca="false">IF(F432="","",IF(H432="",F432,0))</f>
        <v/>
      </c>
      <c r="S432" s="32" t="str">
        <f aca="false">IF(F432="","",IF(N(O432)=0,"",IF(O432&lt;=30,"1-30",IF(O432&lt;=60,"31-60",IF(O432&lt;=90,"61-90","90+")))))</f>
        <v/>
      </c>
      <c r="T432" s="32" t="str">
        <f aca="false">IF(F432="","",IF(E432="","Diğer",E432))</f>
        <v/>
      </c>
      <c r="U432" s="32" t="str">
        <f aca="false">IF(OR(F432="",C432=""),"",IF(COUNTIF($C$2:C432,C432)=1,MAX($U$1:U431)+1,""))</f>
        <v/>
      </c>
    </row>
    <row r="433" customFormat="false" ht="15" hidden="false" customHeight="false" outlineLevel="0" collapsed="false">
      <c r="A433" s="34"/>
      <c r="B433" s="9"/>
      <c r="C433" s="34"/>
      <c r="D433" s="34"/>
      <c r="E433" s="34"/>
      <c r="F433" s="35"/>
      <c r="G433" s="9"/>
      <c r="H433" s="9"/>
      <c r="I433" s="34"/>
      <c r="J433" s="30" t="str">
        <f aca="false">IF(F433="","",G433-B433)</f>
        <v/>
      </c>
      <c r="K433" s="31" t="str">
        <f aca="false">IF(F433="","",IF(H433&lt;&gt;"",H433,MAX('Vade Sapması'!$D$3,G433)))</f>
        <v/>
      </c>
      <c r="L433" s="30" t="str">
        <f aca="false">IF(F433="","",K433-B433)</f>
        <v/>
      </c>
      <c r="M433" s="30" t="str">
        <f aca="false">IF(F433="","",L433-J433)</f>
        <v/>
      </c>
      <c r="N433" s="32" t="str">
        <f aca="false">IF(F433="","",IF(H433&lt;&gt;"","Kapandı",IF('Vade Sapması'!$D$3&gt;G433,"Açık · vadesi geçti","Açık · vadesi gelmedi")))</f>
        <v/>
      </c>
      <c r="O433" s="30" t="str">
        <f aca="false">IF(F433="","",IF(AND(H433="",'Vade Sapması'!$D$3&gt;G433),'Vade Sapması'!$D$3-G433,0))</f>
        <v/>
      </c>
      <c r="P433" s="33" t="str">
        <f aca="false">IF(F433="","",F433*J433)</f>
        <v/>
      </c>
      <c r="Q433" s="33" t="str">
        <f aca="false">IF(F433="","",F433*L433)</f>
        <v/>
      </c>
      <c r="R433" s="33" t="str">
        <f aca="false">IF(F433="","",IF(H433="",F433,0))</f>
        <v/>
      </c>
      <c r="S433" s="32" t="str">
        <f aca="false">IF(F433="","",IF(N(O433)=0,"",IF(O433&lt;=30,"1-30",IF(O433&lt;=60,"31-60",IF(O433&lt;=90,"61-90","90+")))))</f>
        <v/>
      </c>
      <c r="T433" s="32" t="str">
        <f aca="false">IF(F433="","",IF(E433="","Diğer",E433))</f>
        <v/>
      </c>
      <c r="U433" s="32" t="str">
        <f aca="false">IF(OR(F433="",C433=""),"",IF(COUNTIF($C$2:C433,C433)=1,MAX($U$1:U432)+1,""))</f>
        <v/>
      </c>
    </row>
    <row r="434" customFormat="false" ht="15" hidden="false" customHeight="false" outlineLevel="0" collapsed="false">
      <c r="A434" s="34"/>
      <c r="B434" s="9"/>
      <c r="C434" s="34"/>
      <c r="D434" s="34"/>
      <c r="E434" s="34"/>
      <c r="F434" s="35"/>
      <c r="G434" s="9"/>
      <c r="H434" s="9"/>
      <c r="I434" s="34"/>
      <c r="J434" s="30" t="str">
        <f aca="false">IF(F434="","",G434-B434)</f>
        <v/>
      </c>
      <c r="K434" s="31" t="str">
        <f aca="false">IF(F434="","",IF(H434&lt;&gt;"",H434,MAX('Vade Sapması'!$D$3,G434)))</f>
        <v/>
      </c>
      <c r="L434" s="30" t="str">
        <f aca="false">IF(F434="","",K434-B434)</f>
        <v/>
      </c>
      <c r="M434" s="30" t="str">
        <f aca="false">IF(F434="","",L434-J434)</f>
        <v/>
      </c>
      <c r="N434" s="32" t="str">
        <f aca="false">IF(F434="","",IF(H434&lt;&gt;"","Kapandı",IF('Vade Sapması'!$D$3&gt;G434,"Açık · vadesi geçti","Açık · vadesi gelmedi")))</f>
        <v/>
      </c>
      <c r="O434" s="30" t="str">
        <f aca="false">IF(F434="","",IF(AND(H434="",'Vade Sapması'!$D$3&gt;G434),'Vade Sapması'!$D$3-G434,0))</f>
        <v/>
      </c>
      <c r="P434" s="33" t="str">
        <f aca="false">IF(F434="","",F434*J434)</f>
        <v/>
      </c>
      <c r="Q434" s="33" t="str">
        <f aca="false">IF(F434="","",F434*L434)</f>
        <v/>
      </c>
      <c r="R434" s="33" t="str">
        <f aca="false">IF(F434="","",IF(H434="",F434,0))</f>
        <v/>
      </c>
      <c r="S434" s="32" t="str">
        <f aca="false">IF(F434="","",IF(N(O434)=0,"",IF(O434&lt;=30,"1-30",IF(O434&lt;=60,"31-60",IF(O434&lt;=90,"61-90","90+")))))</f>
        <v/>
      </c>
      <c r="T434" s="32" t="str">
        <f aca="false">IF(F434="","",IF(E434="","Diğer",E434))</f>
        <v/>
      </c>
      <c r="U434" s="32" t="str">
        <f aca="false">IF(OR(F434="",C434=""),"",IF(COUNTIF($C$2:C434,C434)=1,MAX($U$1:U433)+1,""))</f>
        <v/>
      </c>
    </row>
    <row r="435" customFormat="false" ht="15" hidden="false" customHeight="false" outlineLevel="0" collapsed="false">
      <c r="A435" s="34"/>
      <c r="B435" s="9"/>
      <c r="C435" s="34"/>
      <c r="D435" s="34"/>
      <c r="E435" s="34"/>
      <c r="F435" s="35"/>
      <c r="G435" s="9"/>
      <c r="H435" s="9"/>
      <c r="I435" s="34"/>
      <c r="J435" s="30" t="str">
        <f aca="false">IF(F435="","",G435-B435)</f>
        <v/>
      </c>
      <c r="K435" s="31" t="str">
        <f aca="false">IF(F435="","",IF(H435&lt;&gt;"",H435,MAX('Vade Sapması'!$D$3,G435)))</f>
        <v/>
      </c>
      <c r="L435" s="30" t="str">
        <f aca="false">IF(F435="","",K435-B435)</f>
        <v/>
      </c>
      <c r="M435" s="30" t="str">
        <f aca="false">IF(F435="","",L435-J435)</f>
        <v/>
      </c>
      <c r="N435" s="32" t="str">
        <f aca="false">IF(F435="","",IF(H435&lt;&gt;"","Kapandı",IF('Vade Sapması'!$D$3&gt;G435,"Açık · vadesi geçti","Açık · vadesi gelmedi")))</f>
        <v/>
      </c>
      <c r="O435" s="30" t="str">
        <f aca="false">IF(F435="","",IF(AND(H435="",'Vade Sapması'!$D$3&gt;G435),'Vade Sapması'!$D$3-G435,0))</f>
        <v/>
      </c>
      <c r="P435" s="33" t="str">
        <f aca="false">IF(F435="","",F435*J435)</f>
        <v/>
      </c>
      <c r="Q435" s="33" t="str">
        <f aca="false">IF(F435="","",F435*L435)</f>
        <v/>
      </c>
      <c r="R435" s="33" t="str">
        <f aca="false">IF(F435="","",IF(H435="",F435,0))</f>
        <v/>
      </c>
      <c r="S435" s="32" t="str">
        <f aca="false">IF(F435="","",IF(N(O435)=0,"",IF(O435&lt;=30,"1-30",IF(O435&lt;=60,"31-60",IF(O435&lt;=90,"61-90","90+")))))</f>
        <v/>
      </c>
      <c r="T435" s="32" t="str">
        <f aca="false">IF(F435="","",IF(E435="","Diğer",E435))</f>
        <v/>
      </c>
      <c r="U435" s="32" t="str">
        <f aca="false">IF(OR(F435="",C435=""),"",IF(COUNTIF($C$2:C435,C435)=1,MAX($U$1:U434)+1,""))</f>
        <v/>
      </c>
    </row>
    <row r="436" customFormat="false" ht="15" hidden="false" customHeight="false" outlineLevel="0" collapsed="false">
      <c r="A436" s="34"/>
      <c r="B436" s="9"/>
      <c r="C436" s="34"/>
      <c r="D436" s="34"/>
      <c r="E436" s="34"/>
      <c r="F436" s="35"/>
      <c r="G436" s="9"/>
      <c r="H436" s="9"/>
      <c r="I436" s="34"/>
      <c r="J436" s="30" t="str">
        <f aca="false">IF(F436="","",G436-B436)</f>
        <v/>
      </c>
      <c r="K436" s="31" t="str">
        <f aca="false">IF(F436="","",IF(H436&lt;&gt;"",H436,MAX('Vade Sapması'!$D$3,G436)))</f>
        <v/>
      </c>
      <c r="L436" s="30" t="str">
        <f aca="false">IF(F436="","",K436-B436)</f>
        <v/>
      </c>
      <c r="M436" s="30" t="str">
        <f aca="false">IF(F436="","",L436-J436)</f>
        <v/>
      </c>
      <c r="N436" s="32" t="str">
        <f aca="false">IF(F436="","",IF(H436&lt;&gt;"","Kapandı",IF('Vade Sapması'!$D$3&gt;G436,"Açık · vadesi geçti","Açık · vadesi gelmedi")))</f>
        <v/>
      </c>
      <c r="O436" s="30" t="str">
        <f aca="false">IF(F436="","",IF(AND(H436="",'Vade Sapması'!$D$3&gt;G436),'Vade Sapması'!$D$3-G436,0))</f>
        <v/>
      </c>
      <c r="P436" s="33" t="str">
        <f aca="false">IF(F436="","",F436*J436)</f>
        <v/>
      </c>
      <c r="Q436" s="33" t="str">
        <f aca="false">IF(F436="","",F436*L436)</f>
        <v/>
      </c>
      <c r="R436" s="33" t="str">
        <f aca="false">IF(F436="","",IF(H436="",F436,0))</f>
        <v/>
      </c>
      <c r="S436" s="32" t="str">
        <f aca="false">IF(F436="","",IF(N(O436)=0,"",IF(O436&lt;=30,"1-30",IF(O436&lt;=60,"31-60",IF(O436&lt;=90,"61-90","90+")))))</f>
        <v/>
      </c>
      <c r="T436" s="32" t="str">
        <f aca="false">IF(F436="","",IF(E436="","Diğer",E436))</f>
        <v/>
      </c>
      <c r="U436" s="32" t="str">
        <f aca="false">IF(OR(F436="",C436=""),"",IF(COUNTIF($C$2:C436,C436)=1,MAX($U$1:U435)+1,""))</f>
        <v/>
      </c>
    </row>
    <row r="437" customFormat="false" ht="15" hidden="false" customHeight="false" outlineLevel="0" collapsed="false">
      <c r="A437" s="34"/>
      <c r="B437" s="9"/>
      <c r="C437" s="34"/>
      <c r="D437" s="34"/>
      <c r="E437" s="34"/>
      <c r="F437" s="35"/>
      <c r="G437" s="9"/>
      <c r="H437" s="9"/>
      <c r="I437" s="34"/>
      <c r="J437" s="30" t="str">
        <f aca="false">IF(F437="","",G437-B437)</f>
        <v/>
      </c>
      <c r="K437" s="31" t="str">
        <f aca="false">IF(F437="","",IF(H437&lt;&gt;"",H437,MAX('Vade Sapması'!$D$3,G437)))</f>
        <v/>
      </c>
      <c r="L437" s="30" t="str">
        <f aca="false">IF(F437="","",K437-B437)</f>
        <v/>
      </c>
      <c r="M437" s="30" t="str">
        <f aca="false">IF(F437="","",L437-J437)</f>
        <v/>
      </c>
      <c r="N437" s="32" t="str">
        <f aca="false">IF(F437="","",IF(H437&lt;&gt;"","Kapandı",IF('Vade Sapması'!$D$3&gt;G437,"Açık · vadesi geçti","Açık · vadesi gelmedi")))</f>
        <v/>
      </c>
      <c r="O437" s="30" t="str">
        <f aca="false">IF(F437="","",IF(AND(H437="",'Vade Sapması'!$D$3&gt;G437),'Vade Sapması'!$D$3-G437,0))</f>
        <v/>
      </c>
      <c r="P437" s="33" t="str">
        <f aca="false">IF(F437="","",F437*J437)</f>
        <v/>
      </c>
      <c r="Q437" s="33" t="str">
        <f aca="false">IF(F437="","",F437*L437)</f>
        <v/>
      </c>
      <c r="R437" s="33" t="str">
        <f aca="false">IF(F437="","",IF(H437="",F437,0))</f>
        <v/>
      </c>
      <c r="S437" s="32" t="str">
        <f aca="false">IF(F437="","",IF(N(O437)=0,"",IF(O437&lt;=30,"1-30",IF(O437&lt;=60,"31-60",IF(O437&lt;=90,"61-90","90+")))))</f>
        <v/>
      </c>
      <c r="T437" s="32" t="str">
        <f aca="false">IF(F437="","",IF(E437="","Diğer",E437))</f>
        <v/>
      </c>
      <c r="U437" s="32" t="str">
        <f aca="false">IF(OR(F437="",C437=""),"",IF(COUNTIF($C$2:C437,C437)=1,MAX($U$1:U436)+1,""))</f>
        <v/>
      </c>
    </row>
    <row r="438" customFormat="false" ht="15" hidden="false" customHeight="false" outlineLevel="0" collapsed="false">
      <c r="A438" s="34"/>
      <c r="B438" s="9"/>
      <c r="C438" s="34"/>
      <c r="D438" s="34"/>
      <c r="E438" s="34"/>
      <c r="F438" s="35"/>
      <c r="G438" s="9"/>
      <c r="H438" s="9"/>
      <c r="I438" s="34"/>
      <c r="J438" s="30" t="str">
        <f aca="false">IF(F438="","",G438-B438)</f>
        <v/>
      </c>
      <c r="K438" s="31" t="str">
        <f aca="false">IF(F438="","",IF(H438&lt;&gt;"",H438,MAX('Vade Sapması'!$D$3,G438)))</f>
        <v/>
      </c>
      <c r="L438" s="30" t="str">
        <f aca="false">IF(F438="","",K438-B438)</f>
        <v/>
      </c>
      <c r="M438" s="30" t="str">
        <f aca="false">IF(F438="","",L438-J438)</f>
        <v/>
      </c>
      <c r="N438" s="32" t="str">
        <f aca="false">IF(F438="","",IF(H438&lt;&gt;"","Kapandı",IF('Vade Sapması'!$D$3&gt;G438,"Açık · vadesi geçti","Açık · vadesi gelmedi")))</f>
        <v/>
      </c>
      <c r="O438" s="30" t="str">
        <f aca="false">IF(F438="","",IF(AND(H438="",'Vade Sapması'!$D$3&gt;G438),'Vade Sapması'!$D$3-G438,0))</f>
        <v/>
      </c>
      <c r="P438" s="33" t="str">
        <f aca="false">IF(F438="","",F438*J438)</f>
        <v/>
      </c>
      <c r="Q438" s="33" t="str">
        <f aca="false">IF(F438="","",F438*L438)</f>
        <v/>
      </c>
      <c r="R438" s="33" t="str">
        <f aca="false">IF(F438="","",IF(H438="",F438,0))</f>
        <v/>
      </c>
      <c r="S438" s="32" t="str">
        <f aca="false">IF(F438="","",IF(N(O438)=0,"",IF(O438&lt;=30,"1-30",IF(O438&lt;=60,"31-60",IF(O438&lt;=90,"61-90","90+")))))</f>
        <v/>
      </c>
      <c r="T438" s="32" t="str">
        <f aca="false">IF(F438="","",IF(E438="","Diğer",E438))</f>
        <v/>
      </c>
      <c r="U438" s="32" t="str">
        <f aca="false">IF(OR(F438="",C438=""),"",IF(COUNTIF($C$2:C438,C438)=1,MAX($U$1:U437)+1,""))</f>
        <v/>
      </c>
    </row>
    <row r="439" customFormat="false" ht="15" hidden="false" customHeight="false" outlineLevel="0" collapsed="false">
      <c r="A439" s="34"/>
      <c r="B439" s="9"/>
      <c r="C439" s="34"/>
      <c r="D439" s="34"/>
      <c r="E439" s="34"/>
      <c r="F439" s="35"/>
      <c r="G439" s="9"/>
      <c r="H439" s="9"/>
      <c r="I439" s="34"/>
      <c r="J439" s="30" t="str">
        <f aca="false">IF(F439="","",G439-B439)</f>
        <v/>
      </c>
      <c r="K439" s="31" t="str">
        <f aca="false">IF(F439="","",IF(H439&lt;&gt;"",H439,MAX('Vade Sapması'!$D$3,G439)))</f>
        <v/>
      </c>
      <c r="L439" s="30" t="str">
        <f aca="false">IF(F439="","",K439-B439)</f>
        <v/>
      </c>
      <c r="M439" s="30" t="str">
        <f aca="false">IF(F439="","",L439-J439)</f>
        <v/>
      </c>
      <c r="N439" s="32" t="str">
        <f aca="false">IF(F439="","",IF(H439&lt;&gt;"","Kapandı",IF('Vade Sapması'!$D$3&gt;G439,"Açık · vadesi geçti","Açık · vadesi gelmedi")))</f>
        <v/>
      </c>
      <c r="O439" s="30" t="str">
        <f aca="false">IF(F439="","",IF(AND(H439="",'Vade Sapması'!$D$3&gt;G439),'Vade Sapması'!$D$3-G439,0))</f>
        <v/>
      </c>
      <c r="P439" s="33" t="str">
        <f aca="false">IF(F439="","",F439*J439)</f>
        <v/>
      </c>
      <c r="Q439" s="33" t="str">
        <f aca="false">IF(F439="","",F439*L439)</f>
        <v/>
      </c>
      <c r="R439" s="33" t="str">
        <f aca="false">IF(F439="","",IF(H439="",F439,0))</f>
        <v/>
      </c>
      <c r="S439" s="32" t="str">
        <f aca="false">IF(F439="","",IF(N(O439)=0,"",IF(O439&lt;=30,"1-30",IF(O439&lt;=60,"31-60",IF(O439&lt;=90,"61-90","90+")))))</f>
        <v/>
      </c>
      <c r="T439" s="32" t="str">
        <f aca="false">IF(F439="","",IF(E439="","Diğer",E439))</f>
        <v/>
      </c>
      <c r="U439" s="32" t="str">
        <f aca="false">IF(OR(F439="",C439=""),"",IF(COUNTIF($C$2:C439,C439)=1,MAX($U$1:U438)+1,""))</f>
        <v/>
      </c>
    </row>
    <row r="440" customFormat="false" ht="15" hidden="false" customHeight="false" outlineLevel="0" collapsed="false">
      <c r="A440" s="34"/>
      <c r="B440" s="9"/>
      <c r="C440" s="34"/>
      <c r="D440" s="34"/>
      <c r="E440" s="34"/>
      <c r="F440" s="35"/>
      <c r="G440" s="9"/>
      <c r="H440" s="9"/>
      <c r="I440" s="34"/>
      <c r="J440" s="30" t="str">
        <f aca="false">IF(F440="","",G440-B440)</f>
        <v/>
      </c>
      <c r="K440" s="31" t="str">
        <f aca="false">IF(F440="","",IF(H440&lt;&gt;"",H440,MAX('Vade Sapması'!$D$3,G440)))</f>
        <v/>
      </c>
      <c r="L440" s="30" t="str">
        <f aca="false">IF(F440="","",K440-B440)</f>
        <v/>
      </c>
      <c r="M440" s="30" t="str">
        <f aca="false">IF(F440="","",L440-J440)</f>
        <v/>
      </c>
      <c r="N440" s="32" t="str">
        <f aca="false">IF(F440="","",IF(H440&lt;&gt;"","Kapandı",IF('Vade Sapması'!$D$3&gt;G440,"Açık · vadesi geçti","Açık · vadesi gelmedi")))</f>
        <v/>
      </c>
      <c r="O440" s="30" t="str">
        <f aca="false">IF(F440="","",IF(AND(H440="",'Vade Sapması'!$D$3&gt;G440),'Vade Sapması'!$D$3-G440,0))</f>
        <v/>
      </c>
      <c r="P440" s="33" t="str">
        <f aca="false">IF(F440="","",F440*J440)</f>
        <v/>
      </c>
      <c r="Q440" s="33" t="str">
        <f aca="false">IF(F440="","",F440*L440)</f>
        <v/>
      </c>
      <c r="R440" s="33" t="str">
        <f aca="false">IF(F440="","",IF(H440="",F440,0))</f>
        <v/>
      </c>
      <c r="S440" s="32" t="str">
        <f aca="false">IF(F440="","",IF(N(O440)=0,"",IF(O440&lt;=30,"1-30",IF(O440&lt;=60,"31-60",IF(O440&lt;=90,"61-90","90+")))))</f>
        <v/>
      </c>
      <c r="T440" s="32" t="str">
        <f aca="false">IF(F440="","",IF(E440="","Diğer",E440))</f>
        <v/>
      </c>
      <c r="U440" s="32" t="str">
        <f aca="false">IF(OR(F440="",C440=""),"",IF(COUNTIF($C$2:C440,C440)=1,MAX($U$1:U439)+1,""))</f>
        <v/>
      </c>
    </row>
    <row r="441" customFormat="false" ht="15" hidden="false" customHeight="false" outlineLevel="0" collapsed="false">
      <c r="A441" s="34"/>
      <c r="B441" s="9"/>
      <c r="C441" s="34"/>
      <c r="D441" s="34"/>
      <c r="E441" s="34"/>
      <c r="F441" s="35"/>
      <c r="G441" s="9"/>
      <c r="H441" s="9"/>
      <c r="I441" s="34"/>
      <c r="J441" s="30" t="str">
        <f aca="false">IF(F441="","",G441-B441)</f>
        <v/>
      </c>
      <c r="K441" s="31" t="str">
        <f aca="false">IF(F441="","",IF(H441&lt;&gt;"",H441,MAX('Vade Sapması'!$D$3,G441)))</f>
        <v/>
      </c>
      <c r="L441" s="30" t="str">
        <f aca="false">IF(F441="","",K441-B441)</f>
        <v/>
      </c>
      <c r="M441" s="30" t="str">
        <f aca="false">IF(F441="","",L441-J441)</f>
        <v/>
      </c>
      <c r="N441" s="32" t="str">
        <f aca="false">IF(F441="","",IF(H441&lt;&gt;"","Kapandı",IF('Vade Sapması'!$D$3&gt;G441,"Açık · vadesi geçti","Açık · vadesi gelmedi")))</f>
        <v/>
      </c>
      <c r="O441" s="30" t="str">
        <f aca="false">IF(F441="","",IF(AND(H441="",'Vade Sapması'!$D$3&gt;G441),'Vade Sapması'!$D$3-G441,0))</f>
        <v/>
      </c>
      <c r="P441" s="33" t="str">
        <f aca="false">IF(F441="","",F441*J441)</f>
        <v/>
      </c>
      <c r="Q441" s="33" t="str">
        <f aca="false">IF(F441="","",F441*L441)</f>
        <v/>
      </c>
      <c r="R441" s="33" t="str">
        <f aca="false">IF(F441="","",IF(H441="",F441,0))</f>
        <v/>
      </c>
      <c r="S441" s="32" t="str">
        <f aca="false">IF(F441="","",IF(N(O441)=0,"",IF(O441&lt;=30,"1-30",IF(O441&lt;=60,"31-60",IF(O441&lt;=90,"61-90","90+")))))</f>
        <v/>
      </c>
      <c r="T441" s="32" t="str">
        <f aca="false">IF(F441="","",IF(E441="","Diğer",E441))</f>
        <v/>
      </c>
      <c r="U441" s="32" t="str">
        <f aca="false">IF(OR(F441="",C441=""),"",IF(COUNTIF($C$2:C441,C441)=1,MAX($U$1:U440)+1,""))</f>
        <v/>
      </c>
    </row>
    <row r="442" customFormat="false" ht="15" hidden="false" customHeight="false" outlineLevel="0" collapsed="false">
      <c r="A442" s="34"/>
      <c r="B442" s="9"/>
      <c r="C442" s="34"/>
      <c r="D442" s="34"/>
      <c r="E442" s="34"/>
      <c r="F442" s="35"/>
      <c r="G442" s="9"/>
      <c r="H442" s="9"/>
      <c r="I442" s="34"/>
      <c r="J442" s="30" t="str">
        <f aca="false">IF(F442="","",G442-B442)</f>
        <v/>
      </c>
      <c r="K442" s="31" t="str">
        <f aca="false">IF(F442="","",IF(H442&lt;&gt;"",H442,MAX('Vade Sapması'!$D$3,G442)))</f>
        <v/>
      </c>
      <c r="L442" s="30" t="str">
        <f aca="false">IF(F442="","",K442-B442)</f>
        <v/>
      </c>
      <c r="M442" s="30" t="str">
        <f aca="false">IF(F442="","",L442-J442)</f>
        <v/>
      </c>
      <c r="N442" s="32" t="str">
        <f aca="false">IF(F442="","",IF(H442&lt;&gt;"","Kapandı",IF('Vade Sapması'!$D$3&gt;G442,"Açık · vadesi geçti","Açık · vadesi gelmedi")))</f>
        <v/>
      </c>
      <c r="O442" s="30" t="str">
        <f aca="false">IF(F442="","",IF(AND(H442="",'Vade Sapması'!$D$3&gt;G442),'Vade Sapması'!$D$3-G442,0))</f>
        <v/>
      </c>
      <c r="P442" s="33" t="str">
        <f aca="false">IF(F442="","",F442*J442)</f>
        <v/>
      </c>
      <c r="Q442" s="33" t="str">
        <f aca="false">IF(F442="","",F442*L442)</f>
        <v/>
      </c>
      <c r="R442" s="33" t="str">
        <f aca="false">IF(F442="","",IF(H442="",F442,0))</f>
        <v/>
      </c>
      <c r="S442" s="32" t="str">
        <f aca="false">IF(F442="","",IF(N(O442)=0,"",IF(O442&lt;=30,"1-30",IF(O442&lt;=60,"31-60",IF(O442&lt;=90,"61-90","90+")))))</f>
        <v/>
      </c>
      <c r="T442" s="32" t="str">
        <f aca="false">IF(F442="","",IF(E442="","Diğer",E442))</f>
        <v/>
      </c>
      <c r="U442" s="32" t="str">
        <f aca="false">IF(OR(F442="",C442=""),"",IF(COUNTIF($C$2:C442,C442)=1,MAX($U$1:U441)+1,""))</f>
        <v/>
      </c>
    </row>
    <row r="443" customFormat="false" ht="15" hidden="false" customHeight="false" outlineLevel="0" collapsed="false">
      <c r="A443" s="34"/>
      <c r="B443" s="9"/>
      <c r="C443" s="34"/>
      <c r="D443" s="34"/>
      <c r="E443" s="34"/>
      <c r="F443" s="35"/>
      <c r="G443" s="9"/>
      <c r="H443" s="9"/>
      <c r="I443" s="34"/>
      <c r="J443" s="30" t="str">
        <f aca="false">IF(F443="","",G443-B443)</f>
        <v/>
      </c>
      <c r="K443" s="31" t="str">
        <f aca="false">IF(F443="","",IF(H443&lt;&gt;"",H443,MAX('Vade Sapması'!$D$3,G443)))</f>
        <v/>
      </c>
      <c r="L443" s="30" t="str">
        <f aca="false">IF(F443="","",K443-B443)</f>
        <v/>
      </c>
      <c r="M443" s="30" t="str">
        <f aca="false">IF(F443="","",L443-J443)</f>
        <v/>
      </c>
      <c r="N443" s="32" t="str">
        <f aca="false">IF(F443="","",IF(H443&lt;&gt;"","Kapandı",IF('Vade Sapması'!$D$3&gt;G443,"Açık · vadesi geçti","Açık · vadesi gelmedi")))</f>
        <v/>
      </c>
      <c r="O443" s="30" t="str">
        <f aca="false">IF(F443="","",IF(AND(H443="",'Vade Sapması'!$D$3&gt;G443),'Vade Sapması'!$D$3-G443,0))</f>
        <v/>
      </c>
      <c r="P443" s="33" t="str">
        <f aca="false">IF(F443="","",F443*J443)</f>
        <v/>
      </c>
      <c r="Q443" s="33" t="str">
        <f aca="false">IF(F443="","",F443*L443)</f>
        <v/>
      </c>
      <c r="R443" s="33" t="str">
        <f aca="false">IF(F443="","",IF(H443="",F443,0))</f>
        <v/>
      </c>
      <c r="S443" s="32" t="str">
        <f aca="false">IF(F443="","",IF(N(O443)=0,"",IF(O443&lt;=30,"1-30",IF(O443&lt;=60,"31-60",IF(O443&lt;=90,"61-90","90+")))))</f>
        <v/>
      </c>
      <c r="T443" s="32" t="str">
        <f aca="false">IF(F443="","",IF(E443="","Diğer",E443))</f>
        <v/>
      </c>
      <c r="U443" s="32" t="str">
        <f aca="false">IF(OR(F443="",C443=""),"",IF(COUNTIF($C$2:C443,C443)=1,MAX($U$1:U442)+1,""))</f>
        <v/>
      </c>
    </row>
    <row r="444" customFormat="false" ht="15" hidden="false" customHeight="false" outlineLevel="0" collapsed="false">
      <c r="A444" s="34"/>
      <c r="B444" s="9"/>
      <c r="C444" s="34"/>
      <c r="D444" s="34"/>
      <c r="E444" s="34"/>
      <c r="F444" s="35"/>
      <c r="G444" s="9"/>
      <c r="H444" s="9"/>
      <c r="I444" s="34"/>
      <c r="J444" s="30" t="str">
        <f aca="false">IF(F444="","",G444-B444)</f>
        <v/>
      </c>
      <c r="K444" s="31" t="str">
        <f aca="false">IF(F444="","",IF(H444&lt;&gt;"",H444,MAX('Vade Sapması'!$D$3,G444)))</f>
        <v/>
      </c>
      <c r="L444" s="30" t="str">
        <f aca="false">IF(F444="","",K444-B444)</f>
        <v/>
      </c>
      <c r="M444" s="30" t="str">
        <f aca="false">IF(F444="","",L444-J444)</f>
        <v/>
      </c>
      <c r="N444" s="32" t="str">
        <f aca="false">IF(F444="","",IF(H444&lt;&gt;"","Kapandı",IF('Vade Sapması'!$D$3&gt;G444,"Açık · vadesi geçti","Açık · vadesi gelmedi")))</f>
        <v/>
      </c>
      <c r="O444" s="30" t="str">
        <f aca="false">IF(F444="","",IF(AND(H444="",'Vade Sapması'!$D$3&gt;G444),'Vade Sapması'!$D$3-G444,0))</f>
        <v/>
      </c>
      <c r="P444" s="33" t="str">
        <f aca="false">IF(F444="","",F444*J444)</f>
        <v/>
      </c>
      <c r="Q444" s="33" t="str">
        <f aca="false">IF(F444="","",F444*L444)</f>
        <v/>
      </c>
      <c r="R444" s="33" t="str">
        <f aca="false">IF(F444="","",IF(H444="",F444,0))</f>
        <v/>
      </c>
      <c r="S444" s="32" t="str">
        <f aca="false">IF(F444="","",IF(N(O444)=0,"",IF(O444&lt;=30,"1-30",IF(O444&lt;=60,"31-60",IF(O444&lt;=90,"61-90","90+")))))</f>
        <v/>
      </c>
      <c r="T444" s="32" t="str">
        <f aca="false">IF(F444="","",IF(E444="","Diğer",E444))</f>
        <v/>
      </c>
      <c r="U444" s="32" t="str">
        <f aca="false">IF(OR(F444="",C444=""),"",IF(COUNTIF($C$2:C444,C444)=1,MAX($U$1:U443)+1,""))</f>
        <v/>
      </c>
    </row>
    <row r="445" customFormat="false" ht="15" hidden="false" customHeight="false" outlineLevel="0" collapsed="false">
      <c r="A445" s="34"/>
      <c r="B445" s="9"/>
      <c r="C445" s="34"/>
      <c r="D445" s="34"/>
      <c r="E445" s="34"/>
      <c r="F445" s="35"/>
      <c r="G445" s="9"/>
      <c r="H445" s="9"/>
      <c r="I445" s="34"/>
      <c r="J445" s="30" t="str">
        <f aca="false">IF(F445="","",G445-B445)</f>
        <v/>
      </c>
      <c r="K445" s="31" t="str">
        <f aca="false">IF(F445="","",IF(H445&lt;&gt;"",H445,MAX('Vade Sapması'!$D$3,G445)))</f>
        <v/>
      </c>
      <c r="L445" s="30" t="str">
        <f aca="false">IF(F445="","",K445-B445)</f>
        <v/>
      </c>
      <c r="M445" s="30" t="str">
        <f aca="false">IF(F445="","",L445-J445)</f>
        <v/>
      </c>
      <c r="N445" s="32" t="str">
        <f aca="false">IF(F445="","",IF(H445&lt;&gt;"","Kapandı",IF('Vade Sapması'!$D$3&gt;G445,"Açık · vadesi geçti","Açık · vadesi gelmedi")))</f>
        <v/>
      </c>
      <c r="O445" s="30" t="str">
        <f aca="false">IF(F445="","",IF(AND(H445="",'Vade Sapması'!$D$3&gt;G445),'Vade Sapması'!$D$3-G445,0))</f>
        <v/>
      </c>
      <c r="P445" s="33" t="str">
        <f aca="false">IF(F445="","",F445*J445)</f>
        <v/>
      </c>
      <c r="Q445" s="33" t="str">
        <f aca="false">IF(F445="","",F445*L445)</f>
        <v/>
      </c>
      <c r="R445" s="33" t="str">
        <f aca="false">IF(F445="","",IF(H445="",F445,0))</f>
        <v/>
      </c>
      <c r="S445" s="32" t="str">
        <f aca="false">IF(F445="","",IF(N(O445)=0,"",IF(O445&lt;=30,"1-30",IF(O445&lt;=60,"31-60",IF(O445&lt;=90,"61-90","90+")))))</f>
        <v/>
      </c>
      <c r="T445" s="32" t="str">
        <f aca="false">IF(F445="","",IF(E445="","Diğer",E445))</f>
        <v/>
      </c>
      <c r="U445" s="32" t="str">
        <f aca="false">IF(OR(F445="",C445=""),"",IF(COUNTIF($C$2:C445,C445)=1,MAX($U$1:U444)+1,""))</f>
        <v/>
      </c>
    </row>
    <row r="446" customFormat="false" ht="15" hidden="false" customHeight="false" outlineLevel="0" collapsed="false">
      <c r="A446" s="34"/>
      <c r="B446" s="9"/>
      <c r="C446" s="34"/>
      <c r="D446" s="34"/>
      <c r="E446" s="34"/>
      <c r="F446" s="35"/>
      <c r="G446" s="9"/>
      <c r="H446" s="9"/>
      <c r="I446" s="34"/>
      <c r="J446" s="30" t="str">
        <f aca="false">IF(F446="","",G446-B446)</f>
        <v/>
      </c>
      <c r="K446" s="31" t="str">
        <f aca="false">IF(F446="","",IF(H446&lt;&gt;"",H446,MAX('Vade Sapması'!$D$3,G446)))</f>
        <v/>
      </c>
      <c r="L446" s="30" t="str">
        <f aca="false">IF(F446="","",K446-B446)</f>
        <v/>
      </c>
      <c r="M446" s="30" t="str">
        <f aca="false">IF(F446="","",L446-J446)</f>
        <v/>
      </c>
      <c r="N446" s="32" t="str">
        <f aca="false">IF(F446="","",IF(H446&lt;&gt;"","Kapandı",IF('Vade Sapması'!$D$3&gt;G446,"Açık · vadesi geçti","Açık · vadesi gelmedi")))</f>
        <v/>
      </c>
      <c r="O446" s="30" t="str">
        <f aca="false">IF(F446="","",IF(AND(H446="",'Vade Sapması'!$D$3&gt;G446),'Vade Sapması'!$D$3-G446,0))</f>
        <v/>
      </c>
      <c r="P446" s="33" t="str">
        <f aca="false">IF(F446="","",F446*J446)</f>
        <v/>
      </c>
      <c r="Q446" s="33" t="str">
        <f aca="false">IF(F446="","",F446*L446)</f>
        <v/>
      </c>
      <c r="R446" s="33" t="str">
        <f aca="false">IF(F446="","",IF(H446="",F446,0))</f>
        <v/>
      </c>
      <c r="S446" s="32" t="str">
        <f aca="false">IF(F446="","",IF(N(O446)=0,"",IF(O446&lt;=30,"1-30",IF(O446&lt;=60,"31-60",IF(O446&lt;=90,"61-90","90+")))))</f>
        <v/>
      </c>
      <c r="T446" s="32" t="str">
        <f aca="false">IF(F446="","",IF(E446="","Diğer",E446))</f>
        <v/>
      </c>
      <c r="U446" s="32" t="str">
        <f aca="false">IF(OR(F446="",C446=""),"",IF(COUNTIF($C$2:C446,C446)=1,MAX($U$1:U445)+1,""))</f>
        <v/>
      </c>
    </row>
    <row r="447" customFormat="false" ht="15" hidden="false" customHeight="false" outlineLevel="0" collapsed="false">
      <c r="A447" s="34"/>
      <c r="B447" s="9"/>
      <c r="C447" s="34"/>
      <c r="D447" s="34"/>
      <c r="E447" s="34"/>
      <c r="F447" s="35"/>
      <c r="G447" s="9"/>
      <c r="H447" s="9"/>
      <c r="I447" s="34"/>
      <c r="J447" s="30" t="str">
        <f aca="false">IF(F447="","",G447-B447)</f>
        <v/>
      </c>
      <c r="K447" s="31" t="str">
        <f aca="false">IF(F447="","",IF(H447&lt;&gt;"",H447,MAX('Vade Sapması'!$D$3,G447)))</f>
        <v/>
      </c>
      <c r="L447" s="30" t="str">
        <f aca="false">IF(F447="","",K447-B447)</f>
        <v/>
      </c>
      <c r="M447" s="30" t="str">
        <f aca="false">IF(F447="","",L447-J447)</f>
        <v/>
      </c>
      <c r="N447" s="32" t="str">
        <f aca="false">IF(F447="","",IF(H447&lt;&gt;"","Kapandı",IF('Vade Sapması'!$D$3&gt;G447,"Açık · vadesi geçti","Açık · vadesi gelmedi")))</f>
        <v/>
      </c>
      <c r="O447" s="30" t="str">
        <f aca="false">IF(F447="","",IF(AND(H447="",'Vade Sapması'!$D$3&gt;G447),'Vade Sapması'!$D$3-G447,0))</f>
        <v/>
      </c>
      <c r="P447" s="33" t="str">
        <f aca="false">IF(F447="","",F447*J447)</f>
        <v/>
      </c>
      <c r="Q447" s="33" t="str">
        <f aca="false">IF(F447="","",F447*L447)</f>
        <v/>
      </c>
      <c r="R447" s="33" t="str">
        <f aca="false">IF(F447="","",IF(H447="",F447,0))</f>
        <v/>
      </c>
      <c r="S447" s="32" t="str">
        <f aca="false">IF(F447="","",IF(N(O447)=0,"",IF(O447&lt;=30,"1-30",IF(O447&lt;=60,"31-60",IF(O447&lt;=90,"61-90","90+")))))</f>
        <v/>
      </c>
      <c r="T447" s="32" t="str">
        <f aca="false">IF(F447="","",IF(E447="","Diğer",E447))</f>
        <v/>
      </c>
      <c r="U447" s="32" t="str">
        <f aca="false">IF(OR(F447="",C447=""),"",IF(COUNTIF($C$2:C447,C447)=1,MAX($U$1:U446)+1,""))</f>
        <v/>
      </c>
    </row>
    <row r="448" customFormat="false" ht="15" hidden="false" customHeight="false" outlineLevel="0" collapsed="false">
      <c r="A448" s="34"/>
      <c r="B448" s="9"/>
      <c r="C448" s="34"/>
      <c r="D448" s="34"/>
      <c r="E448" s="34"/>
      <c r="F448" s="35"/>
      <c r="G448" s="9"/>
      <c r="H448" s="9"/>
      <c r="I448" s="34"/>
      <c r="J448" s="30" t="str">
        <f aca="false">IF(F448="","",G448-B448)</f>
        <v/>
      </c>
      <c r="K448" s="31" t="str">
        <f aca="false">IF(F448="","",IF(H448&lt;&gt;"",H448,MAX('Vade Sapması'!$D$3,G448)))</f>
        <v/>
      </c>
      <c r="L448" s="30" t="str">
        <f aca="false">IF(F448="","",K448-B448)</f>
        <v/>
      </c>
      <c r="M448" s="30" t="str">
        <f aca="false">IF(F448="","",L448-J448)</f>
        <v/>
      </c>
      <c r="N448" s="32" t="str">
        <f aca="false">IF(F448="","",IF(H448&lt;&gt;"","Kapandı",IF('Vade Sapması'!$D$3&gt;G448,"Açık · vadesi geçti","Açık · vadesi gelmedi")))</f>
        <v/>
      </c>
      <c r="O448" s="30" t="str">
        <f aca="false">IF(F448="","",IF(AND(H448="",'Vade Sapması'!$D$3&gt;G448),'Vade Sapması'!$D$3-G448,0))</f>
        <v/>
      </c>
      <c r="P448" s="33" t="str">
        <f aca="false">IF(F448="","",F448*J448)</f>
        <v/>
      </c>
      <c r="Q448" s="33" t="str">
        <f aca="false">IF(F448="","",F448*L448)</f>
        <v/>
      </c>
      <c r="R448" s="33" t="str">
        <f aca="false">IF(F448="","",IF(H448="",F448,0))</f>
        <v/>
      </c>
      <c r="S448" s="32" t="str">
        <f aca="false">IF(F448="","",IF(N(O448)=0,"",IF(O448&lt;=30,"1-30",IF(O448&lt;=60,"31-60",IF(O448&lt;=90,"61-90","90+")))))</f>
        <v/>
      </c>
      <c r="T448" s="32" t="str">
        <f aca="false">IF(F448="","",IF(E448="","Diğer",E448))</f>
        <v/>
      </c>
      <c r="U448" s="32" t="str">
        <f aca="false">IF(OR(F448="",C448=""),"",IF(COUNTIF($C$2:C448,C448)=1,MAX($U$1:U447)+1,""))</f>
        <v/>
      </c>
    </row>
    <row r="449" customFormat="false" ht="15" hidden="false" customHeight="false" outlineLevel="0" collapsed="false">
      <c r="A449" s="34"/>
      <c r="B449" s="9"/>
      <c r="C449" s="34"/>
      <c r="D449" s="34"/>
      <c r="E449" s="34"/>
      <c r="F449" s="35"/>
      <c r="G449" s="9"/>
      <c r="H449" s="9"/>
      <c r="I449" s="34"/>
      <c r="J449" s="30" t="str">
        <f aca="false">IF(F449="","",G449-B449)</f>
        <v/>
      </c>
      <c r="K449" s="31" t="str">
        <f aca="false">IF(F449="","",IF(H449&lt;&gt;"",H449,MAX('Vade Sapması'!$D$3,G449)))</f>
        <v/>
      </c>
      <c r="L449" s="30" t="str">
        <f aca="false">IF(F449="","",K449-B449)</f>
        <v/>
      </c>
      <c r="M449" s="30" t="str">
        <f aca="false">IF(F449="","",L449-J449)</f>
        <v/>
      </c>
      <c r="N449" s="32" t="str">
        <f aca="false">IF(F449="","",IF(H449&lt;&gt;"","Kapandı",IF('Vade Sapması'!$D$3&gt;G449,"Açık · vadesi geçti","Açık · vadesi gelmedi")))</f>
        <v/>
      </c>
      <c r="O449" s="30" t="str">
        <f aca="false">IF(F449="","",IF(AND(H449="",'Vade Sapması'!$D$3&gt;G449),'Vade Sapması'!$D$3-G449,0))</f>
        <v/>
      </c>
      <c r="P449" s="33" t="str">
        <f aca="false">IF(F449="","",F449*J449)</f>
        <v/>
      </c>
      <c r="Q449" s="33" t="str">
        <f aca="false">IF(F449="","",F449*L449)</f>
        <v/>
      </c>
      <c r="R449" s="33" t="str">
        <f aca="false">IF(F449="","",IF(H449="",F449,0))</f>
        <v/>
      </c>
      <c r="S449" s="32" t="str">
        <f aca="false">IF(F449="","",IF(N(O449)=0,"",IF(O449&lt;=30,"1-30",IF(O449&lt;=60,"31-60",IF(O449&lt;=90,"61-90","90+")))))</f>
        <v/>
      </c>
      <c r="T449" s="32" t="str">
        <f aca="false">IF(F449="","",IF(E449="","Diğer",E449))</f>
        <v/>
      </c>
      <c r="U449" s="32" t="str">
        <f aca="false">IF(OR(F449="",C449=""),"",IF(COUNTIF($C$2:C449,C449)=1,MAX($U$1:U448)+1,""))</f>
        <v/>
      </c>
    </row>
    <row r="450" customFormat="false" ht="15" hidden="false" customHeight="false" outlineLevel="0" collapsed="false">
      <c r="A450" s="34"/>
      <c r="B450" s="9"/>
      <c r="C450" s="34"/>
      <c r="D450" s="34"/>
      <c r="E450" s="34"/>
      <c r="F450" s="35"/>
      <c r="G450" s="9"/>
      <c r="H450" s="9"/>
      <c r="I450" s="34"/>
      <c r="J450" s="30" t="str">
        <f aca="false">IF(F450="","",G450-B450)</f>
        <v/>
      </c>
      <c r="K450" s="31" t="str">
        <f aca="false">IF(F450="","",IF(H450&lt;&gt;"",H450,MAX('Vade Sapması'!$D$3,G450)))</f>
        <v/>
      </c>
      <c r="L450" s="30" t="str">
        <f aca="false">IF(F450="","",K450-B450)</f>
        <v/>
      </c>
      <c r="M450" s="30" t="str">
        <f aca="false">IF(F450="","",L450-J450)</f>
        <v/>
      </c>
      <c r="N450" s="32" t="str">
        <f aca="false">IF(F450="","",IF(H450&lt;&gt;"","Kapandı",IF('Vade Sapması'!$D$3&gt;G450,"Açık · vadesi geçti","Açık · vadesi gelmedi")))</f>
        <v/>
      </c>
      <c r="O450" s="30" t="str">
        <f aca="false">IF(F450="","",IF(AND(H450="",'Vade Sapması'!$D$3&gt;G450),'Vade Sapması'!$D$3-G450,0))</f>
        <v/>
      </c>
      <c r="P450" s="33" t="str">
        <f aca="false">IF(F450="","",F450*J450)</f>
        <v/>
      </c>
      <c r="Q450" s="33" t="str">
        <f aca="false">IF(F450="","",F450*L450)</f>
        <v/>
      </c>
      <c r="R450" s="33" t="str">
        <f aca="false">IF(F450="","",IF(H450="",F450,0))</f>
        <v/>
      </c>
      <c r="S450" s="32" t="str">
        <f aca="false">IF(F450="","",IF(N(O450)=0,"",IF(O450&lt;=30,"1-30",IF(O450&lt;=60,"31-60",IF(O450&lt;=90,"61-90","90+")))))</f>
        <v/>
      </c>
      <c r="T450" s="32" t="str">
        <f aca="false">IF(F450="","",IF(E450="","Diğer",E450))</f>
        <v/>
      </c>
      <c r="U450" s="32" t="str">
        <f aca="false">IF(OR(F450="",C450=""),"",IF(COUNTIF($C$2:C450,C450)=1,MAX($U$1:U449)+1,""))</f>
        <v/>
      </c>
    </row>
    <row r="451" customFormat="false" ht="15" hidden="false" customHeight="false" outlineLevel="0" collapsed="false">
      <c r="A451" s="34"/>
      <c r="B451" s="9"/>
      <c r="C451" s="34"/>
      <c r="D451" s="34"/>
      <c r="E451" s="34"/>
      <c r="F451" s="35"/>
      <c r="G451" s="9"/>
      <c r="H451" s="9"/>
      <c r="I451" s="34"/>
      <c r="J451" s="30" t="str">
        <f aca="false">IF(F451="","",G451-B451)</f>
        <v/>
      </c>
      <c r="K451" s="31" t="str">
        <f aca="false">IF(F451="","",IF(H451&lt;&gt;"",H451,MAX('Vade Sapması'!$D$3,G451)))</f>
        <v/>
      </c>
      <c r="L451" s="30" t="str">
        <f aca="false">IF(F451="","",K451-B451)</f>
        <v/>
      </c>
      <c r="M451" s="30" t="str">
        <f aca="false">IF(F451="","",L451-J451)</f>
        <v/>
      </c>
      <c r="N451" s="32" t="str">
        <f aca="false">IF(F451="","",IF(H451&lt;&gt;"","Kapandı",IF('Vade Sapması'!$D$3&gt;G451,"Açık · vadesi geçti","Açık · vadesi gelmedi")))</f>
        <v/>
      </c>
      <c r="O451" s="30" t="str">
        <f aca="false">IF(F451="","",IF(AND(H451="",'Vade Sapması'!$D$3&gt;G451),'Vade Sapması'!$D$3-G451,0))</f>
        <v/>
      </c>
      <c r="P451" s="33" t="str">
        <f aca="false">IF(F451="","",F451*J451)</f>
        <v/>
      </c>
      <c r="Q451" s="33" t="str">
        <f aca="false">IF(F451="","",F451*L451)</f>
        <v/>
      </c>
      <c r="R451" s="33" t="str">
        <f aca="false">IF(F451="","",IF(H451="",F451,0))</f>
        <v/>
      </c>
      <c r="S451" s="32" t="str">
        <f aca="false">IF(F451="","",IF(N(O451)=0,"",IF(O451&lt;=30,"1-30",IF(O451&lt;=60,"31-60",IF(O451&lt;=90,"61-90","90+")))))</f>
        <v/>
      </c>
      <c r="T451" s="32" t="str">
        <f aca="false">IF(F451="","",IF(E451="","Diğer",E451))</f>
        <v/>
      </c>
      <c r="U451" s="32" t="str">
        <f aca="false">IF(OR(F451="",C451=""),"",IF(COUNTIF($C$2:C451,C451)=1,MAX($U$1:U450)+1,""))</f>
        <v/>
      </c>
    </row>
    <row r="452" customFormat="false" ht="15" hidden="false" customHeight="false" outlineLevel="0" collapsed="false">
      <c r="A452" s="34"/>
      <c r="B452" s="9"/>
      <c r="C452" s="34"/>
      <c r="D452" s="34"/>
      <c r="E452" s="34"/>
      <c r="F452" s="35"/>
      <c r="G452" s="9"/>
      <c r="H452" s="9"/>
      <c r="I452" s="34"/>
      <c r="J452" s="30" t="str">
        <f aca="false">IF(F452="","",G452-B452)</f>
        <v/>
      </c>
      <c r="K452" s="31" t="str">
        <f aca="false">IF(F452="","",IF(H452&lt;&gt;"",H452,MAX('Vade Sapması'!$D$3,G452)))</f>
        <v/>
      </c>
      <c r="L452" s="30" t="str">
        <f aca="false">IF(F452="","",K452-B452)</f>
        <v/>
      </c>
      <c r="M452" s="30" t="str">
        <f aca="false">IF(F452="","",L452-J452)</f>
        <v/>
      </c>
      <c r="N452" s="32" t="str">
        <f aca="false">IF(F452="","",IF(H452&lt;&gt;"","Kapandı",IF('Vade Sapması'!$D$3&gt;G452,"Açık · vadesi geçti","Açık · vadesi gelmedi")))</f>
        <v/>
      </c>
      <c r="O452" s="30" t="str">
        <f aca="false">IF(F452="","",IF(AND(H452="",'Vade Sapması'!$D$3&gt;G452),'Vade Sapması'!$D$3-G452,0))</f>
        <v/>
      </c>
      <c r="P452" s="33" t="str">
        <f aca="false">IF(F452="","",F452*J452)</f>
        <v/>
      </c>
      <c r="Q452" s="33" t="str">
        <f aca="false">IF(F452="","",F452*L452)</f>
        <v/>
      </c>
      <c r="R452" s="33" t="str">
        <f aca="false">IF(F452="","",IF(H452="",F452,0))</f>
        <v/>
      </c>
      <c r="S452" s="32" t="str">
        <f aca="false">IF(F452="","",IF(N(O452)=0,"",IF(O452&lt;=30,"1-30",IF(O452&lt;=60,"31-60",IF(O452&lt;=90,"61-90","90+")))))</f>
        <v/>
      </c>
      <c r="T452" s="32" t="str">
        <f aca="false">IF(F452="","",IF(E452="","Diğer",E452))</f>
        <v/>
      </c>
      <c r="U452" s="32" t="str">
        <f aca="false">IF(OR(F452="",C452=""),"",IF(COUNTIF($C$2:C452,C452)=1,MAX($U$1:U451)+1,""))</f>
        <v/>
      </c>
    </row>
    <row r="453" customFormat="false" ht="15" hidden="false" customHeight="false" outlineLevel="0" collapsed="false">
      <c r="A453" s="34"/>
      <c r="B453" s="9"/>
      <c r="C453" s="34"/>
      <c r="D453" s="34"/>
      <c r="E453" s="34"/>
      <c r="F453" s="35"/>
      <c r="G453" s="9"/>
      <c r="H453" s="9"/>
      <c r="I453" s="34"/>
      <c r="J453" s="30" t="str">
        <f aca="false">IF(F453="","",G453-B453)</f>
        <v/>
      </c>
      <c r="K453" s="31" t="str">
        <f aca="false">IF(F453="","",IF(H453&lt;&gt;"",H453,MAX('Vade Sapması'!$D$3,G453)))</f>
        <v/>
      </c>
      <c r="L453" s="30" t="str">
        <f aca="false">IF(F453="","",K453-B453)</f>
        <v/>
      </c>
      <c r="M453" s="30" t="str">
        <f aca="false">IF(F453="","",L453-J453)</f>
        <v/>
      </c>
      <c r="N453" s="32" t="str">
        <f aca="false">IF(F453="","",IF(H453&lt;&gt;"","Kapandı",IF('Vade Sapması'!$D$3&gt;G453,"Açık · vadesi geçti","Açık · vadesi gelmedi")))</f>
        <v/>
      </c>
      <c r="O453" s="30" t="str">
        <f aca="false">IF(F453="","",IF(AND(H453="",'Vade Sapması'!$D$3&gt;G453),'Vade Sapması'!$D$3-G453,0))</f>
        <v/>
      </c>
      <c r="P453" s="33" t="str">
        <f aca="false">IF(F453="","",F453*J453)</f>
        <v/>
      </c>
      <c r="Q453" s="33" t="str">
        <f aca="false">IF(F453="","",F453*L453)</f>
        <v/>
      </c>
      <c r="R453" s="33" t="str">
        <f aca="false">IF(F453="","",IF(H453="",F453,0))</f>
        <v/>
      </c>
      <c r="S453" s="32" t="str">
        <f aca="false">IF(F453="","",IF(N(O453)=0,"",IF(O453&lt;=30,"1-30",IF(O453&lt;=60,"31-60",IF(O453&lt;=90,"61-90","90+")))))</f>
        <v/>
      </c>
      <c r="T453" s="32" t="str">
        <f aca="false">IF(F453="","",IF(E453="","Diğer",E453))</f>
        <v/>
      </c>
      <c r="U453" s="32" t="str">
        <f aca="false">IF(OR(F453="",C453=""),"",IF(COUNTIF($C$2:C453,C453)=1,MAX($U$1:U452)+1,""))</f>
        <v/>
      </c>
    </row>
    <row r="454" customFormat="false" ht="15" hidden="false" customHeight="false" outlineLevel="0" collapsed="false">
      <c r="A454" s="34"/>
      <c r="B454" s="9"/>
      <c r="C454" s="34"/>
      <c r="D454" s="34"/>
      <c r="E454" s="34"/>
      <c r="F454" s="35"/>
      <c r="G454" s="9"/>
      <c r="H454" s="9"/>
      <c r="I454" s="34"/>
      <c r="J454" s="30" t="str">
        <f aca="false">IF(F454="","",G454-B454)</f>
        <v/>
      </c>
      <c r="K454" s="31" t="str">
        <f aca="false">IF(F454="","",IF(H454&lt;&gt;"",H454,MAX('Vade Sapması'!$D$3,G454)))</f>
        <v/>
      </c>
      <c r="L454" s="30" t="str">
        <f aca="false">IF(F454="","",K454-B454)</f>
        <v/>
      </c>
      <c r="M454" s="30" t="str">
        <f aca="false">IF(F454="","",L454-J454)</f>
        <v/>
      </c>
      <c r="N454" s="32" t="str">
        <f aca="false">IF(F454="","",IF(H454&lt;&gt;"","Kapandı",IF('Vade Sapması'!$D$3&gt;G454,"Açık · vadesi geçti","Açık · vadesi gelmedi")))</f>
        <v/>
      </c>
      <c r="O454" s="30" t="str">
        <f aca="false">IF(F454="","",IF(AND(H454="",'Vade Sapması'!$D$3&gt;G454),'Vade Sapması'!$D$3-G454,0))</f>
        <v/>
      </c>
      <c r="P454" s="33" t="str">
        <f aca="false">IF(F454="","",F454*J454)</f>
        <v/>
      </c>
      <c r="Q454" s="33" t="str">
        <f aca="false">IF(F454="","",F454*L454)</f>
        <v/>
      </c>
      <c r="R454" s="33" t="str">
        <f aca="false">IF(F454="","",IF(H454="",F454,0))</f>
        <v/>
      </c>
      <c r="S454" s="32" t="str">
        <f aca="false">IF(F454="","",IF(N(O454)=0,"",IF(O454&lt;=30,"1-30",IF(O454&lt;=60,"31-60",IF(O454&lt;=90,"61-90","90+")))))</f>
        <v/>
      </c>
      <c r="T454" s="32" t="str">
        <f aca="false">IF(F454="","",IF(E454="","Diğer",E454))</f>
        <v/>
      </c>
      <c r="U454" s="32" t="str">
        <f aca="false">IF(OR(F454="",C454=""),"",IF(COUNTIF($C$2:C454,C454)=1,MAX($U$1:U453)+1,""))</f>
        <v/>
      </c>
    </row>
    <row r="455" customFormat="false" ht="15" hidden="false" customHeight="false" outlineLevel="0" collapsed="false">
      <c r="A455" s="34"/>
      <c r="B455" s="9"/>
      <c r="C455" s="34"/>
      <c r="D455" s="34"/>
      <c r="E455" s="34"/>
      <c r="F455" s="35"/>
      <c r="G455" s="9"/>
      <c r="H455" s="9"/>
      <c r="I455" s="34"/>
      <c r="J455" s="30" t="str">
        <f aca="false">IF(F455="","",G455-B455)</f>
        <v/>
      </c>
      <c r="K455" s="31" t="str">
        <f aca="false">IF(F455="","",IF(H455&lt;&gt;"",H455,MAX('Vade Sapması'!$D$3,G455)))</f>
        <v/>
      </c>
      <c r="L455" s="30" t="str">
        <f aca="false">IF(F455="","",K455-B455)</f>
        <v/>
      </c>
      <c r="M455" s="30" t="str">
        <f aca="false">IF(F455="","",L455-J455)</f>
        <v/>
      </c>
      <c r="N455" s="32" t="str">
        <f aca="false">IF(F455="","",IF(H455&lt;&gt;"","Kapandı",IF('Vade Sapması'!$D$3&gt;G455,"Açık · vadesi geçti","Açık · vadesi gelmedi")))</f>
        <v/>
      </c>
      <c r="O455" s="30" t="str">
        <f aca="false">IF(F455="","",IF(AND(H455="",'Vade Sapması'!$D$3&gt;G455),'Vade Sapması'!$D$3-G455,0))</f>
        <v/>
      </c>
      <c r="P455" s="33" t="str">
        <f aca="false">IF(F455="","",F455*J455)</f>
        <v/>
      </c>
      <c r="Q455" s="33" t="str">
        <f aca="false">IF(F455="","",F455*L455)</f>
        <v/>
      </c>
      <c r="R455" s="33" t="str">
        <f aca="false">IF(F455="","",IF(H455="",F455,0))</f>
        <v/>
      </c>
      <c r="S455" s="32" t="str">
        <f aca="false">IF(F455="","",IF(N(O455)=0,"",IF(O455&lt;=30,"1-30",IF(O455&lt;=60,"31-60",IF(O455&lt;=90,"61-90","90+")))))</f>
        <v/>
      </c>
      <c r="T455" s="32" t="str">
        <f aca="false">IF(F455="","",IF(E455="","Diğer",E455))</f>
        <v/>
      </c>
      <c r="U455" s="32" t="str">
        <f aca="false">IF(OR(F455="",C455=""),"",IF(COUNTIF($C$2:C455,C455)=1,MAX($U$1:U454)+1,""))</f>
        <v/>
      </c>
    </row>
    <row r="456" customFormat="false" ht="15" hidden="false" customHeight="false" outlineLevel="0" collapsed="false">
      <c r="A456" s="34"/>
      <c r="B456" s="9"/>
      <c r="C456" s="34"/>
      <c r="D456" s="34"/>
      <c r="E456" s="34"/>
      <c r="F456" s="35"/>
      <c r="G456" s="9"/>
      <c r="H456" s="9"/>
      <c r="I456" s="34"/>
      <c r="J456" s="30" t="str">
        <f aca="false">IF(F456="","",G456-B456)</f>
        <v/>
      </c>
      <c r="K456" s="31" t="str">
        <f aca="false">IF(F456="","",IF(H456&lt;&gt;"",H456,MAX('Vade Sapması'!$D$3,G456)))</f>
        <v/>
      </c>
      <c r="L456" s="30" t="str">
        <f aca="false">IF(F456="","",K456-B456)</f>
        <v/>
      </c>
      <c r="M456" s="30" t="str">
        <f aca="false">IF(F456="","",L456-J456)</f>
        <v/>
      </c>
      <c r="N456" s="32" t="str">
        <f aca="false">IF(F456="","",IF(H456&lt;&gt;"","Kapandı",IF('Vade Sapması'!$D$3&gt;G456,"Açık · vadesi geçti","Açık · vadesi gelmedi")))</f>
        <v/>
      </c>
      <c r="O456" s="30" t="str">
        <f aca="false">IF(F456="","",IF(AND(H456="",'Vade Sapması'!$D$3&gt;G456),'Vade Sapması'!$D$3-G456,0))</f>
        <v/>
      </c>
      <c r="P456" s="33" t="str">
        <f aca="false">IF(F456="","",F456*J456)</f>
        <v/>
      </c>
      <c r="Q456" s="33" t="str">
        <f aca="false">IF(F456="","",F456*L456)</f>
        <v/>
      </c>
      <c r="R456" s="33" t="str">
        <f aca="false">IF(F456="","",IF(H456="",F456,0))</f>
        <v/>
      </c>
      <c r="S456" s="32" t="str">
        <f aca="false">IF(F456="","",IF(N(O456)=0,"",IF(O456&lt;=30,"1-30",IF(O456&lt;=60,"31-60",IF(O456&lt;=90,"61-90","90+")))))</f>
        <v/>
      </c>
      <c r="T456" s="32" t="str">
        <f aca="false">IF(F456="","",IF(E456="","Diğer",E456))</f>
        <v/>
      </c>
      <c r="U456" s="32" t="str">
        <f aca="false">IF(OR(F456="",C456=""),"",IF(COUNTIF($C$2:C456,C456)=1,MAX($U$1:U455)+1,""))</f>
        <v/>
      </c>
    </row>
    <row r="457" customFormat="false" ht="15" hidden="false" customHeight="false" outlineLevel="0" collapsed="false">
      <c r="A457" s="34"/>
      <c r="B457" s="9"/>
      <c r="C457" s="34"/>
      <c r="D457" s="34"/>
      <c r="E457" s="34"/>
      <c r="F457" s="35"/>
      <c r="G457" s="9"/>
      <c r="H457" s="9"/>
      <c r="I457" s="34"/>
      <c r="J457" s="30" t="str">
        <f aca="false">IF(F457="","",G457-B457)</f>
        <v/>
      </c>
      <c r="K457" s="31" t="str">
        <f aca="false">IF(F457="","",IF(H457&lt;&gt;"",H457,MAX('Vade Sapması'!$D$3,G457)))</f>
        <v/>
      </c>
      <c r="L457" s="30" t="str">
        <f aca="false">IF(F457="","",K457-B457)</f>
        <v/>
      </c>
      <c r="M457" s="30" t="str">
        <f aca="false">IF(F457="","",L457-J457)</f>
        <v/>
      </c>
      <c r="N457" s="32" t="str">
        <f aca="false">IF(F457="","",IF(H457&lt;&gt;"","Kapandı",IF('Vade Sapması'!$D$3&gt;G457,"Açık · vadesi geçti","Açık · vadesi gelmedi")))</f>
        <v/>
      </c>
      <c r="O457" s="30" t="str">
        <f aca="false">IF(F457="","",IF(AND(H457="",'Vade Sapması'!$D$3&gt;G457),'Vade Sapması'!$D$3-G457,0))</f>
        <v/>
      </c>
      <c r="P457" s="33" t="str">
        <f aca="false">IF(F457="","",F457*J457)</f>
        <v/>
      </c>
      <c r="Q457" s="33" t="str">
        <f aca="false">IF(F457="","",F457*L457)</f>
        <v/>
      </c>
      <c r="R457" s="33" t="str">
        <f aca="false">IF(F457="","",IF(H457="",F457,0))</f>
        <v/>
      </c>
      <c r="S457" s="32" t="str">
        <f aca="false">IF(F457="","",IF(N(O457)=0,"",IF(O457&lt;=30,"1-30",IF(O457&lt;=60,"31-60",IF(O457&lt;=90,"61-90","90+")))))</f>
        <v/>
      </c>
      <c r="T457" s="32" t="str">
        <f aca="false">IF(F457="","",IF(E457="","Diğer",E457))</f>
        <v/>
      </c>
      <c r="U457" s="32" t="str">
        <f aca="false">IF(OR(F457="",C457=""),"",IF(COUNTIF($C$2:C457,C457)=1,MAX($U$1:U456)+1,""))</f>
        <v/>
      </c>
    </row>
    <row r="458" customFormat="false" ht="15" hidden="false" customHeight="false" outlineLevel="0" collapsed="false">
      <c r="A458" s="34"/>
      <c r="B458" s="9"/>
      <c r="C458" s="34"/>
      <c r="D458" s="34"/>
      <c r="E458" s="34"/>
      <c r="F458" s="35"/>
      <c r="G458" s="9"/>
      <c r="H458" s="9"/>
      <c r="I458" s="34"/>
      <c r="J458" s="30" t="str">
        <f aca="false">IF(F458="","",G458-B458)</f>
        <v/>
      </c>
      <c r="K458" s="31" t="str">
        <f aca="false">IF(F458="","",IF(H458&lt;&gt;"",H458,MAX('Vade Sapması'!$D$3,G458)))</f>
        <v/>
      </c>
      <c r="L458" s="30" t="str">
        <f aca="false">IF(F458="","",K458-B458)</f>
        <v/>
      </c>
      <c r="M458" s="30" t="str">
        <f aca="false">IF(F458="","",L458-J458)</f>
        <v/>
      </c>
      <c r="N458" s="32" t="str">
        <f aca="false">IF(F458="","",IF(H458&lt;&gt;"","Kapandı",IF('Vade Sapması'!$D$3&gt;G458,"Açık · vadesi geçti","Açık · vadesi gelmedi")))</f>
        <v/>
      </c>
      <c r="O458" s="30" t="str">
        <f aca="false">IF(F458="","",IF(AND(H458="",'Vade Sapması'!$D$3&gt;G458),'Vade Sapması'!$D$3-G458,0))</f>
        <v/>
      </c>
      <c r="P458" s="33" t="str">
        <f aca="false">IF(F458="","",F458*J458)</f>
        <v/>
      </c>
      <c r="Q458" s="33" t="str">
        <f aca="false">IF(F458="","",F458*L458)</f>
        <v/>
      </c>
      <c r="R458" s="33" t="str">
        <f aca="false">IF(F458="","",IF(H458="",F458,0))</f>
        <v/>
      </c>
      <c r="S458" s="32" t="str">
        <f aca="false">IF(F458="","",IF(N(O458)=0,"",IF(O458&lt;=30,"1-30",IF(O458&lt;=60,"31-60",IF(O458&lt;=90,"61-90","90+")))))</f>
        <v/>
      </c>
      <c r="T458" s="32" t="str">
        <f aca="false">IF(F458="","",IF(E458="","Diğer",E458))</f>
        <v/>
      </c>
      <c r="U458" s="32" t="str">
        <f aca="false">IF(OR(F458="",C458=""),"",IF(COUNTIF($C$2:C458,C458)=1,MAX($U$1:U457)+1,""))</f>
        <v/>
      </c>
    </row>
    <row r="459" customFormat="false" ht="15" hidden="false" customHeight="false" outlineLevel="0" collapsed="false">
      <c r="A459" s="34"/>
      <c r="B459" s="9"/>
      <c r="C459" s="34"/>
      <c r="D459" s="34"/>
      <c r="E459" s="34"/>
      <c r="F459" s="35"/>
      <c r="G459" s="9"/>
      <c r="H459" s="9"/>
      <c r="I459" s="34"/>
      <c r="J459" s="30" t="str">
        <f aca="false">IF(F459="","",G459-B459)</f>
        <v/>
      </c>
      <c r="K459" s="31" t="str">
        <f aca="false">IF(F459="","",IF(H459&lt;&gt;"",H459,MAX('Vade Sapması'!$D$3,G459)))</f>
        <v/>
      </c>
      <c r="L459" s="30" t="str">
        <f aca="false">IF(F459="","",K459-B459)</f>
        <v/>
      </c>
      <c r="M459" s="30" t="str">
        <f aca="false">IF(F459="","",L459-J459)</f>
        <v/>
      </c>
      <c r="N459" s="32" t="str">
        <f aca="false">IF(F459="","",IF(H459&lt;&gt;"","Kapandı",IF('Vade Sapması'!$D$3&gt;G459,"Açık · vadesi geçti","Açık · vadesi gelmedi")))</f>
        <v/>
      </c>
      <c r="O459" s="30" t="str">
        <f aca="false">IF(F459="","",IF(AND(H459="",'Vade Sapması'!$D$3&gt;G459),'Vade Sapması'!$D$3-G459,0))</f>
        <v/>
      </c>
      <c r="P459" s="33" t="str">
        <f aca="false">IF(F459="","",F459*J459)</f>
        <v/>
      </c>
      <c r="Q459" s="33" t="str">
        <f aca="false">IF(F459="","",F459*L459)</f>
        <v/>
      </c>
      <c r="R459" s="33" t="str">
        <f aca="false">IF(F459="","",IF(H459="",F459,0))</f>
        <v/>
      </c>
      <c r="S459" s="32" t="str">
        <f aca="false">IF(F459="","",IF(N(O459)=0,"",IF(O459&lt;=30,"1-30",IF(O459&lt;=60,"31-60",IF(O459&lt;=90,"61-90","90+")))))</f>
        <v/>
      </c>
      <c r="T459" s="32" t="str">
        <f aca="false">IF(F459="","",IF(E459="","Diğer",E459))</f>
        <v/>
      </c>
      <c r="U459" s="32" t="str">
        <f aca="false">IF(OR(F459="",C459=""),"",IF(COUNTIF($C$2:C459,C459)=1,MAX($U$1:U458)+1,""))</f>
        <v/>
      </c>
    </row>
    <row r="460" customFormat="false" ht="15" hidden="false" customHeight="false" outlineLevel="0" collapsed="false">
      <c r="A460" s="34"/>
      <c r="B460" s="9"/>
      <c r="C460" s="34"/>
      <c r="D460" s="34"/>
      <c r="E460" s="34"/>
      <c r="F460" s="35"/>
      <c r="G460" s="9"/>
      <c r="H460" s="9"/>
      <c r="I460" s="34"/>
      <c r="J460" s="30" t="str">
        <f aca="false">IF(F460="","",G460-B460)</f>
        <v/>
      </c>
      <c r="K460" s="31" t="str">
        <f aca="false">IF(F460="","",IF(H460&lt;&gt;"",H460,MAX('Vade Sapması'!$D$3,G460)))</f>
        <v/>
      </c>
      <c r="L460" s="30" t="str">
        <f aca="false">IF(F460="","",K460-B460)</f>
        <v/>
      </c>
      <c r="M460" s="30" t="str">
        <f aca="false">IF(F460="","",L460-J460)</f>
        <v/>
      </c>
      <c r="N460" s="32" t="str">
        <f aca="false">IF(F460="","",IF(H460&lt;&gt;"","Kapandı",IF('Vade Sapması'!$D$3&gt;G460,"Açık · vadesi geçti","Açık · vadesi gelmedi")))</f>
        <v/>
      </c>
      <c r="O460" s="30" t="str">
        <f aca="false">IF(F460="","",IF(AND(H460="",'Vade Sapması'!$D$3&gt;G460),'Vade Sapması'!$D$3-G460,0))</f>
        <v/>
      </c>
      <c r="P460" s="33" t="str">
        <f aca="false">IF(F460="","",F460*J460)</f>
        <v/>
      </c>
      <c r="Q460" s="33" t="str">
        <f aca="false">IF(F460="","",F460*L460)</f>
        <v/>
      </c>
      <c r="R460" s="33" t="str">
        <f aca="false">IF(F460="","",IF(H460="",F460,0))</f>
        <v/>
      </c>
      <c r="S460" s="32" t="str">
        <f aca="false">IF(F460="","",IF(N(O460)=0,"",IF(O460&lt;=30,"1-30",IF(O460&lt;=60,"31-60",IF(O460&lt;=90,"61-90","90+")))))</f>
        <v/>
      </c>
      <c r="T460" s="32" t="str">
        <f aca="false">IF(F460="","",IF(E460="","Diğer",E460))</f>
        <v/>
      </c>
      <c r="U460" s="32" t="str">
        <f aca="false">IF(OR(F460="",C460=""),"",IF(COUNTIF($C$2:C460,C460)=1,MAX($U$1:U459)+1,""))</f>
        <v/>
      </c>
    </row>
    <row r="461" customFormat="false" ht="15" hidden="false" customHeight="false" outlineLevel="0" collapsed="false">
      <c r="A461" s="34"/>
      <c r="B461" s="9"/>
      <c r="C461" s="34"/>
      <c r="D461" s="34"/>
      <c r="E461" s="34"/>
      <c r="F461" s="35"/>
      <c r="G461" s="9"/>
      <c r="H461" s="9"/>
      <c r="I461" s="34"/>
      <c r="J461" s="30" t="str">
        <f aca="false">IF(F461="","",G461-B461)</f>
        <v/>
      </c>
      <c r="K461" s="31" t="str">
        <f aca="false">IF(F461="","",IF(H461&lt;&gt;"",H461,MAX('Vade Sapması'!$D$3,G461)))</f>
        <v/>
      </c>
      <c r="L461" s="30" t="str">
        <f aca="false">IF(F461="","",K461-B461)</f>
        <v/>
      </c>
      <c r="M461" s="30" t="str">
        <f aca="false">IF(F461="","",L461-J461)</f>
        <v/>
      </c>
      <c r="N461" s="32" t="str">
        <f aca="false">IF(F461="","",IF(H461&lt;&gt;"","Kapandı",IF('Vade Sapması'!$D$3&gt;G461,"Açık · vadesi geçti","Açık · vadesi gelmedi")))</f>
        <v/>
      </c>
      <c r="O461" s="30" t="str">
        <f aca="false">IF(F461="","",IF(AND(H461="",'Vade Sapması'!$D$3&gt;G461),'Vade Sapması'!$D$3-G461,0))</f>
        <v/>
      </c>
      <c r="P461" s="33" t="str">
        <f aca="false">IF(F461="","",F461*J461)</f>
        <v/>
      </c>
      <c r="Q461" s="33" t="str">
        <f aca="false">IF(F461="","",F461*L461)</f>
        <v/>
      </c>
      <c r="R461" s="33" t="str">
        <f aca="false">IF(F461="","",IF(H461="",F461,0))</f>
        <v/>
      </c>
      <c r="S461" s="32" t="str">
        <f aca="false">IF(F461="","",IF(N(O461)=0,"",IF(O461&lt;=30,"1-30",IF(O461&lt;=60,"31-60",IF(O461&lt;=90,"61-90","90+")))))</f>
        <v/>
      </c>
      <c r="T461" s="32" t="str">
        <f aca="false">IF(F461="","",IF(E461="","Diğer",E461))</f>
        <v/>
      </c>
      <c r="U461" s="32" t="str">
        <f aca="false">IF(OR(F461="",C461=""),"",IF(COUNTIF($C$2:C461,C461)=1,MAX($U$1:U460)+1,""))</f>
        <v/>
      </c>
    </row>
    <row r="462" customFormat="false" ht="15" hidden="false" customHeight="false" outlineLevel="0" collapsed="false">
      <c r="A462" s="34"/>
      <c r="B462" s="9"/>
      <c r="C462" s="34"/>
      <c r="D462" s="34"/>
      <c r="E462" s="34"/>
      <c r="F462" s="35"/>
      <c r="G462" s="9"/>
      <c r="H462" s="9"/>
      <c r="I462" s="34"/>
      <c r="J462" s="30" t="str">
        <f aca="false">IF(F462="","",G462-B462)</f>
        <v/>
      </c>
      <c r="K462" s="31" t="str">
        <f aca="false">IF(F462="","",IF(H462&lt;&gt;"",H462,MAX('Vade Sapması'!$D$3,G462)))</f>
        <v/>
      </c>
      <c r="L462" s="30" t="str">
        <f aca="false">IF(F462="","",K462-B462)</f>
        <v/>
      </c>
      <c r="M462" s="30" t="str">
        <f aca="false">IF(F462="","",L462-J462)</f>
        <v/>
      </c>
      <c r="N462" s="32" t="str">
        <f aca="false">IF(F462="","",IF(H462&lt;&gt;"","Kapandı",IF('Vade Sapması'!$D$3&gt;G462,"Açık · vadesi geçti","Açık · vadesi gelmedi")))</f>
        <v/>
      </c>
      <c r="O462" s="30" t="str">
        <f aca="false">IF(F462="","",IF(AND(H462="",'Vade Sapması'!$D$3&gt;G462),'Vade Sapması'!$D$3-G462,0))</f>
        <v/>
      </c>
      <c r="P462" s="33" t="str">
        <f aca="false">IF(F462="","",F462*J462)</f>
        <v/>
      </c>
      <c r="Q462" s="33" t="str">
        <f aca="false">IF(F462="","",F462*L462)</f>
        <v/>
      </c>
      <c r="R462" s="33" t="str">
        <f aca="false">IF(F462="","",IF(H462="",F462,0))</f>
        <v/>
      </c>
      <c r="S462" s="32" t="str">
        <f aca="false">IF(F462="","",IF(N(O462)=0,"",IF(O462&lt;=30,"1-30",IF(O462&lt;=60,"31-60",IF(O462&lt;=90,"61-90","90+")))))</f>
        <v/>
      </c>
      <c r="T462" s="32" t="str">
        <f aca="false">IF(F462="","",IF(E462="","Diğer",E462))</f>
        <v/>
      </c>
      <c r="U462" s="32" t="str">
        <f aca="false">IF(OR(F462="",C462=""),"",IF(COUNTIF($C$2:C462,C462)=1,MAX($U$1:U461)+1,""))</f>
        <v/>
      </c>
    </row>
    <row r="463" customFormat="false" ht="15" hidden="false" customHeight="false" outlineLevel="0" collapsed="false">
      <c r="A463" s="34"/>
      <c r="B463" s="9"/>
      <c r="C463" s="34"/>
      <c r="D463" s="34"/>
      <c r="E463" s="34"/>
      <c r="F463" s="35"/>
      <c r="G463" s="9"/>
      <c r="H463" s="9"/>
      <c r="I463" s="34"/>
      <c r="J463" s="30" t="str">
        <f aca="false">IF(F463="","",G463-B463)</f>
        <v/>
      </c>
      <c r="K463" s="31" t="str">
        <f aca="false">IF(F463="","",IF(H463&lt;&gt;"",H463,MAX('Vade Sapması'!$D$3,G463)))</f>
        <v/>
      </c>
      <c r="L463" s="30" t="str">
        <f aca="false">IF(F463="","",K463-B463)</f>
        <v/>
      </c>
      <c r="M463" s="30" t="str">
        <f aca="false">IF(F463="","",L463-J463)</f>
        <v/>
      </c>
      <c r="N463" s="32" t="str">
        <f aca="false">IF(F463="","",IF(H463&lt;&gt;"","Kapandı",IF('Vade Sapması'!$D$3&gt;G463,"Açık · vadesi geçti","Açık · vadesi gelmedi")))</f>
        <v/>
      </c>
      <c r="O463" s="30" t="str">
        <f aca="false">IF(F463="","",IF(AND(H463="",'Vade Sapması'!$D$3&gt;G463),'Vade Sapması'!$D$3-G463,0))</f>
        <v/>
      </c>
      <c r="P463" s="33" t="str">
        <f aca="false">IF(F463="","",F463*J463)</f>
        <v/>
      </c>
      <c r="Q463" s="33" t="str">
        <f aca="false">IF(F463="","",F463*L463)</f>
        <v/>
      </c>
      <c r="R463" s="33" t="str">
        <f aca="false">IF(F463="","",IF(H463="",F463,0))</f>
        <v/>
      </c>
      <c r="S463" s="32" t="str">
        <f aca="false">IF(F463="","",IF(N(O463)=0,"",IF(O463&lt;=30,"1-30",IF(O463&lt;=60,"31-60",IF(O463&lt;=90,"61-90","90+")))))</f>
        <v/>
      </c>
      <c r="T463" s="32" t="str">
        <f aca="false">IF(F463="","",IF(E463="","Diğer",E463))</f>
        <v/>
      </c>
      <c r="U463" s="32" t="str">
        <f aca="false">IF(OR(F463="",C463=""),"",IF(COUNTIF($C$2:C463,C463)=1,MAX($U$1:U462)+1,""))</f>
        <v/>
      </c>
    </row>
    <row r="464" customFormat="false" ht="15" hidden="false" customHeight="false" outlineLevel="0" collapsed="false">
      <c r="A464" s="34"/>
      <c r="B464" s="9"/>
      <c r="C464" s="34"/>
      <c r="D464" s="34"/>
      <c r="E464" s="34"/>
      <c r="F464" s="35"/>
      <c r="G464" s="9"/>
      <c r="H464" s="9"/>
      <c r="I464" s="34"/>
      <c r="J464" s="30" t="str">
        <f aca="false">IF(F464="","",G464-B464)</f>
        <v/>
      </c>
      <c r="K464" s="31" t="str">
        <f aca="false">IF(F464="","",IF(H464&lt;&gt;"",H464,MAX('Vade Sapması'!$D$3,G464)))</f>
        <v/>
      </c>
      <c r="L464" s="30" t="str">
        <f aca="false">IF(F464="","",K464-B464)</f>
        <v/>
      </c>
      <c r="M464" s="30" t="str">
        <f aca="false">IF(F464="","",L464-J464)</f>
        <v/>
      </c>
      <c r="N464" s="32" t="str">
        <f aca="false">IF(F464="","",IF(H464&lt;&gt;"","Kapandı",IF('Vade Sapması'!$D$3&gt;G464,"Açık · vadesi geçti","Açık · vadesi gelmedi")))</f>
        <v/>
      </c>
      <c r="O464" s="30" t="str">
        <f aca="false">IF(F464="","",IF(AND(H464="",'Vade Sapması'!$D$3&gt;G464),'Vade Sapması'!$D$3-G464,0))</f>
        <v/>
      </c>
      <c r="P464" s="33" t="str">
        <f aca="false">IF(F464="","",F464*J464)</f>
        <v/>
      </c>
      <c r="Q464" s="33" t="str">
        <f aca="false">IF(F464="","",F464*L464)</f>
        <v/>
      </c>
      <c r="R464" s="33" t="str">
        <f aca="false">IF(F464="","",IF(H464="",F464,0))</f>
        <v/>
      </c>
      <c r="S464" s="32" t="str">
        <f aca="false">IF(F464="","",IF(N(O464)=0,"",IF(O464&lt;=30,"1-30",IF(O464&lt;=60,"31-60",IF(O464&lt;=90,"61-90","90+")))))</f>
        <v/>
      </c>
      <c r="T464" s="32" t="str">
        <f aca="false">IF(F464="","",IF(E464="","Diğer",E464))</f>
        <v/>
      </c>
      <c r="U464" s="32" t="str">
        <f aca="false">IF(OR(F464="",C464=""),"",IF(COUNTIF($C$2:C464,C464)=1,MAX($U$1:U463)+1,""))</f>
        <v/>
      </c>
    </row>
    <row r="465" customFormat="false" ht="15" hidden="false" customHeight="false" outlineLevel="0" collapsed="false">
      <c r="A465" s="34"/>
      <c r="B465" s="9"/>
      <c r="C465" s="34"/>
      <c r="D465" s="34"/>
      <c r="E465" s="34"/>
      <c r="F465" s="35"/>
      <c r="G465" s="9"/>
      <c r="H465" s="9"/>
      <c r="I465" s="34"/>
      <c r="J465" s="30" t="str">
        <f aca="false">IF(F465="","",G465-B465)</f>
        <v/>
      </c>
      <c r="K465" s="31" t="str">
        <f aca="false">IF(F465="","",IF(H465&lt;&gt;"",H465,MAX('Vade Sapması'!$D$3,G465)))</f>
        <v/>
      </c>
      <c r="L465" s="30" t="str">
        <f aca="false">IF(F465="","",K465-B465)</f>
        <v/>
      </c>
      <c r="M465" s="30" t="str">
        <f aca="false">IF(F465="","",L465-J465)</f>
        <v/>
      </c>
      <c r="N465" s="32" t="str">
        <f aca="false">IF(F465="","",IF(H465&lt;&gt;"","Kapandı",IF('Vade Sapması'!$D$3&gt;G465,"Açık · vadesi geçti","Açık · vadesi gelmedi")))</f>
        <v/>
      </c>
      <c r="O465" s="30" t="str">
        <f aca="false">IF(F465="","",IF(AND(H465="",'Vade Sapması'!$D$3&gt;G465),'Vade Sapması'!$D$3-G465,0))</f>
        <v/>
      </c>
      <c r="P465" s="33" t="str">
        <f aca="false">IF(F465="","",F465*J465)</f>
        <v/>
      </c>
      <c r="Q465" s="33" t="str">
        <f aca="false">IF(F465="","",F465*L465)</f>
        <v/>
      </c>
      <c r="R465" s="33" t="str">
        <f aca="false">IF(F465="","",IF(H465="",F465,0))</f>
        <v/>
      </c>
      <c r="S465" s="32" t="str">
        <f aca="false">IF(F465="","",IF(N(O465)=0,"",IF(O465&lt;=30,"1-30",IF(O465&lt;=60,"31-60",IF(O465&lt;=90,"61-90","90+")))))</f>
        <v/>
      </c>
      <c r="T465" s="32" t="str">
        <f aca="false">IF(F465="","",IF(E465="","Diğer",E465))</f>
        <v/>
      </c>
      <c r="U465" s="32" t="str">
        <f aca="false">IF(OR(F465="",C465=""),"",IF(COUNTIF($C$2:C465,C465)=1,MAX($U$1:U464)+1,""))</f>
        <v/>
      </c>
    </row>
    <row r="466" customFormat="false" ht="15" hidden="false" customHeight="false" outlineLevel="0" collapsed="false">
      <c r="A466" s="34"/>
      <c r="B466" s="9"/>
      <c r="C466" s="34"/>
      <c r="D466" s="34"/>
      <c r="E466" s="34"/>
      <c r="F466" s="35"/>
      <c r="G466" s="9"/>
      <c r="H466" s="9"/>
      <c r="I466" s="34"/>
      <c r="J466" s="30" t="str">
        <f aca="false">IF(F466="","",G466-B466)</f>
        <v/>
      </c>
      <c r="K466" s="31" t="str">
        <f aca="false">IF(F466="","",IF(H466&lt;&gt;"",H466,MAX('Vade Sapması'!$D$3,G466)))</f>
        <v/>
      </c>
      <c r="L466" s="30" t="str">
        <f aca="false">IF(F466="","",K466-B466)</f>
        <v/>
      </c>
      <c r="M466" s="30" t="str">
        <f aca="false">IF(F466="","",L466-J466)</f>
        <v/>
      </c>
      <c r="N466" s="32" t="str">
        <f aca="false">IF(F466="","",IF(H466&lt;&gt;"","Kapandı",IF('Vade Sapması'!$D$3&gt;G466,"Açık · vadesi geçti","Açık · vadesi gelmedi")))</f>
        <v/>
      </c>
      <c r="O466" s="30" t="str">
        <f aca="false">IF(F466="","",IF(AND(H466="",'Vade Sapması'!$D$3&gt;G466),'Vade Sapması'!$D$3-G466,0))</f>
        <v/>
      </c>
      <c r="P466" s="33" t="str">
        <f aca="false">IF(F466="","",F466*J466)</f>
        <v/>
      </c>
      <c r="Q466" s="33" t="str">
        <f aca="false">IF(F466="","",F466*L466)</f>
        <v/>
      </c>
      <c r="R466" s="33" t="str">
        <f aca="false">IF(F466="","",IF(H466="",F466,0))</f>
        <v/>
      </c>
      <c r="S466" s="32" t="str">
        <f aca="false">IF(F466="","",IF(N(O466)=0,"",IF(O466&lt;=30,"1-30",IF(O466&lt;=60,"31-60",IF(O466&lt;=90,"61-90","90+")))))</f>
        <v/>
      </c>
      <c r="T466" s="32" t="str">
        <f aca="false">IF(F466="","",IF(E466="","Diğer",E466))</f>
        <v/>
      </c>
      <c r="U466" s="32" t="str">
        <f aca="false">IF(OR(F466="",C466=""),"",IF(COUNTIF($C$2:C466,C466)=1,MAX($U$1:U465)+1,""))</f>
        <v/>
      </c>
    </row>
    <row r="467" customFormat="false" ht="15" hidden="false" customHeight="false" outlineLevel="0" collapsed="false">
      <c r="A467" s="34"/>
      <c r="B467" s="9"/>
      <c r="C467" s="34"/>
      <c r="D467" s="34"/>
      <c r="E467" s="34"/>
      <c r="F467" s="35"/>
      <c r="G467" s="9"/>
      <c r="H467" s="9"/>
      <c r="I467" s="34"/>
      <c r="J467" s="30" t="str">
        <f aca="false">IF(F467="","",G467-B467)</f>
        <v/>
      </c>
      <c r="K467" s="31" t="str">
        <f aca="false">IF(F467="","",IF(H467&lt;&gt;"",H467,MAX('Vade Sapması'!$D$3,G467)))</f>
        <v/>
      </c>
      <c r="L467" s="30" t="str">
        <f aca="false">IF(F467="","",K467-B467)</f>
        <v/>
      </c>
      <c r="M467" s="30" t="str">
        <f aca="false">IF(F467="","",L467-J467)</f>
        <v/>
      </c>
      <c r="N467" s="32" t="str">
        <f aca="false">IF(F467="","",IF(H467&lt;&gt;"","Kapandı",IF('Vade Sapması'!$D$3&gt;G467,"Açık · vadesi geçti","Açık · vadesi gelmedi")))</f>
        <v/>
      </c>
      <c r="O467" s="30" t="str">
        <f aca="false">IF(F467="","",IF(AND(H467="",'Vade Sapması'!$D$3&gt;G467),'Vade Sapması'!$D$3-G467,0))</f>
        <v/>
      </c>
      <c r="P467" s="33" t="str">
        <f aca="false">IF(F467="","",F467*J467)</f>
        <v/>
      </c>
      <c r="Q467" s="33" t="str">
        <f aca="false">IF(F467="","",F467*L467)</f>
        <v/>
      </c>
      <c r="R467" s="33" t="str">
        <f aca="false">IF(F467="","",IF(H467="",F467,0))</f>
        <v/>
      </c>
      <c r="S467" s="32" t="str">
        <f aca="false">IF(F467="","",IF(N(O467)=0,"",IF(O467&lt;=30,"1-30",IF(O467&lt;=60,"31-60",IF(O467&lt;=90,"61-90","90+")))))</f>
        <v/>
      </c>
      <c r="T467" s="32" t="str">
        <f aca="false">IF(F467="","",IF(E467="","Diğer",E467))</f>
        <v/>
      </c>
      <c r="U467" s="32" t="str">
        <f aca="false">IF(OR(F467="",C467=""),"",IF(COUNTIF($C$2:C467,C467)=1,MAX($U$1:U466)+1,""))</f>
        <v/>
      </c>
    </row>
    <row r="468" customFormat="false" ht="15" hidden="false" customHeight="false" outlineLevel="0" collapsed="false">
      <c r="A468" s="34"/>
      <c r="B468" s="9"/>
      <c r="C468" s="34"/>
      <c r="D468" s="34"/>
      <c r="E468" s="34"/>
      <c r="F468" s="35"/>
      <c r="G468" s="9"/>
      <c r="H468" s="9"/>
      <c r="I468" s="34"/>
      <c r="J468" s="30" t="str">
        <f aca="false">IF(F468="","",G468-B468)</f>
        <v/>
      </c>
      <c r="K468" s="31" t="str">
        <f aca="false">IF(F468="","",IF(H468&lt;&gt;"",H468,MAX('Vade Sapması'!$D$3,G468)))</f>
        <v/>
      </c>
      <c r="L468" s="30" t="str">
        <f aca="false">IF(F468="","",K468-B468)</f>
        <v/>
      </c>
      <c r="M468" s="30" t="str">
        <f aca="false">IF(F468="","",L468-J468)</f>
        <v/>
      </c>
      <c r="N468" s="32" t="str">
        <f aca="false">IF(F468="","",IF(H468&lt;&gt;"","Kapandı",IF('Vade Sapması'!$D$3&gt;G468,"Açık · vadesi geçti","Açık · vadesi gelmedi")))</f>
        <v/>
      </c>
      <c r="O468" s="30" t="str">
        <f aca="false">IF(F468="","",IF(AND(H468="",'Vade Sapması'!$D$3&gt;G468),'Vade Sapması'!$D$3-G468,0))</f>
        <v/>
      </c>
      <c r="P468" s="33" t="str">
        <f aca="false">IF(F468="","",F468*J468)</f>
        <v/>
      </c>
      <c r="Q468" s="33" t="str">
        <f aca="false">IF(F468="","",F468*L468)</f>
        <v/>
      </c>
      <c r="R468" s="33" t="str">
        <f aca="false">IF(F468="","",IF(H468="",F468,0))</f>
        <v/>
      </c>
      <c r="S468" s="32" t="str">
        <f aca="false">IF(F468="","",IF(N(O468)=0,"",IF(O468&lt;=30,"1-30",IF(O468&lt;=60,"31-60",IF(O468&lt;=90,"61-90","90+")))))</f>
        <v/>
      </c>
      <c r="T468" s="32" t="str">
        <f aca="false">IF(F468="","",IF(E468="","Diğer",E468))</f>
        <v/>
      </c>
      <c r="U468" s="32" t="str">
        <f aca="false">IF(OR(F468="",C468=""),"",IF(COUNTIF($C$2:C468,C468)=1,MAX($U$1:U467)+1,""))</f>
        <v/>
      </c>
    </row>
    <row r="469" customFormat="false" ht="15" hidden="false" customHeight="false" outlineLevel="0" collapsed="false">
      <c r="A469" s="34"/>
      <c r="B469" s="9"/>
      <c r="C469" s="34"/>
      <c r="D469" s="34"/>
      <c r="E469" s="34"/>
      <c r="F469" s="35"/>
      <c r="G469" s="9"/>
      <c r="H469" s="9"/>
      <c r="I469" s="34"/>
      <c r="J469" s="30" t="str">
        <f aca="false">IF(F469="","",G469-B469)</f>
        <v/>
      </c>
      <c r="K469" s="31" t="str">
        <f aca="false">IF(F469="","",IF(H469&lt;&gt;"",H469,MAX('Vade Sapması'!$D$3,G469)))</f>
        <v/>
      </c>
      <c r="L469" s="30" t="str">
        <f aca="false">IF(F469="","",K469-B469)</f>
        <v/>
      </c>
      <c r="M469" s="30" t="str">
        <f aca="false">IF(F469="","",L469-J469)</f>
        <v/>
      </c>
      <c r="N469" s="32" t="str">
        <f aca="false">IF(F469="","",IF(H469&lt;&gt;"","Kapandı",IF('Vade Sapması'!$D$3&gt;G469,"Açık · vadesi geçti","Açık · vadesi gelmedi")))</f>
        <v/>
      </c>
      <c r="O469" s="30" t="str">
        <f aca="false">IF(F469="","",IF(AND(H469="",'Vade Sapması'!$D$3&gt;G469),'Vade Sapması'!$D$3-G469,0))</f>
        <v/>
      </c>
      <c r="P469" s="33" t="str">
        <f aca="false">IF(F469="","",F469*J469)</f>
        <v/>
      </c>
      <c r="Q469" s="33" t="str">
        <f aca="false">IF(F469="","",F469*L469)</f>
        <v/>
      </c>
      <c r="R469" s="33" t="str">
        <f aca="false">IF(F469="","",IF(H469="",F469,0))</f>
        <v/>
      </c>
      <c r="S469" s="32" t="str">
        <f aca="false">IF(F469="","",IF(N(O469)=0,"",IF(O469&lt;=30,"1-30",IF(O469&lt;=60,"31-60",IF(O469&lt;=90,"61-90","90+")))))</f>
        <v/>
      </c>
      <c r="T469" s="32" t="str">
        <f aca="false">IF(F469="","",IF(E469="","Diğer",E469))</f>
        <v/>
      </c>
      <c r="U469" s="32" t="str">
        <f aca="false">IF(OR(F469="",C469=""),"",IF(COUNTIF($C$2:C469,C469)=1,MAX($U$1:U468)+1,""))</f>
        <v/>
      </c>
    </row>
    <row r="470" customFormat="false" ht="15" hidden="false" customHeight="false" outlineLevel="0" collapsed="false">
      <c r="A470" s="34"/>
      <c r="B470" s="9"/>
      <c r="C470" s="34"/>
      <c r="D470" s="34"/>
      <c r="E470" s="34"/>
      <c r="F470" s="35"/>
      <c r="G470" s="9"/>
      <c r="H470" s="9"/>
      <c r="I470" s="34"/>
      <c r="J470" s="30" t="str">
        <f aca="false">IF(F470="","",G470-B470)</f>
        <v/>
      </c>
      <c r="K470" s="31" t="str">
        <f aca="false">IF(F470="","",IF(H470&lt;&gt;"",H470,MAX('Vade Sapması'!$D$3,G470)))</f>
        <v/>
      </c>
      <c r="L470" s="30" t="str">
        <f aca="false">IF(F470="","",K470-B470)</f>
        <v/>
      </c>
      <c r="M470" s="30" t="str">
        <f aca="false">IF(F470="","",L470-J470)</f>
        <v/>
      </c>
      <c r="N470" s="32" t="str">
        <f aca="false">IF(F470="","",IF(H470&lt;&gt;"","Kapandı",IF('Vade Sapması'!$D$3&gt;G470,"Açık · vadesi geçti","Açık · vadesi gelmedi")))</f>
        <v/>
      </c>
      <c r="O470" s="30" t="str">
        <f aca="false">IF(F470="","",IF(AND(H470="",'Vade Sapması'!$D$3&gt;G470),'Vade Sapması'!$D$3-G470,0))</f>
        <v/>
      </c>
      <c r="P470" s="33" t="str">
        <f aca="false">IF(F470="","",F470*J470)</f>
        <v/>
      </c>
      <c r="Q470" s="33" t="str">
        <f aca="false">IF(F470="","",F470*L470)</f>
        <v/>
      </c>
      <c r="R470" s="33" t="str">
        <f aca="false">IF(F470="","",IF(H470="",F470,0))</f>
        <v/>
      </c>
      <c r="S470" s="32" t="str">
        <f aca="false">IF(F470="","",IF(N(O470)=0,"",IF(O470&lt;=30,"1-30",IF(O470&lt;=60,"31-60",IF(O470&lt;=90,"61-90","90+")))))</f>
        <v/>
      </c>
      <c r="T470" s="32" t="str">
        <f aca="false">IF(F470="","",IF(E470="","Diğer",E470))</f>
        <v/>
      </c>
      <c r="U470" s="32" t="str">
        <f aca="false">IF(OR(F470="",C470=""),"",IF(COUNTIF($C$2:C470,C470)=1,MAX($U$1:U469)+1,""))</f>
        <v/>
      </c>
    </row>
    <row r="471" customFormat="false" ht="15" hidden="false" customHeight="false" outlineLevel="0" collapsed="false">
      <c r="A471" s="34"/>
      <c r="B471" s="9"/>
      <c r="C471" s="34"/>
      <c r="D471" s="34"/>
      <c r="E471" s="34"/>
      <c r="F471" s="35"/>
      <c r="G471" s="9"/>
      <c r="H471" s="9"/>
      <c r="I471" s="34"/>
      <c r="J471" s="30" t="str">
        <f aca="false">IF(F471="","",G471-B471)</f>
        <v/>
      </c>
      <c r="K471" s="31" t="str">
        <f aca="false">IF(F471="","",IF(H471&lt;&gt;"",H471,MAX('Vade Sapması'!$D$3,G471)))</f>
        <v/>
      </c>
      <c r="L471" s="30" t="str">
        <f aca="false">IF(F471="","",K471-B471)</f>
        <v/>
      </c>
      <c r="M471" s="30" t="str">
        <f aca="false">IF(F471="","",L471-J471)</f>
        <v/>
      </c>
      <c r="N471" s="32" t="str">
        <f aca="false">IF(F471="","",IF(H471&lt;&gt;"","Kapandı",IF('Vade Sapması'!$D$3&gt;G471,"Açık · vadesi geçti","Açık · vadesi gelmedi")))</f>
        <v/>
      </c>
      <c r="O471" s="30" t="str">
        <f aca="false">IF(F471="","",IF(AND(H471="",'Vade Sapması'!$D$3&gt;G471),'Vade Sapması'!$D$3-G471,0))</f>
        <v/>
      </c>
      <c r="P471" s="33" t="str">
        <f aca="false">IF(F471="","",F471*J471)</f>
        <v/>
      </c>
      <c r="Q471" s="33" t="str">
        <f aca="false">IF(F471="","",F471*L471)</f>
        <v/>
      </c>
      <c r="R471" s="33" t="str">
        <f aca="false">IF(F471="","",IF(H471="",F471,0))</f>
        <v/>
      </c>
      <c r="S471" s="32" t="str">
        <f aca="false">IF(F471="","",IF(N(O471)=0,"",IF(O471&lt;=30,"1-30",IF(O471&lt;=60,"31-60",IF(O471&lt;=90,"61-90","90+")))))</f>
        <v/>
      </c>
      <c r="T471" s="32" t="str">
        <f aca="false">IF(F471="","",IF(E471="","Diğer",E471))</f>
        <v/>
      </c>
      <c r="U471" s="32" t="str">
        <f aca="false">IF(OR(F471="",C471=""),"",IF(COUNTIF($C$2:C471,C471)=1,MAX($U$1:U470)+1,""))</f>
        <v/>
      </c>
    </row>
    <row r="472" customFormat="false" ht="15" hidden="false" customHeight="false" outlineLevel="0" collapsed="false">
      <c r="A472" s="34"/>
      <c r="B472" s="9"/>
      <c r="C472" s="34"/>
      <c r="D472" s="34"/>
      <c r="E472" s="34"/>
      <c r="F472" s="35"/>
      <c r="G472" s="9"/>
      <c r="H472" s="9"/>
      <c r="I472" s="34"/>
      <c r="J472" s="30" t="str">
        <f aca="false">IF(F472="","",G472-B472)</f>
        <v/>
      </c>
      <c r="K472" s="31" t="str">
        <f aca="false">IF(F472="","",IF(H472&lt;&gt;"",H472,MAX('Vade Sapması'!$D$3,G472)))</f>
        <v/>
      </c>
      <c r="L472" s="30" t="str">
        <f aca="false">IF(F472="","",K472-B472)</f>
        <v/>
      </c>
      <c r="M472" s="30" t="str">
        <f aca="false">IF(F472="","",L472-J472)</f>
        <v/>
      </c>
      <c r="N472" s="32" t="str">
        <f aca="false">IF(F472="","",IF(H472&lt;&gt;"","Kapandı",IF('Vade Sapması'!$D$3&gt;G472,"Açık · vadesi geçti","Açık · vadesi gelmedi")))</f>
        <v/>
      </c>
      <c r="O472" s="30" t="str">
        <f aca="false">IF(F472="","",IF(AND(H472="",'Vade Sapması'!$D$3&gt;G472),'Vade Sapması'!$D$3-G472,0))</f>
        <v/>
      </c>
      <c r="P472" s="33" t="str">
        <f aca="false">IF(F472="","",F472*J472)</f>
        <v/>
      </c>
      <c r="Q472" s="33" t="str">
        <f aca="false">IF(F472="","",F472*L472)</f>
        <v/>
      </c>
      <c r="R472" s="33" t="str">
        <f aca="false">IF(F472="","",IF(H472="",F472,0))</f>
        <v/>
      </c>
      <c r="S472" s="32" t="str">
        <f aca="false">IF(F472="","",IF(N(O472)=0,"",IF(O472&lt;=30,"1-30",IF(O472&lt;=60,"31-60",IF(O472&lt;=90,"61-90","90+")))))</f>
        <v/>
      </c>
      <c r="T472" s="32" t="str">
        <f aca="false">IF(F472="","",IF(E472="","Diğer",E472))</f>
        <v/>
      </c>
      <c r="U472" s="32" t="str">
        <f aca="false">IF(OR(F472="",C472=""),"",IF(COUNTIF($C$2:C472,C472)=1,MAX($U$1:U471)+1,""))</f>
        <v/>
      </c>
    </row>
    <row r="473" customFormat="false" ht="15" hidden="false" customHeight="false" outlineLevel="0" collapsed="false">
      <c r="A473" s="34"/>
      <c r="B473" s="9"/>
      <c r="C473" s="34"/>
      <c r="D473" s="34"/>
      <c r="E473" s="34"/>
      <c r="F473" s="35"/>
      <c r="G473" s="9"/>
      <c r="H473" s="9"/>
      <c r="I473" s="34"/>
      <c r="J473" s="30" t="str">
        <f aca="false">IF(F473="","",G473-B473)</f>
        <v/>
      </c>
      <c r="K473" s="31" t="str">
        <f aca="false">IF(F473="","",IF(H473&lt;&gt;"",H473,MAX('Vade Sapması'!$D$3,G473)))</f>
        <v/>
      </c>
      <c r="L473" s="30" t="str">
        <f aca="false">IF(F473="","",K473-B473)</f>
        <v/>
      </c>
      <c r="M473" s="30" t="str">
        <f aca="false">IF(F473="","",L473-J473)</f>
        <v/>
      </c>
      <c r="N473" s="32" t="str">
        <f aca="false">IF(F473="","",IF(H473&lt;&gt;"","Kapandı",IF('Vade Sapması'!$D$3&gt;G473,"Açık · vadesi geçti","Açık · vadesi gelmedi")))</f>
        <v/>
      </c>
      <c r="O473" s="30" t="str">
        <f aca="false">IF(F473="","",IF(AND(H473="",'Vade Sapması'!$D$3&gt;G473),'Vade Sapması'!$D$3-G473,0))</f>
        <v/>
      </c>
      <c r="P473" s="33" t="str">
        <f aca="false">IF(F473="","",F473*J473)</f>
        <v/>
      </c>
      <c r="Q473" s="33" t="str">
        <f aca="false">IF(F473="","",F473*L473)</f>
        <v/>
      </c>
      <c r="R473" s="33" t="str">
        <f aca="false">IF(F473="","",IF(H473="",F473,0))</f>
        <v/>
      </c>
      <c r="S473" s="32" t="str">
        <f aca="false">IF(F473="","",IF(N(O473)=0,"",IF(O473&lt;=30,"1-30",IF(O473&lt;=60,"31-60",IF(O473&lt;=90,"61-90","90+")))))</f>
        <v/>
      </c>
      <c r="T473" s="32" t="str">
        <f aca="false">IF(F473="","",IF(E473="","Diğer",E473))</f>
        <v/>
      </c>
      <c r="U473" s="32" t="str">
        <f aca="false">IF(OR(F473="",C473=""),"",IF(COUNTIF($C$2:C473,C473)=1,MAX($U$1:U472)+1,""))</f>
        <v/>
      </c>
    </row>
    <row r="474" customFormat="false" ht="15" hidden="false" customHeight="false" outlineLevel="0" collapsed="false">
      <c r="A474" s="34"/>
      <c r="B474" s="9"/>
      <c r="C474" s="34"/>
      <c r="D474" s="34"/>
      <c r="E474" s="34"/>
      <c r="F474" s="35"/>
      <c r="G474" s="9"/>
      <c r="H474" s="9"/>
      <c r="I474" s="34"/>
      <c r="J474" s="30" t="str">
        <f aca="false">IF(F474="","",G474-B474)</f>
        <v/>
      </c>
      <c r="K474" s="31" t="str">
        <f aca="false">IF(F474="","",IF(H474&lt;&gt;"",H474,MAX('Vade Sapması'!$D$3,G474)))</f>
        <v/>
      </c>
      <c r="L474" s="30" t="str">
        <f aca="false">IF(F474="","",K474-B474)</f>
        <v/>
      </c>
      <c r="M474" s="30" t="str">
        <f aca="false">IF(F474="","",L474-J474)</f>
        <v/>
      </c>
      <c r="N474" s="32" t="str">
        <f aca="false">IF(F474="","",IF(H474&lt;&gt;"","Kapandı",IF('Vade Sapması'!$D$3&gt;G474,"Açık · vadesi geçti","Açık · vadesi gelmedi")))</f>
        <v/>
      </c>
      <c r="O474" s="30" t="str">
        <f aca="false">IF(F474="","",IF(AND(H474="",'Vade Sapması'!$D$3&gt;G474),'Vade Sapması'!$D$3-G474,0))</f>
        <v/>
      </c>
      <c r="P474" s="33" t="str">
        <f aca="false">IF(F474="","",F474*J474)</f>
        <v/>
      </c>
      <c r="Q474" s="33" t="str">
        <f aca="false">IF(F474="","",F474*L474)</f>
        <v/>
      </c>
      <c r="R474" s="33" t="str">
        <f aca="false">IF(F474="","",IF(H474="",F474,0))</f>
        <v/>
      </c>
      <c r="S474" s="32" t="str">
        <f aca="false">IF(F474="","",IF(N(O474)=0,"",IF(O474&lt;=30,"1-30",IF(O474&lt;=60,"31-60",IF(O474&lt;=90,"61-90","90+")))))</f>
        <v/>
      </c>
      <c r="T474" s="32" t="str">
        <f aca="false">IF(F474="","",IF(E474="","Diğer",E474))</f>
        <v/>
      </c>
      <c r="U474" s="32" t="str">
        <f aca="false">IF(OR(F474="",C474=""),"",IF(COUNTIF($C$2:C474,C474)=1,MAX($U$1:U473)+1,""))</f>
        <v/>
      </c>
    </row>
    <row r="475" customFormat="false" ht="15" hidden="false" customHeight="false" outlineLevel="0" collapsed="false">
      <c r="A475" s="34"/>
      <c r="B475" s="9"/>
      <c r="C475" s="34"/>
      <c r="D475" s="34"/>
      <c r="E475" s="34"/>
      <c r="F475" s="35"/>
      <c r="G475" s="9"/>
      <c r="H475" s="9"/>
      <c r="I475" s="34"/>
      <c r="J475" s="30" t="str">
        <f aca="false">IF(F475="","",G475-B475)</f>
        <v/>
      </c>
      <c r="K475" s="31" t="str">
        <f aca="false">IF(F475="","",IF(H475&lt;&gt;"",H475,MAX('Vade Sapması'!$D$3,G475)))</f>
        <v/>
      </c>
      <c r="L475" s="30" t="str">
        <f aca="false">IF(F475="","",K475-B475)</f>
        <v/>
      </c>
      <c r="M475" s="30" t="str">
        <f aca="false">IF(F475="","",L475-J475)</f>
        <v/>
      </c>
      <c r="N475" s="32" t="str">
        <f aca="false">IF(F475="","",IF(H475&lt;&gt;"","Kapandı",IF('Vade Sapması'!$D$3&gt;G475,"Açık · vadesi geçti","Açık · vadesi gelmedi")))</f>
        <v/>
      </c>
      <c r="O475" s="30" t="str">
        <f aca="false">IF(F475="","",IF(AND(H475="",'Vade Sapması'!$D$3&gt;G475),'Vade Sapması'!$D$3-G475,0))</f>
        <v/>
      </c>
      <c r="P475" s="33" t="str">
        <f aca="false">IF(F475="","",F475*J475)</f>
        <v/>
      </c>
      <c r="Q475" s="33" t="str">
        <f aca="false">IF(F475="","",F475*L475)</f>
        <v/>
      </c>
      <c r="R475" s="33" t="str">
        <f aca="false">IF(F475="","",IF(H475="",F475,0))</f>
        <v/>
      </c>
      <c r="S475" s="32" t="str">
        <f aca="false">IF(F475="","",IF(N(O475)=0,"",IF(O475&lt;=30,"1-30",IF(O475&lt;=60,"31-60",IF(O475&lt;=90,"61-90","90+")))))</f>
        <v/>
      </c>
      <c r="T475" s="32" t="str">
        <f aca="false">IF(F475="","",IF(E475="","Diğer",E475))</f>
        <v/>
      </c>
      <c r="U475" s="32" t="str">
        <f aca="false">IF(OR(F475="",C475=""),"",IF(COUNTIF($C$2:C475,C475)=1,MAX($U$1:U474)+1,""))</f>
        <v/>
      </c>
    </row>
    <row r="476" customFormat="false" ht="15" hidden="false" customHeight="false" outlineLevel="0" collapsed="false">
      <c r="A476" s="34"/>
      <c r="B476" s="9"/>
      <c r="C476" s="34"/>
      <c r="D476" s="34"/>
      <c r="E476" s="34"/>
      <c r="F476" s="35"/>
      <c r="G476" s="9"/>
      <c r="H476" s="9"/>
      <c r="I476" s="34"/>
      <c r="J476" s="30" t="str">
        <f aca="false">IF(F476="","",G476-B476)</f>
        <v/>
      </c>
      <c r="K476" s="31" t="str">
        <f aca="false">IF(F476="","",IF(H476&lt;&gt;"",H476,MAX('Vade Sapması'!$D$3,G476)))</f>
        <v/>
      </c>
      <c r="L476" s="30" t="str">
        <f aca="false">IF(F476="","",K476-B476)</f>
        <v/>
      </c>
      <c r="M476" s="30" t="str">
        <f aca="false">IF(F476="","",L476-J476)</f>
        <v/>
      </c>
      <c r="N476" s="32" t="str">
        <f aca="false">IF(F476="","",IF(H476&lt;&gt;"","Kapandı",IF('Vade Sapması'!$D$3&gt;G476,"Açık · vadesi geçti","Açık · vadesi gelmedi")))</f>
        <v/>
      </c>
      <c r="O476" s="30" t="str">
        <f aca="false">IF(F476="","",IF(AND(H476="",'Vade Sapması'!$D$3&gt;G476),'Vade Sapması'!$D$3-G476,0))</f>
        <v/>
      </c>
      <c r="P476" s="33" t="str">
        <f aca="false">IF(F476="","",F476*J476)</f>
        <v/>
      </c>
      <c r="Q476" s="33" t="str">
        <f aca="false">IF(F476="","",F476*L476)</f>
        <v/>
      </c>
      <c r="R476" s="33" t="str">
        <f aca="false">IF(F476="","",IF(H476="",F476,0))</f>
        <v/>
      </c>
      <c r="S476" s="32" t="str">
        <f aca="false">IF(F476="","",IF(N(O476)=0,"",IF(O476&lt;=30,"1-30",IF(O476&lt;=60,"31-60",IF(O476&lt;=90,"61-90","90+")))))</f>
        <v/>
      </c>
      <c r="T476" s="32" t="str">
        <f aca="false">IF(F476="","",IF(E476="","Diğer",E476))</f>
        <v/>
      </c>
      <c r="U476" s="32" t="str">
        <f aca="false">IF(OR(F476="",C476=""),"",IF(COUNTIF($C$2:C476,C476)=1,MAX($U$1:U475)+1,""))</f>
        <v/>
      </c>
    </row>
    <row r="477" customFormat="false" ht="15" hidden="false" customHeight="false" outlineLevel="0" collapsed="false">
      <c r="A477" s="34"/>
      <c r="B477" s="9"/>
      <c r="C477" s="34"/>
      <c r="D477" s="34"/>
      <c r="E477" s="34"/>
      <c r="F477" s="35"/>
      <c r="G477" s="9"/>
      <c r="H477" s="9"/>
      <c r="I477" s="34"/>
      <c r="J477" s="30" t="str">
        <f aca="false">IF(F477="","",G477-B477)</f>
        <v/>
      </c>
      <c r="K477" s="31" t="str">
        <f aca="false">IF(F477="","",IF(H477&lt;&gt;"",H477,MAX('Vade Sapması'!$D$3,G477)))</f>
        <v/>
      </c>
      <c r="L477" s="30" t="str">
        <f aca="false">IF(F477="","",K477-B477)</f>
        <v/>
      </c>
      <c r="M477" s="30" t="str">
        <f aca="false">IF(F477="","",L477-J477)</f>
        <v/>
      </c>
      <c r="N477" s="32" t="str">
        <f aca="false">IF(F477="","",IF(H477&lt;&gt;"","Kapandı",IF('Vade Sapması'!$D$3&gt;G477,"Açık · vadesi geçti","Açık · vadesi gelmedi")))</f>
        <v/>
      </c>
      <c r="O477" s="30" t="str">
        <f aca="false">IF(F477="","",IF(AND(H477="",'Vade Sapması'!$D$3&gt;G477),'Vade Sapması'!$D$3-G477,0))</f>
        <v/>
      </c>
      <c r="P477" s="33" t="str">
        <f aca="false">IF(F477="","",F477*J477)</f>
        <v/>
      </c>
      <c r="Q477" s="33" t="str">
        <f aca="false">IF(F477="","",F477*L477)</f>
        <v/>
      </c>
      <c r="R477" s="33" t="str">
        <f aca="false">IF(F477="","",IF(H477="",F477,0))</f>
        <v/>
      </c>
      <c r="S477" s="32" t="str">
        <f aca="false">IF(F477="","",IF(N(O477)=0,"",IF(O477&lt;=30,"1-30",IF(O477&lt;=60,"31-60",IF(O477&lt;=90,"61-90","90+")))))</f>
        <v/>
      </c>
      <c r="T477" s="32" t="str">
        <f aca="false">IF(F477="","",IF(E477="","Diğer",E477))</f>
        <v/>
      </c>
      <c r="U477" s="32" t="str">
        <f aca="false">IF(OR(F477="",C477=""),"",IF(COUNTIF($C$2:C477,C477)=1,MAX($U$1:U476)+1,""))</f>
        <v/>
      </c>
    </row>
    <row r="478" customFormat="false" ht="15" hidden="false" customHeight="false" outlineLevel="0" collapsed="false">
      <c r="A478" s="34"/>
      <c r="B478" s="9"/>
      <c r="C478" s="34"/>
      <c r="D478" s="34"/>
      <c r="E478" s="34"/>
      <c r="F478" s="35"/>
      <c r="G478" s="9"/>
      <c r="H478" s="9"/>
      <c r="I478" s="34"/>
      <c r="J478" s="30" t="str">
        <f aca="false">IF(F478="","",G478-B478)</f>
        <v/>
      </c>
      <c r="K478" s="31" t="str">
        <f aca="false">IF(F478="","",IF(H478&lt;&gt;"",H478,MAX('Vade Sapması'!$D$3,G478)))</f>
        <v/>
      </c>
      <c r="L478" s="30" t="str">
        <f aca="false">IF(F478="","",K478-B478)</f>
        <v/>
      </c>
      <c r="M478" s="30" t="str">
        <f aca="false">IF(F478="","",L478-J478)</f>
        <v/>
      </c>
      <c r="N478" s="32" t="str">
        <f aca="false">IF(F478="","",IF(H478&lt;&gt;"","Kapandı",IF('Vade Sapması'!$D$3&gt;G478,"Açık · vadesi geçti","Açık · vadesi gelmedi")))</f>
        <v/>
      </c>
      <c r="O478" s="30" t="str">
        <f aca="false">IF(F478="","",IF(AND(H478="",'Vade Sapması'!$D$3&gt;G478),'Vade Sapması'!$D$3-G478,0))</f>
        <v/>
      </c>
      <c r="P478" s="33" t="str">
        <f aca="false">IF(F478="","",F478*J478)</f>
        <v/>
      </c>
      <c r="Q478" s="33" t="str">
        <f aca="false">IF(F478="","",F478*L478)</f>
        <v/>
      </c>
      <c r="R478" s="33" t="str">
        <f aca="false">IF(F478="","",IF(H478="",F478,0))</f>
        <v/>
      </c>
      <c r="S478" s="32" t="str">
        <f aca="false">IF(F478="","",IF(N(O478)=0,"",IF(O478&lt;=30,"1-30",IF(O478&lt;=60,"31-60",IF(O478&lt;=90,"61-90","90+")))))</f>
        <v/>
      </c>
      <c r="T478" s="32" t="str">
        <f aca="false">IF(F478="","",IF(E478="","Diğer",E478))</f>
        <v/>
      </c>
      <c r="U478" s="32" t="str">
        <f aca="false">IF(OR(F478="",C478=""),"",IF(COUNTIF($C$2:C478,C478)=1,MAX($U$1:U477)+1,""))</f>
        <v/>
      </c>
    </row>
    <row r="479" customFormat="false" ht="15" hidden="false" customHeight="false" outlineLevel="0" collapsed="false">
      <c r="A479" s="34"/>
      <c r="B479" s="9"/>
      <c r="C479" s="34"/>
      <c r="D479" s="34"/>
      <c r="E479" s="34"/>
      <c r="F479" s="35"/>
      <c r="G479" s="9"/>
      <c r="H479" s="9"/>
      <c r="I479" s="34"/>
      <c r="J479" s="30" t="str">
        <f aca="false">IF(F479="","",G479-B479)</f>
        <v/>
      </c>
      <c r="K479" s="31" t="str">
        <f aca="false">IF(F479="","",IF(H479&lt;&gt;"",H479,MAX('Vade Sapması'!$D$3,G479)))</f>
        <v/>
      </c>
      <c r="L479" s="30" t="str">
        <f aca="false">IF(F479="","",K479-B479)</f>
        <v/>
      </c>
      <c r="M479" s="30" t="str">
        <f aca="false">IF(F479="","",L479-J479)</f>
        <v/>
      </c>
      <c r="N479" s="32" t="str">
        <f aca="false">IF(F479="","",IF(H479&lt;&gt;"","Kapandı",IF('Vade Sapması'!$D$3&gt;G479,"Açık · vadesi geçti","Açık · vadesi gelmedi")))</f>
        <v/>
      </c>
      <c r="O479" s="30" t="str">
        <f aca="false">IF(F479="","",IF(AND(H479="",'Vade Sapması'!$D$3&gt;G479),'Vade Sapması'!$D$3-G479,0))</f>
        <v/>
      </c>
      <c r="P479" s="33" t="str">
        <f aca="false">IF(F479="","",F479*J479)</f>
        <v/>
      </c>
      <c r="Q479" s="33" t="str">
        <f aca="false">IF(F479="","",F479*L479)</f>
        <v/>
      </c>
      <c r="R479" s="33" t="str">
        <f aca="false">IF(F479="","",IF(H479="",F479,0))</f>
        <v/>
      </c>
      <c r="S479" s="32" t="str">
        <f aca="false">IF(F479="","",IF(N(O479)=0,"",IF(O479&lt;=30,"1-30",IF(O479&lt;=60,"31-60",IF(O479&lt;=90,"61-90","90+")))))</f>
        <v/>
      </c>
      <c r="T479" s="32" t="str">
        <f aca="false">IF(F479="","",IF(E479="","Diğer",E479))</f>
        <v/>
      </c>
      <c r="U479" s="32" t="str">
        <f aca="false">IF(OR(F479="",C479=""),"",IF(COUNTIF($C$2:C479,C479)=1,MAX($U$1:U478)+1,""))</f>
        <v/>
      </c>
    </row>
    <row r="480" customFormat="false" ht="15" hidden="false" customHeight="false" outlineLevel="0" collapsed="false">
      <c r="A480" s="34"/>
      <c r="B480" s="9"/>
      <c r="C480" s="34"/>
      <c r="D480" s="34"/>
      <c r="E480" s="34"/>
      <c r="F480" s="35"/>
      <c r="G480" s="9"/>
      <c r="H480" s="9"/>
      <c r="I480" s="34"/>
      <c r="J480" s="30" t="str">
        <f aca="false">IF(F480="","",G480-B480)</f>
        <v/>
      </c>
      <c r="K480" s="31" t="str">
        <f aca="false">IF(F480="","",IF(H480&lt;&gt;"",H480,MAX('Vade Sapması'!$D$3,G480)))</f>
        <v/>
      </c>
      <c r="L480" s="30" t="str">
        <f aca="false">IF(F480="","",K480-B480)</f>
        <v/>
      </c>
      <c r="M480" s="30" t="str">
        <f aca="false">IF(F480="","",L480-J480)</f>
        <v/>
      </c>
      <c r="N480" s="32" t="str">
        <f aca="false">IF(F480="","",IF(H480&lt;&gt;"","Kapandı",IF('Vade Sapması'!$D$3&gt;G480,"Açık · vadesi geçti","Açık · vadesi gelmedi")))</f>
        <v/>
      </c>
      <c r="O480" s="30" t="str">
        <f aca="false">IF(F480="","",IF(AND(H480="",'Vade Sapması'!$D$3&gt;G480),'Vade Sapması'!$D$3-G480,0))</f>
        <v/>
      </c>
      <c r="P480" s="33" t="str">
        <f aca="false">IF(F480="","",F480*J480)</f>
        <v/>
      </c>
      <c r="Q480" s="33" t="str">
        <f aca="false">IF(F480="","",F480*L480)</f>
        <v/>
      </c>
      <c r="R480" s="33" t="str">
        <f aca="false">IF(F480="","",IF(H480="",F480,0))</f>
        <v/>
      </c>
      <c r="S480" s="32" t="str">
        <f aca="false">IF(F480="","",IF(N(O480)=0,"",IF(O480&lt;=30,"1-30",IF(O480&lt;=60,"31-60",IF(O480&lt;=90,"61-90","90+")))))</f>
        <v/>
      </c>
      <c r="T480" s="32" t="str">
        <f aca="false">IF(F480="","",IF(E480="","Diğer",E480))</f>
        <v/>
      </c>
      <c r="U480" s="32" t="str">
        <f aca="false">IF(OR(F480="",C480=""),"",IF(COUNTIF($C$2:C480,C480)=1,MAX($U$1:U479)+1,""))</f>
        <v/>
      </c>
    </row>
    <row r="481" customFormat="false" ht="15" hidden="false" customHeight="false" outlineLevel="0" collapsed="false">
      <c r="A481" s="34"/>
      <c r="B481" s="9"/>
      <c r="C481" s="34"/>
      <c r="D481" s="34"/>
      <c r="E481" s="34"/>
      <c r="F481" s="35"/>
      <c r="G481" s="9"/>
      <c r="H481" s="9"/>
      <c r="I481" s="34"/>
      <c r="J481" s="30" t="str">
        <f aca="false">IF(F481="","",G481-B481)</f>
        <v/>
      </c>
      <c r="K481" s="31" t="str">
        <f aca="false">IF(F481="","",IF(H481&lt;&gt;"",H481,MAX('Vade Sapması'!$D$3,G481)))</f>
        <v/>
      </c>
      <c r="L481" s="30" t="str">
        <f aca="false">IF(F481="","",K481-B481)</f>
        <v/>
      </c>
      <c r="M481" s="30" t="str">
        <f aca="false">IF(F481="","",L481-J481)</f>
        <v/>
      </c>
      <c r="N481" s="32" t="str">
        <f aca="false">IF(F481="","",IF(H481&lt;&gt;"","Kapandı",IF('Vade Sapması'!$D$3&gt;G481,"Açık · vadesi geçti","Açık · vadesi gelmedi")))</f>
        <v/>
      </c>
      <c r="O481" s="30" t="str">
        <f aca="false">IF(F481="","",IF(AND(H481="",'Vade Sapması'!$D$3&gt;G481),'Vade Sapması'!$D$3-G481,0))</f>
        <v/>
      </c>
      <c r="P481" s="33" t="str">
        <f aca="false">IF(F481="","",F481*J481)</f>
        <v/>
      </c>
      <c r="Q481" s="33" t="str">
        <f aca="false">IF(F481="","",F481*L481)</f>
        <v/>
      </c>
      <c r="R481" s="33" t="str">
        <f aca="false">IF(F481="","",IF(H481="",F481,0))</f>
        <v/>
      </c>
      <c r="S481" s="32" t="str">
        <f aca="false">IF(F481="","",IF(N(O481)=0,"",IF(O481&lt;=30,"1-30",IF(O481&lt;=60,"31-60",IF(O481&lt;=90,"61-90","90+")))))</f>
        <v/>
      </c>
      <c r="T481" s="32" t="str">
        <f aca="false">IF(F481="","",IF(E481="","Diğer",E481))</f>
        <v/>
      </c>
      <c r="U481" s="32" t="str">
        <f aca="false">IF(OR(F481="",C481=""),"",IF(COUNTIF($C$2:C481,C481)=1,MAX($U$1:U480)+1,""))</f>
        <v/>
      </c>
    </row>
    <row r="482" customFormat="false" ht="15" hidden="false" customHeight="false" outlineLevel="0" collapsed="false">
      <c r="A482" s="34"/>
      <c r="B482" s="9"/>
      <c r="C482" s="34"/>
      <c r="D482" s="34"/>
      <c r="E482" s="34"/>
      <c r="F482" s="35"/>
      <c r="G482" s="9"/>
      <c r="H482" s="9"/>
      <c r="I482" s="34"/>
      <c r="J482" s="30" t="str">
        <f aca="false">IF(F482="","",G482-B482)</f>
        <v/>
      </c>
      <c r="K482" s="31" t="str">
        <f aca="false">IF(F482="","",IF(H482&lt;&gt;"",H482,MAX('Vade Sapması'!$D$3,G482)))</f>
        <v/>
      </c>
      <c r="L482" s="30" t="str">
        <f aca="false">IF(F482="","",K482-B482)</f>
        <v/>
      </c>
      <c r="M482" s="30" t="str">
        <f aca="false">IF(F482="","",L482-J482)</f>
        <v/>
      </c>
      <c r="N482" s="32" t="str">
        <f aca="false">IF(F482="","",IF(H482&lt;&gt;"","Kapandı",IF('Vade Sapması'!$D$3&gt;G482,"Açık · vadesi geçti","Açık · vadesi gelmedi")))</f>
        <v/>
      </c>
      <c r="O482" s="30" t="str">
        <f aca="false">IF(F482="","",IF(AND(H482="",'Vade Sapması'!$D$3&gt;G482),'Vade Sapması'!$D$3-G482,0))</f>
        <v/>
      </c>
      <c r="P482" s="33" t="str">
        <f aca="false">IF(F482="","",F482*J482)</f>
        <v/>
      </c>
      <c r="Q482" s="33" t="str">
        <f aca="false">IF(F482="","",F482*L482)</f>
        <v/>
      </c>
      <c r="R482" s="33" t="str">
        <f aca="false">IF(F482="","",IF(H482="",F482,0))</f>
        <v/>
      </c>
      <c r="S482" s="32" t="str">
        <f aca="false">IF(F482="","",IF(N(O482)=0,"",IF(O482&lt;=30,"1-30",IF(O482&lt;=60,"31-60",IF(O482&lt;=90,"61-90","90+")))))</f>
        <v/>
      </c>
      <c r="T482" s="32" t="str">
        <f aca="false">IF(F482="","",IF(E482="","Diğer",E482))</f>
        <v/>
      </c>
      <c r="U482" s="32" t="str">
        <f aca="false">IF(OR(F482="",C482=""),"",IF(COUNTIF($C$2:C482,C482)=1,MAX($U$1:U481)+1,""))</f>
        <v/>
      </c>
    </row>
    <row r="483" customFormat="false" ht="15" hidden="false" customHeight="false" outlineLevel="0" collapsed="false">
      <c r="A483" s="34"/>
      <c r="B483" s="9"/>
      <c r="C483" s="34"/>
      <c r="D483" s="34"/>
      <c r="E483" s="34"/>
      <c r="F483" s="35"/>
      <c r="G483" s="9"/>
      <c r="H483" s="9"/>
      <c r="I483" s="34"/>
      <c r="J483" s="30" t="str">
        <f aca="false">IF(F483="","",G483-B483)</f>
        <v/>
      </c>
      <c r="K483" s="31" t="str">
        <f aca="false">IF(F483="","",IF(H483&lt;&gt;"",H483,MAX('Vade Sapması'!$D$3,G483)))</f>
        <v/>
      </c>
      <c r="L483" s="30" t="str">
        <f aca="false">IF(F483="","",K483-B483)</f>
        <v/>
      </c>
      <c r="M483" s="30" t="str">
        <f aca="false">IF(F483="","",L483-J483)</f>
        <v/>
      </c>
      <c r="N483" s="32" t="str">
        <f aca="false">IF(F483="","",IF(H483&lt;&gt;"","Kapandı",IF('Vade Sapması'!$D$3&gt;G483,"Açık · vadesi geçti","Açık · vadesi gelmedi")))</f>
        <v/>
      </c>
      <c r="O483" s="30" t="str">
        <f aca="false">IF(F483="","",IF(AND(H483="",'Vade Sapması'!$D$3&gt;G483),'Vade Sapması'!$D$3-G483,0))</f>
        <v/>
      </c>
      <c r="P483" s="33" t="str">
        <f aca="false">IF(F483="","",F483*J483)</f>
        <v/>
      </c>
      <c r="Q483" s="33" t="str">
        <f aca="false">IF(F483="","",F483*L483)</f>
        <v/>
      </c>
      <c r="R483" s="33" t="str">
        <f aca="false">IF(F483="","",IF(H483="",F483,0))</f>
        <v/>
      </c>
      <c r="S483" s="32" t="str">
        <f aca="false">IF(F483="","",IF(N(O483)=0,"",IF(O483&lt;=30,"1-30",IF(O483&lt;=60,"31-60",IF(O483&lt;=90,"61-90","90+")))))</f>
        <v/>
      </c>
      <c r="T483" s="32" t="str">
        <f aca="false">IF(F483="","",IF(E483="","Diğer",E483))</f>
        <v/>
      </c>
      <c r="U483" s="32" t="str">
        <f aca="false">IF(OR(F483="",C483=""),"",IF(COUNTIF($C$2:C483,C483)=1,MAX($U$1:U482)+1,""))</f>
        <v/>
      </c>
    </row>
    <row r="484" customFormat="false" ht="15" hidden="false" customHeight="false" outlineLevel="0" collapsed="false">
      <c r="A484" s="34"/>
      <c r="B484" s="9"/>
      <c r="C484" s="34"/>
      <c r="D484" s="34"/>
      <c r="E484" s="34"/>
      <c r="F484" s="35"/>
      <c r="G484" s="9"/>
      <c r="H484" s="9"/>
      <c r="I484" s="34"/>
      <c r="J484" s="30" t="str">
        <f aca="false">IF(F484="","",G484-B484)</f>
        <v/>
      </c>
      <c r="K484" s="31" t="str">
        <f aca="false">IF(F484="","",IF(H484&lt;&gt;"",H484,MAX('Vade Sapması'!$D$3,G484)))</f>
        <v/>
      </c>
      <c r="L484" s="30" t="str">
        <f aca="false">IF(F484="","",K484-B484)</f>
        <v/>
      </c>
      <c r="M484" s="30" t="str">
        <f aca="false">IF(F484="","",L484-J484)</f>
        <v/>
      </c>
      <c r="N484" s="32" t="str">
        <f aca="false">IF(F484="","",IF(H484&lt;&gt;"","Kapandı",IF('Vade Sapması'!$D$3&gt;G484,"Açık · vadesi geçti","Açık · vadesi gelmedi")))</f>
        <v/>
      </c>
      <c r="O484" s="30" t="str">
        <f aca="false">IF(F484="","",IF(AND(H484="",'Vade Sapması'!$D$3&gt;G484),'Vade Sapması'!$D$3-G484,0))</f>
        <v/>
      </c>
      <c r="P484" s="33" t="str">
        <f aca="false">IF(F484="","",F484*J484)</f>
        <v/>
      </c>
      <c r="Q484" s="33" t="str">
        <f aca="false">IF(F484="","",F484*L484)</f>
        <v/>
      </c>
      <c r="R484" s="33" t="str">
        <f aca="false">IF(F484="","",IF(H484="",F484,0))</f>
        <v/>
      </c>
      <c r="S484" s="32" t="str">
        <f aca="false">IF(F484="","",IF(N(O484)=0,"",IF(O484&lt;=30,"1-30",IF(O484&lt;=60,"31-60",IF(O484&lt;=90,"61-90","90+")))))</f>
        <v/>
      </c>
      <c r="T484" s="32" t="str">
        <f aca="false">IF(F484="","",IF(E484="","Diğer",E484))</f>
        <v/>
      </c>
      <c r="U484" s="32" t="str">
        <f aca="false">IF(OR(F484="",C484=""),"",IF(COUNTIF($C$2:C484,C484)=1,MAX($U$1:U483)+1,""))</f>
        <v/>
      </c>
    </row>
    <row r="485" customFormat="false" ht="15" hidden="false" customHeight="false" outlineLevel="0" collapsed="false">
      <c r="A485" s="34"/>
      <c r="B485" s="9"/>
      <c r="C485" s="34"/>
      <c r="D485" s="34"/>
      <c r="E485" s="34"/>
      <c r="F485" s="35"/>
      <c r="G485" s="9"/>
      <c r="H485" s="9"/>
      <c r="I485" s="34"/>
      <c r="J485" s="30" t="str">
        <f aca="false">IF(F485="","",G485-B485)</f>
        <v/>
      </c>
      <c r="K485" s="31" t="str">
        <f aca="false">IF(F485="","",IF(H485&lt;&gt;"",H485,MAX('Vade Sapması'!$D$3,G485)))</f>
        <v/>
      </c>
      <c r="L485" s="30" t="str">
        <f aca="false">IF(F485="","",K485-B485)</f>
        <v/>
      </c>
      <c r="M485" s="30" t="str">
        <f aca="false">IF(F485="","",L485-J485)</f>
        <v/>
      </c>
      <c r="N485" s="32" t="str">
        <f aca="false">IF(F485="","",IF(H485&lt;&gt;"","Kapandı",IF('Vade Sapması'!$D$3&gt;G485,"Açık · vadesi geçti","Açık · vadesi gelmedi")))</f>
        <v/>
      </c>
      <c r="O485" s="30" t="str">
        <f aca="false">IF(F485="","",IF(AND(H485="",'Vade Sapması'!$D$3&gt;G485),'Vade Sapması'!$D$3-G485,0))</f>
        <v/>
      </c>
      <c r="P485" s="33" t="str">
        <f aca="false">IF(F485="","",F485*J485)</f>
        <v/>
      </c>
      <c r="Q485" s="33" t="str">
        <f aca="false">IF(F485="","",F485*L485)</f>
        <v/>
      </c>
      <c r="R485" s="33" t="str">
        <f aca="false">IF(F485="","",IF(H485="",F485,0))</f>
        <v/>
      </c>
      <c r="S485" s="32" t="str">
        <f aca="false">IF(F485="","",IF(N(O485)=0,"",IF(O485&lt;=30,"1-30",IF(O485&lt;=60,"31-60",IF(O485&lt;=90,"61-90","90+")))))</f>
        <v/>
      </c>
      <c r="T485" s="32" t="str">
        <f aca="false">IF(F485="","",IF(E485="","Diğer",E485))</f>
        <v/>
      </c>
      <c r="U485" s="32" t="str">
        <f aca="false">IF(OR(F485="",C485=""),"",IF(COUNTIF($C$2:C485,C485)=1,MAX($U$1:U484)+1,""))</f>
        <v/>
      </c>
    </row>
    <row r="486" customFormat="false" ht="15" hidden="false" customHeight="false" outlineLevel="0" collapsed="false">
      <c r="A486" s="34"/>
      <c r="B486" s="9"/>
      <c r="C486" s="34"/>
      <c r="D486" s="34"/>
      <c r="E486" s="34"/>
      <c r="F486" s="35"/>
      <c r="G486" s="9"/>
      <c r="H486" s="9"/>
      <c r="I486" s="34"/>
      <c r="J486" s="30" t="str">
        <f aca="false">IF(F486="","",G486-B486)</f>
        <v/>
      </c>
      <c r="K486" s="31" t="str">
        <f aca="false">IF(F486="","",IF(H486&lt;&gt;"",H486,MAX('Vade Sapması'!$D$3,G486)))</f>
        <v/>
      </c>
      <c r="L486" s="30" t="str">
        <f aca="false">IF(F486="","",K486-B486)</f>
        <v/>
      </c>
      <c r="M486" s="30" t="str">
        <f aca="false">IF(F486="","",L486-J486)</f>
        <v/>
      </c>
      <c r="N486" s="32" t="str">
        <f aca="false">IF(F486="","",IF(H486&lt;&gt;"","Kapandı",IF('Vade Sapması'!$D$3&gt;G486,"Açık · vadesi geçti","Açık · vadesi gelmedi")))</f>
        <v/>
      </c>
      <c r="O486" s="30" t="str">
        <f aca="false">IF(F486="","",IF(AND(H486="",'Vade Sapması'!$D$3&gt;G486),'Vade Sapması'!$D$3-G486,0))</f>
        <v/>
      </c>
      <c r="P486" s="33" t="str">
        <f aca="false">IF(F486="","",F486*J486)</f>
        <v/>
      </c>
      <c r="Q486" s="33" t="str">
        <f aca="false">IF(F486="","",F486*L486)</f>
        <v/>
      </c>
      <c r="R486" s="33" t="str">
        <f aca="false">IF(F486="","",IF(H486="",F486,0))</f>
        <v/>
      </c>
      <c r="S486" s="32" t="str">
        <f aca="false">IF(F486="","",IF(N(O486)=0,"",IF(O486&lt;=30,"1-30",IF(O486&lt;=60,"31-60",IF(O486&lt;=90,"61-90","90+")))))</f>
        <v/>
      </c>
      <c r="T486" s="32" t="str">
        <f aca="false">IF(F486="","",IF(E486="","Diğer",E486))</f>
        <v/>
      </c>
      <c r="U486" s="32" t="str">
        <f aca="false">IF(OR(F486="",C486=""),"",IF(COUNTIF($C$2:C486,C486)=1,MAX($U$1:U485)+1,""))</f>
        <v/>
      </c>
    </row>
    <row r="487" customFormat="false" ht="15" hidden="false" customHeight="false" outlineLevel="0" collapsed="false">
      <c r="A487" s="34"/>
      <c r="B487" s="9"/>
      <c r="C487" s="34"/>
      <c r="D487" s="34"/>
      <c r="E487" s="34"/>
      <c r="F487" s="35"/>
      <c r="G487" s="9"/>
      <c r="H487" s="9"/>
      <c r="I487" s="34"/>
      <c r="J487" s="30" t="str">
        <f aca="false">IF(F487="","",G487-B487)</f>
        <v/>
      </c>
      <c r="K487" s="31" t="str">
        <f aca="false">IF(F487="","",IF(H487&lt;&gt;"",H487,MAX('Vade Sapması'!$D$3,G487)))</f>
        <v/>
      </c>
      <c r="L487" s="30" t="str">
        <f aca="false">IF(F487="","",K487-B487)</f>
        <v/>
      </c>
      <c r="M487" s="30" t="str">
        <f aca="false">IF(F487="","",L487-J487)</f>
        <v/>
      </c>
      <c r="N487" s="32" t="str">
        <f aca="false">IF(F487="","",IF(H487&lt;&gt;"","Kapandı",IF('Vade Sapması'!$D$3&gt;G487,"Açık · vadesi geçti","Açık · vadesi gelmedi")))</f>
        <v/>
      </c>
      <c r="O487" s="30" t="str">
        <f aca="false">IF(F487="","",IF(AND(H487="",'Vade Sapması'!$D$3&gt;G487),'Vade Sapması'!$D$3-G487,0))</f>
        <v/>
      </c>
      <c r="P487" s="33" t="str">
        <f aca="false">IF(F487="","",F487*J487)</f>
        <v/>
      </c>
      <c r="Q487" s="33" t="str">
        <f aca="false">IF(F487="","",F487*L487)</f>
        <v/>
      </c>
      <c r="R487" s="33" t="str">
        <f aca="false">IF(F487="","",IF(H487="",F487,0))</f>
        <v/>
      </c>
      <c r="S487" s="32" t="str">
        <f aca="false">IF(F487="","",IF(N(O487)=0,"",IF(O487&lt;=30,"1-30",IF(O487&lt;=60,"31-60",IF(O487&lt;=90,"61-90","90+")))))</f>
        <v/>
      </c>
      <c r="T487" s="32" t="str">
        <f aca="false">IF(F487="","",IF(E487="","Diğer",E487))</f>
        <v/>
      </c>
      <c r="U487" s="32" t="str">
        <f aca="false">IF(OR(F487="",C487=""),"",IF(COUNTIF($C$2:C487,C487)=1,MAX($U$1:U486)+1,""))</f>
        <v/>
      </c>
    </row>
    <row r="488" customFormat="false" ht="15" hidden="false" customHeight="false" outlineLevel="0" collapsed="false">
      <c r="A488" s="34"/>
      <c r="B488" s="9"/>
      <c r="C488" s="34"/>
      <c r="D488" s="34"/>
      <c r="E488" s="34"/>
      <c r="F488" s="35"/>
      <c r="G488" s="9"/>
      <c r="H488" s="9"/>
      <c r="I488" s="34"/>
      <c r="J488" s="30" t="str">
        <f aca="false">IF(F488="","",G488-B488)</f>
        <v/>
      </c>
      <c r="K488" s="31" t="str">
        <f aca="false">IF(F488="","",IF(H488&lt;&gt;"",H488,MAX('Vade Sapması'!$D$3,G488)))</f>
        <v/>
      </c>
      <c r="L488" s="30" t="str">
        <f aca="false">IF(F488="","",K488-B488)</f>
        <v/>
      </c>
      <c r="M488" s="30" t="str">
        <f aca="false">IF(F488="","",L488-J488)</f>
        <v/>
      </c>
      <c r="N488" s="32" t="str">
        <f aca="false">IF(F488="","",IF(H488&lt;&gt;"","Kapandı",IF('Vade Sapması'!$D$3&gt;G488,"Açık · vadesi geçti","Açık · vadesi gelmedi")))</f>
        <v/>
      </c>
      <c r="O488" s="30" t="str">
        <f aca="false">IF(F488="","",IF(AND(H488="",'Vade Sapması'!$D$3&gt;G488),'Vade Sapması'!$D$3-G488,0))</f>
        <v/>
      </c>
      <c r="P488" s="33" t="str">
        <f aca="false">IF(F488="","",F488*J488)</f>
        <v/>
      </c>
      <c r="Q488" s="33" t="str">
        <f aca="false">IF(F488="","",F488*L488)</f>
        <v/>
      </c>
      <c r="R488" s="33" t="str">
        <f aca="false">IF(F488="","",IF(H488="",F488,0))</f>
        <v/>
      </c>
      <c r="S488" s="32" t="str">
        <f aca="false">IF(F488="","",IF(N(O488)=0,"",IF(O488&lt;=30,"1-30",IF(O488&lt;=60,"31-60",IF(O488&lt;=90,"61-90","90+")))))</f>
        <v/>
      </c>
      <c r="T488" s="32" t="str">
        <f aca="false">IF(F488="","",IF(E488="","Diğer",E488))</f>
        <v/>
      </c>
      <c r="U488" s="32" t="str">
        <f aca="false">IF(OR(F488="",C488=""),"",IF(COUNTIF($C$2:C488,C488)=1,MAX($U$1:U487)+1,""))</f>
        <v/>
      </c>
    </row>
    <row r="489" customFormat="false" ht="15" hidden="false" customHeight="false" outlineLevel="0" collapsed="false">
      <c r="A489" s="34"/>
      <c r="B489" s="9"/>
      <c r="C489" s="34"/>
      <c r="D489" s="34"/>
      <c r="E489" s="34"/>
      <c r="F489" s="35"/>
      <c r="G489" s="9"/>
      <c r="H489" s="9"/>
      <c r="I489" s="34"/>
      <c r="J489" s="30" t="str">
        <f aca="false">IF(F489="","",G489-B489)</f>
        <v/>
      </c>
      <c r="K489" s="31" t="str">
        <f aca="false">IF(F489="","",IF(H489&lt;&gt;"",H489,MAX('Vade Sapması'!$D$3,G489)))</f>
        <v/>
      </c>
      <c r="L489" s="30" t="str">
        <f aca="false">IF(F489="","",K489-B489)</f>
        <v/>
      </c>
      <c r="M489" s="30" t="str">
        <f aca="false">IF(F489="","",L489-J489)</f>
        <v/>
      </c>
      <c r="N489" s="32" t="str">
        <f aca="false">IF(F489="","",IF(H489&lt;&gt;"","Kapandı",IF('Vade Sapması'!$D$3&gt;G489,"Açık · vadesi geçti","Açık · vadesi gelmedi")))</f>
        <v/>
      </c>
      <c r="O489" s="30" t="str">
        <f aca="false">IF(F489="","",IF(AND(H489="",'Vade Sapması'!$D$3&gt;G489),'Vade Sapması'!$D$3-G489,0))</f>
        <v/>
      </c>
      <c r="P489" s="33" t="str">
        <f aca="false">IF(F489="","",F489*J489)</f>
        <v/>
      </c>
      <c r="Q489" s="33" t="str">
        <f aca="false">IF(F489="","",F489*L489)</f>
        <v/>
      </c>
      <c r="R489" s="33" t="str">
        <f aca="false">IF(F489="","",IF(H489="",F489,0))</f>
        <v/>
      </c>
      <c r="S489" s="32" t="str">
        <f aca="false">IF(F489="","",IF(N(O489)=0,"",IF(O489&lt;=30,"1-30",IF(O489&lt;=60,"31-60",IF(O489&lt;=90,"61-90","90+")))))</f>
        <v/>
      </c>
      <c r="T489" s="32" t="str">
        <f aca="false">IF(F489="","",IF(E489="","Diğer",E489))</f>
        <v/>
      </c>
      <c r="U489" s="32" t="str">
        <f aca="false">IF(OR(F489="",C489=""),"",IF(COUNTIF($C$2:C489,C489)=1,MAX($U$1:U488)+1,""))</f>
        <v/>
      </c>
    </row>
    <row r="490" customFormat="false" ht="15" hidden="false" customHeight="false" outlineLevel="0" collapsed="false">
      <c r="A490" s="34"/>
      <c r="B490" s="9"/>
      <c r="C490" s="34"/>
      <c r="D490" s="34"/>
      <c r="E490" s="34"/>
      <c r="F490" s="35"/>
      <c r="G490" s="9"/>
      <c r="H490" s="9"/>
      <c r="I490" s="34"/>
      <c r="J490" s="30" t="str">
        <f aca="false">IF(F490="","",G490-B490)</f>
        <v/>
      </c>
      <c r="K490" s="31" t="str">
        <f aca="false">IF(F490="","",IF(H490&lt;&gt;"",H490,MAX('Vade Sapması'!$D$3,G490)))</f>
        <v/>
      </c>
      <c r="L490" s="30" t="str">
        <f aca="false">IF(F490="","",K490-B490)</f>
        <v/>
      </c>
      <c r="M490" s="30" t="str">
        <f aca="false">IF(F490="","",L490-J490)</f>
        <v/>
      </c>
      <c r="N490" s="32" t="str">
        <f aca="false">IF(F490="","",IF(H490&lt;&gt;"","Kapandı",IF('Vade Sapması'!$D$3&gt;G490,"Açık · vadesi geçti","Açık · vadesi gelmedi")))</f>
        <v/>
      </c>
      <c r="O490" s="30" t="str">
        <f aca="false">IF(F490="","",IF(AND(H490="",'Vade Sapması'!$D$3&gt;G490),'Vade Sapması'!$D$3-G490,0))</f>
        <v/>
      </c>
      <c r="P490" s="33" t="str">
        <f aca="false">IF(F490="","",F490*J490)</f>
        <v/>
      </c>
      <c r="Q490" s="33" t="str">
        <f aca="false">IF(F490="","",F490*L490)</f>
        <v/>
      </c>
      <c r="R490" s="33" t="str">
        <f aca="false">IF(F490="","",IF(H490="",F490,0))</f>
        <v/>
      </c>
      <c r="S490" s="32" t="str">
        <f aca="false">IF(F490="","",IF(N(O490)=0,"",IF(O490&lt;=30,"1-30",IF(O490&lt;=60,"31-60",IF(O490&lt;=90,"61-90","90+")))))</f>
        <v/>
      </c>
      <c r="T490" s="32" t="str">
        <f aca="false">IF(F490="","",IF(E490="","Diğer",E490))</f>
        <v/>
      </c>
      <c r="U490" s="32" t="str">
        <f aca="false">IF(OR(F490="",C490=""),"",IF(COUNTIF($C$2:C490,C490)=1,MAX($U$1:U489)+1,""))</f>
        <v/>
      </c>
    </row>
    <row r="491" customFormat="false" ht="15" hidden="false" customHeight="false" outlineLevel="0" collapsed="false">
      <c r="A491" s="34"/>
      <c r="B491" s="9"/>
      <c r="C491" s="34"/>
      <c r="D491" s="34"/>
      <c r="E491" s="34"/>
      <c r="F491" s="35"/>
      <c r="G491" s="9"/>
      <c r="H491" s="9"/>
      <c r="I491" s="34"/>
      <c r="J491" s="30" t="str">
        <f aca="false">IF(F491="","",G491-B491)</f>
        <v/>
      </c>
      <c r="K491" s="31" t="str">
        <f aca="false">IF(F491="","",IF(H491&lt;&gt;"",H491,MAX('Vade Sapması'!$D$3,G491)))</f>
        <v/>
      </c>
      <c r="L491" s="30" t="str">
        <f aca="false">IF(F491="","",K491-B491)</f>
        <v/>
      </c>
      <c r="M491" s="30" t="str">
        <f aca="false">IF(F491="","",L491-J491)</f>
        <v/>
      </c>
      <c r="N491" s="32" t="str">
        <f aca="false">IF(F491="","",IF(H491&lt;&gt;"","Kapandı",IF('Vade Sapması'!$D$3&gt;G491,"Açık · vadesi geçti","Açık · vadesi gelmedi")))</f>
        <v/>
      </c>
      <c r="O491" s="30" t="str">
        <f aca="false">IF(F491="","",IF(AND(H491="",'Vade Sapması'!$D$3&gt;G491),'Vade Sapması'!$D$3-G491,0))</f>
        <v/>
      </c>
      <c r="P491" s="33" t="str">
        <f aca="false">IF(F491="","",F491*J491)</f>
        <v/>
      </c>
      <c r="Q491" s="33" t="str">
        <f aca="false">IF(F491="","",F491*L491)</f>
        <v/>
      </c>
      <c r="R491" s="33" t="str">
        <f aca="false">IF(F491="","",IF(H491="",F491,0))</f>
        <v/>
      </c>
      <c r="S491" s="32" t="str">
        <f aca="false">IF(F491="","",IF(N(O491)=0,"",IF(O491&lt;=30,"1-30",IF(O491&lt;=60,"31-60",IF(O491&lt;=90,"61-90","90+")))))</f>
        <v/>
      </c>
      <c r="T491" s="32" t="str">
        <f aca="false">IF(F491="","",IF(E491="","Diğer",E491))</f>
        <v/>
      </c>
      <c r="U491" s="32" t="str">
        <f aca="false">IF(OR(F491="",C491=""),"",IF(COUNTIF($C$2:C491,C491)=1,MAX($U$1:U490)+1,""))</f>
        <v/>
      </c>
    </row>
    <row r="492" customFormat="false" ht="15" hidden="false" customHeight="false" outlineLevel="0" collapsed="false">
      <c r="A492" s="34"/>
      <c r="B492" s="9"/>
      <c r="C492" s="34"/>
      <c r="D492" s="34"/>
      <c r="E492" s="34"/>
      <c r="F492" s="35"/>
      <c r="G492" s="9"/>
      <c r="H492" s="9"/>
      <c r="I492" s="34"/>
      <c r="J492" s="30" t="str">
        <f aca="false">IF(F492="","",G492-B492)</f>
        <v/>
      </c>
      <c r="K492" s="31" t="str">
        <f aca="false">IF(F492="","",IF(H492&lt;&gt;"",H492,MAX('Vade Sapması'!$D$3,G492)))</f>
        <v/>
      </c>
      <c r="L492" s="30" t="str">
        <f aca="false">IF(F492="","",K492-B492)</f>
        <v/>
      </c>
      <c r="M492" s="30" t="str">
        <f aca="false">IF(F492="","",L492-J492)</f>
        <v/>
      </c>
      <c r="N492" s="32" t="str">
        <f aca="false">IF(F492="","",IF(H492&lt;&gt;"","Kapandı",IF('Vade Sapması'!$D$3&gt;G492,"Açık · vadesi geçti","Açık · vadesi gelmedi")))</f>
        <v/>
      </c>
      <c r="O492" s="30" t="str">
        <f aca="false">IF(F492="","",IF(AND(H492="",'Vade Sapması'!$D$3&gt;G492),'Vade Sapması'!$D$3-G492,0))</f>
        <v/>
      </c>
      <c r="P492" s="33" t="str">
        <f aca="false">IF(F492="","",F492*J492)</f>
        <v/>
      </c>
      <c r="Q492" s="33" t="str">
        <f aca="false">IF(F492="","",F492*L492)</f>
        <v/>
      </c>
      <c r="R492" s="33" t="str">
        <f aca="false">IF(F492="","",IF(H492="",F492,0))</f>
        <v/>
      </c>
      <c r="S492" s="32" t="str">
        <f aca="false">IF(F492="","",IF(N(O492)=0,"",IF(O492&lt;=30,"1-30",IF(O492&lt;=60,"31-60",IF(O492&lt;=90,"61-90","90+")))))</f>
        <v/>
      </c>
      <c r="T492" s="32" t="str">
        <f aca="false">IF(F492="","",IF(E492="","Diğer",E492))</f>
        <v/>
      </c>
      <c r="U492" s="32" t="str">
        <f aca="false">IF(OR(F492="",C492=""),"",IF(COUNTIF($C$2:C492,C492)=1,MAX($U$1:U491)+1,""))</f>
        <v/>
      </c>
    </row>
    <row r="493" customFormat="false" ht="15" hidden="false" customHeight="false" outlineLevel="0" collapsed="false">
      <c r="A493" s="34"/>
      <c r="B493" s="9"/>
      <c r="C493" s="34"/>
      <c r="D493" s="34"/>
      <c r="E493" s="34"/>
      <c r="F493" s="35"/>
      <c r="G493" s="9"/>
      <c r="H493" s="9"/>
      <c r="I493" s="34"/>
      <c r="J493" s="30" t="str">
        <f aca="false">IF(F493="","",G493-B493)</f>
        <v/>
      </c>
      <c r="K493" s="31" t="str">
        <f aca="false">IF(F493="","",IF(H493&lt;&gt;"",H493,MAX('Vade Sapması'!$D$3,G493)))</f>
        <v/>
      </c>
      <c r="L493" s="30" t="str">
        <f aca="false">IF(F493="","",K493-B493)</f>
        <v/>
      </c>
      <c r="M493" s="30" t="str">
        <f aca="false">IF(F493="","",L493-J493)</f>
        <v/>
      </c>
      <c r="N493" s="32" t="str">
        <f aca="false">IF(F493="","",IF(H493&lt;&gt;"","Kapandı",IF('Vade Sapması'!$D$3&gt;G493,"Açık · vadesi geçti","Açık · vadesi gelmedi")))</f>
        <v/>
      </c>
      <c r="O493" s="30" t="str">
        <f aca="false">IF(F493="","",IF(AND(H493="",'Vade Sapması'!$D$3&gt;G493),'Vade Sapması'!$D$3-G493,0))</f>
        <v/>
      </c>
      <c r="P493" s="33" t="str">
        <f aca="false">IF(F493="","",F493*J493)</f>
        <v/>
      </c>
      <c r="Q493" s="33" t="str">
        <f aca="false">IF(F493="","",F493*L493)</f>
        <v/>
      </c>
      <c r="R493" s="33" t="str">
        <f aca="false">IF(F493="","",IF(H493="",F493,0))</f>
        <v/>
      </c>
      <c r="S493" s="32" t="str">
        <f aca="false">IF(F493="","",IF(N(O493)=0,"",IF(O493&lt;=30,"1-30",IF(O493&lt;=60,"31-60",IF(O493&lt;=90,"61-90","90+")))))</f>
        <v/>
      </c>
      <c r="T493" s="32" t="str">
        <f aca="false">IF(F493="","",IF(E493="","Diğer",E493))</f>
        <v/>
      </c>
      <c r="U493" s="32" t="str">
        <f aca="false">IF(OR(F493="",C493=""),"",IF(COUNTIF($C$2:C493,C493)=1,MAX($U$1:U492)+1,""))</f>
        <v/>
      </c>
    </row>
    <row r="494" customFormat="false" ht="15" hidden="false" customHeight="false" outlineLevel="0" collapsed="false">
      <c r="A494" s="34"/>
      <c r="B494" s="9"/>
      <c r="C494" s="34"/>
      <c r="D494" s="34"/>
      <c r="E494" s="34"/>
      <c r="F494" s="35"/>
      <c r="G494" s="9"/>
      <c r="H494" s="9"/>
      <c r="I494" s="34"/>
      <c r="J494" s="30" t="str">
        <f aca="false">IF(F494="","",G494-B494)</f>
        <v/>
      </c>
      <c r="K494" s="31" t="str">
        <f aca="false">IF(F494="","",IF(H494&lt;&gt;"",H494,MAX('Vade Sapması'!$D$3,G494)))</f>
        <v/>
      </c>
      <c r="L494" s="30" t="str">
        <f aca="false">IF(F494="","",K494-B494)</f>
        <v/>
      </c>
      <c r="M494" s="30" t="str">
        <f aca="false">IF(F494="","",L494-J494)</f>
        <v/>
      </c>
      <c r="N494" s="32" t="str">
        <f aca="false">IF(F494="","",IF(H494&lt;&gt;"","Kapandı",IF('Vade Sapması'!$D$3&gt;G494,"Açık · vadesi geçti","Açık · vadesi gelmedi")))</f>
        <v/>
      </c>
      <c r="O494" s="30" t="str">
        <f aca="false">IF(F494="","",IF(AND(H494="",'Vade Sapması'!$D$3&gt;G494),'Vade Sapması'!$D$3-G494,0))</f>
        <v/>
      </c>
      <c r="P494" s="33" t="str">
        <f aca="false">IF(F494="","",F494*J494)</f>
        <v/>
      </c>
      <c r="Q494" s="33" t="str">
        <f aca="false">IF(F494="","",F494*L494)</f>
        <v/>
      </c>
      <c r="R494" s="33" t="str">
        <f aca="false">IF(F494="","",IF(H494="",F494,0))</f>
        <v/>
      </c>
      <c r="S494" s="32" t="str">
        <f aca="false">IF(F494="","",IF(N(O494)=0,"",IF(O494&lt;=30,"1-30",IF(O494&lt;=60,"31-60",IF(O494&lt;=90,"61-90","90+")))))</f>
        <v/>
      </c>
      <c r="T494" s="32" t="str">
        <f aca="false">IF(F494="","",IF(E494="","Diğer",E494))</f>
        <v/>
      </c>
      <c r="U494" s="32" t="str">
        <f aca="false">IF(OR(F494="",C494=""),"",IF(COUNTIF($C$2:C494,C494)=1,MAX($U$1:U493)+1,""))</f>
        <v/>
      </c>
    </row>
    <row r="495" customFormat="false" ht="15" hidden="false" customHeight="false" outlineLevel="0" collapsed="false">
      <c r="A495" s="34"/>
      <c r="B495" s="9"/>
      <c r="C495" s="34"/>
      <c r="D495" s="34"/>
      <c r="E495" s="34"/>
      <c r="F495" s="35"/>
      <c r="G495" s="9"/>
      <c r="H495" s="9"/>
      <c r="I495" s="34"/>
      <c r="J495" s="30" t="str">
        <f aca="false">IF(F495="","",G495-B495)</f>
        <v/>
      </c>
      <c r="K495" s="31" t="str">
        <f aca="false">IF(F495="","",IF(H495&lt;&gt;"",H495,MAX('Vade Sapması'!$D$3,G495)))</f>
        <v/>
      </c>
      <c r="L495" s="30" t="str">
        <f aca="false">IF(F495="","",K495-B495)</f>
        <v/>
      </c>
      <c r="M495" s="30" t="str">
        <f aca="false">IF(F495="","",L495-J495)</f>
        <v/>
      </c>
      <c r="N495" s="32" t="str">
        <f aca="false">IF(F495="","",IF(H495&lt;&gt;"","Kapandı",IF('Vade Sapması'!$D$3&gt;G495,"Açık · vadesi geçti","Açık · vadesi gelmedi")))</f>
        <v/>
      </c>
      <c r="O495" s="30" t="str">
        <f aca="false">IF(F495="","",IF(AND(H495="",'Vade Sapması'!$D$3&gt;G495),'Vade Sapması'!$D$3-G495,0))</f>
        <v/>
      </c>
      <c r="P495" s="33" t="str">
        <f aca="false">IF(F495="","",F495*J495)</f>
        <v/>
      </c>
      <c r="Q495" s="33" t="str">
        <f aca="false">IF(F495="","",F495*L495)</f>
        <v/>
      </c>
      <c r="R495" s="33" t="str">
        <f aca="false">IF(F495="","",IF(H495="",F495,0))</f>
        <v/>
      </c>
      <c r="S495" s="32" t="str">
        <f aca="false">IF(F495="","",IF(N(O495)=0,"",IF(O495&lt;=30,"1-30",IF(O495&lt;=60,"31-60",IF(O495&lt;=90,"61-90","90+")))))</f>
        <v/>
      </c>
      <c r="T495" s="32" t="str">
        <f aca="false">IF(F495="","",IF(E495="","Diğer",E495))</f>
        <v/>
      </c>
      <c r="U495" s="32" t="str">
        <f aca="false">IF(OR(F495="",C495=""),"",IF(COUNTIF($C$2:C495,C495)=1,MAX($U$1:U494)+1,""))</f>
        <v/>
      </c>
    </row>
    <row r="496" customFormat="false" ht="15" hidden="false" customHeight="false" outlineLevel="0" collapsed="false">
      <c r="A496" s="34"/>
      <c r="B496" s="9"/>
      <c r="C496" s="34"/>
      <c r="D496" s="34"/>
      <c r="E496" s="34"/>
      <c r="F496" s="35"/>
      <c r="G496" s="9"/>
      <c r="H496" s="9"/>
      <c r="I496" s="34"/>
      <c r="J496" s="30" t="str">
        <f aca="false">IF(F496="","",G496-B496)</f>
        <v/>
      </c>
      <c r="K496" s="31" t="str">
        <f aca="false">IF(F496="","",IF(H496&lt;&gt;"",H496,MAX('Vade Sapması'!$D$3,G496)))</f>
        <v/>
      </c>
      <c r="L496" s="30" t="str">
        <f aca="false">IF(F496="","",K496-B496)</f>
        <v/>
      </c>
      <c r="M496" s="30" t="str">
        <f aca="false">IF(F496="","",L496-J496)</f>
        <v/>
      </c>
      <c r="N496" s="32" t="str">
        <f aca="false">IF(F496="","",IF(H496&lt;&gt;"","Kapandı",IF('Vade Sapması'!$D$3&gt;G496,"Açık · vadesi geçti","Açık · vadesi gelmedi")))</f>
        <v/>
      </c>
      <c r="O496" s="30" t="str">
        <f aca="false">IF(F496="","",IF(AND(H496="",'Vade Sapması'!$D$3&gt;G496),'Vade Sapması'!$D$3-G496,0))</f>
        <v/>
      </c>
      <c r="P496" s="33" t="str">
        <f aca="false">IF(F496="","",F496*J496)</f>
        <v/>
      </c>
      <c r="Q496" s="33" t="str">
        <f aca="false">IF(F496="","",F496*L496)</f>
        <v/>
      </c>
      <c r="R496" s="33" t="str">
        <f aca="false">IF(F496="","",IF(H496="",F496,0))</f>
        <v/>
      </c>
      <c r="S496" s="32" t="str">
        <f aca="false">IF(F496="","",IF(N(O496)=0,"",IF(O496&lt;=30,"1-30",IF(O496&lt;=60,"31-60",IF(O496&lt;=90,"61-90","90+")))))</f>
        <v/>
      </c>
      <c r="T496" s="32" t="str">
        <f aca="false">IF(F496="","",IF(E496="","Diğer",E496))</f>
        <v/>
      </c>
      <c r="U496" s="32" t="str">
        <f aca="false">IF(OR(F496="",C496=""),"",IF(COUNTIF($C$2:C496,C496)=1,MAX($U$1:U495)+1,""))</f>
        <v/>
      </c>
    </row>
    <row r="497" customFormat="false" ht="15" hidden="false" customHeight="false" outlineLevel="0" collapsed="false">
      <c r="A497" s="34"/>
      <c r="B497" s="9"/>
      <c r="C497" s="34"/>
      <c r="D497" s="34"/>
      <c r="E497" s="34"/>
      <c r="F497" s="35"/>
      <c r="G497" s="9"/>
      <c r="H497" s="9"/>
      <c r="I497" s="34"/>
      <c r="J497" s="30" t="str">
        <f aca="false">IF(F497="","",G497-B497)</f>
        <v/>
      </c>
      <c r="K497" s="31" t="str">
        <f aca="false">IF(F497="","",IF(H497&lt;&gt;"",H497,MAX('Vade Sapması'!$D$3,G497)))</f>
        <v/>
      </c>
      <c r="L497" s="30" t="str">
        <f aca="false">IF(F497="","",K497-B497)</f>
        <v/>
      </c>
      <c r="M497" s="30" t="str">
        <f aca="false">IF(F497="","",L497-J497)</f>
        <v/>
      </c>
      <c r="N497" s="32" t="str">
        <f aca="false">IF(F497="","",IF(H497&lt;&gt;"","Kapandı",IF('Vade Sapması'!$D$3&gt;G497,"Açık · vadesi geçti","Açık · vadesi gelmedi")))</f>
        <v/>
      </c>
      <c r="O497" s="30" t="str">
        <f aca="false">IF(F497="","",IF(AND(H497="",'Vade Sapması'!$D$3&gt;G497),'Vade Sapması'!$D$3-G497,0))</f>
        <v/>
      </c>
      <c r="P497" s="33" t="str">
        <f aca="false">IF(F497="","",F497*J497)</f>
        <v/>
      </c>
      <c r="Q497" s="33" t="str">
        <f aca="false">IF(F497="","",F497*L497)</f>
        <v/>
      </c>
      <c r="R497" s="33" t="str">
        <f aca="false">IF(F497="","",IF(H497="",F497,0))</f>
        <v/>
      </c>
      <c r="S497" s="32" t="str">
        <f aca="false">IF(F497="","",IF(N(O497)=0,"",IF(O497&lt;=30,"1-30",IF(O497&lt;=60,"31-60",IF(O497&lt;=90,"61-90","90+")))))</f>
        <v/>
      </c>
      <c r="T497" s="32" t="str">
        <f aca="false">IF(F497="","",IF(E497="","Diğer",E497))</f>
        <v/>
      </c>
      <c r="U497" s="32" t="str">
        <f aca="false">IF(OR(F497="",C497=""),"",IF(COUNTIF($C$2:C497,C497)=1,MAX($U$1:U496)+1,""))</f>
        <v/>
      </c>
    </row>
    <row r="498" customFormat="false" ht="15" hidden="false" customHeight="false" outlineLevel="0" collapsed="false">
      <c r="A498" s="34"/>
      <c r="B498" s="9"/>
      <c r="C498" s="34"/>
      <c r="D498" s="34"/>
      <c r="E498" s="34"/>
      <c r="F498" s="35"/>
      <c r="G498" s="9"/>
      <c r="H498" s="9"/>
      <c r="I498" s="34"/>
      <c r="J498" s="30" t="str">
        <f aca="false">IF(F498="","",G498-B498)</f>
        <v/>
      </c>
      <c r="K498" s="31" t="str">
        <f aca="false">IF(F498="","",IF(H498&lt;&gt;"",H498,MAX('Vade Sapması'!$D$3,G498)))</f>
        <v/>
      </c>
      <c r="L498" s="30" t="str">
        <f aca="false">IF(F498="","",K498-B498)</f>
        <v/>
      </c>
      <c r="M498" s="30" t="str">
        <f aca="false">IF(F498="","",L498-J498)</f>
        <v/>
      </c>
      <c r="N498" s="32" t="str">
        <f aca="false">IF(F498="","",IF(H498&lt;&gt;"","Kapandı",IF('Vade Sapması'!$D$3&gt;G498,"Açık · vadesi geçti","Açık · vadesi gelmedi")))</f>
        <v/>
      </c>
      <c r="O498" s="30" t="str">
        <f aca="false">IF(F498="","",IF(AND(H498="",'Vade Sapması'!$D$3&gt;G498),'Vade Sapması'!$D$3-G498,0))</f>
        <v/>
      </c>
      <c r="P498" s="33" t="str">
        <f aca="false">IF(F498="","",F498*J498)</f>
        <v/>
      </c>
      <c r="Q498" s="33" t="str">
        <f aca="false">IF(F498="","",F498*L498)</f>
        <v/>
      </c>
      <c r="R498" s="33" t="str">
        <f aca="false">IF(F498="","",IF(H498="",F498,0))</f>
        <v/>
      </c>
      <c r="S498" s="32" t="str">
        <f aca="false">IF(F498="","",IF(N(O498)=0,"",IF(O498&lt;=30,"1-30",IF(O498&lt;=60,"31-60",IF(O498&lt;=90,"61-90","90+")))))</f>
        <v/>
      </c>
      <c r="T498" s="32" t="str">
        <f aca="false">IF(F498="","",IF(E498="","Diğer",E498))</f>
        <v/>
      </c>
      <c r="U498" s="32" t="str">
        <f aca="false">IF(OR(F498="",C498=""),"",IF(COUNTIF($C$2:C498,C498)=1,MAX($U$1:U497)+1,""))</f>
        <v/>
      </c>
    </row>
    <row r="499" customFormat="false" ht="15" hidden="false" customHeight="false" outlineLevel="0" collapsed="false">
      <c r="A499" s="34"/>
      <c r="B499" s="9"/>
      <c r="C499" s="34"/>
      <c r="D499" s="34"/>
      <c r="E499" s="34"/>
      <c r="F499" s="35"/>
      <c r="G499" s="9"/>
      <c r="H499" s="9"/>
      <c r="I499" s="34"/>
      <c r="J499" s="30" t="str">
        <f aca="false">IF(F499="","",G499-B499)</f>
        <v/>
      </c>
      <c r="K499" s="31" t="str">
        <f aca="false">IF(F499="","",IF(H499&lt;&gt;"",H499,MAX('Vade Sapması'!$D$3,G499)))</f>
        <v/>
      </c>
      <c r="L499" s="30" t="str">
        <f aca="false">IF(F499="","",K499-B499)</f>
        <v/>
      </c>
      <c r="M499" s="30" t="str">
        <f aca="false">IF(F499="","",L499-J499)</f>
        <v/>
      </c>
      <c r="N499" s="32" t="str">
        <f aca="false">IF(F499="","",IF(H499&lt;&gt;"","Kapandı",IF('Vade Sapması'!$D$3&gt;G499,"Açık · vadesi geçti","Açık · vadesi gelmedi")))</f>
        <v/>
      </c>
      <c r="O499" s="30" t="str">
        <f aca="false">IF(F499="","",IF(AND(H499="",'Vade Sapması'!$D$3&gt;G499),'Vade Sapması'!$D$3-G499,0))</f>
        <v/>
      </c>
      <c r="P499" s="33" t="str">
        <f aca="false">IF(F499="","",F499*J499)</f>
        <v/>
      </c>
      <c r="Q499" s="33" t="str">
        <f aca="false">IF(F499="","",F499*L499)</f>
        <v/>
      </c>
      <c r="R499" s="33" t="str">
        <f aca="false">IF(F499="","",IF(H499="",F499,0))</f>
        <v/>
      </c>
      <c r="S499" s="32" t="str">
        <f aca="false">IF(F499="","",IF(N(O499)=0,"",IF(O499&lt;=30,"1-30",IF(O499&lt;=60,"31-60",IF(O499&lt;=90,"61-90","90+")))))</f>
        <v/>
      </c>
      <c r="T499" s="32" t="str">
        <f aca="false">IF(F499="","",IF(E499="","Diğer",E499))</f>
        <v/>
      </c>
      <c r="U499" s="32" t="str">
        <f aca="false">IF(OR(F499="",C499=""),"",IF(COUNTIF($C$2:C499,C499)=1,MAX($U$1:U498)+1,""))</f>
        <v/>
      </c>
    </row>
    <row r="500" customFormat="false" ht="15" hidden="false" customHeight="false" outlineLevel="0" collapsed="false">
      <c r="A500" s="34"/>
      <c r="B500" s="9"/>
      <c r="C500" s="34"/>
      <c r="D500" s="34"/>
      <c r="E500" s="34"/>
      <c r="F500" s="35"/>
      <c r="G500" s="9"/>
      <c r="H500" s="9"/>
      <c r="I500" s="34"/>
      <c r="J500" s="30" t="str">
        <f aca="false">IF(F500="","",G500-B500)</f>
        <v/>
      </c>
      <c r="K500" s="31" t="str">
        <f aca="false">IF(F500="","",IF(H500&lt;&gt;"",H500,MAX('Vade Sapması'!$D$3,G500)))</f>
        <v/>
      </c>
      <c r="L500" s="30" t="str">
        <f aca="false">IF(F500="","",K500-B500)</f>
        <v/>
      </c>
      <c r="M500" s="30" t="str">
        <f aca="false">IF(F500="","",L500-J500)</f>
        <v/>
      </c>
      <c r="N500" s="32" t="str">
        <f aca="false">IF(F500="","",IF(H500&lt;&gt;"","Kapandı",IF('Vade Sapması'!$D$3&gt;G500,"Açık · vadesi geçti","Açık · vadesi gelmedi")))</f>
        <v/>
      </c>
      <c r="O500" s="30" t="str">
        <f aca="false">IF(F500="","",IF(AND(H500="",'Vade Sapması'!$D$3&gt;G500),'Vade Sapması'!$D$3-G500,0))</f>
        <v/>
      </c>
      <c r="P500" s="33" t="str">
        <f aca="false">IF(F500="","",F500*J500)</f>
        <v/>
      </c>
      <c r="Q500" s="33" t="str">
        <f aca="false">IF(F500="","",F500*L500)</f>
        <v/>
      </c>
      <c r="R500" s="33" t="str">
        <f aca="false">IF(F500="","",IF(H500="",F500,0))</f>
        <v/>
      </c>
      <c r="S500" s="32" t="str">
        <f aca="false">IF(F500="","",IF(N(O500)=0,"",IF(O500&lt;=30,"1-30",IF(O500&lt;=60,"31-60",IF(O500&lt;=90,"61-90","90+")))))</f>
        <v/>
      </c>
      <c r="T500" s="32" t="str">
        <f aca="false">IF(F500="","",IF(E500="","Diğer",E500))</f>
        <v/>
      </c>
      <c r="U500" s="32" t="str">
        <f aca="false">IF(OR(F500="",C500=""),"",IF(COUNTIF($C$2:C500,C500)=1,MAX($U$1:U499)+1,""))</f>
        <v/>
      </c>
    </row>
    <row r="501" customFormat="false" ht="15" hidden="false" customHeight="false" outlineLevel="0" collapsed="false">
      <c r="A501" s="34"/>
      <c r="B501" s="9"/>
      <c r="C501" s="34"/>
      <c r="D501" s="34"/>
      <c r="E501" s="34"/>
      <c r="F501" s="35"/>
      <c r="G501" s="9"/>
      <c r="H501" s="9"/>
      <c r="I501" s="34"/>
      <c r="J501" s="30" t="str">
        <f aca="false">IF(F501="","",G501-B501)</f>
        <v/>
      </c>
      <c r="K501" s="31" t="str">
        <f aca="false">IF(F501="","",IF(H501&lt;&gt;"",H501,MAX('Vade Sapması'!$D$3,G501)))</f>
        <v/>
      </c>
      <c r="L501" s="30" t="str">
        <f aca="false">IF(F501="","",K501-B501)</f>
        <v/>
      </c>
      <c r="M501" s="30" t="str">
        <f aca="false">IF(F501="","",L501-J501)</f>
        <v/>
      </c>
      <c r="N501" s="32" t="str">
        <f aca="false">IF(F501="","",IF(H501&lt;&gt;"","Kapandı",IF('Vade Sapması'!$D$3&gt;G501,"Açık · vadesi geçti","Açık · vadesi gelmedi")))</f>
        <v/>
      </c>
      <c r="O501" s="30" t="str">
        <f aca="false">IF(F501="","",IF(AND(H501="",'Vade Sapması'!$D$3&gt;G501),'Vade Sapması'!$D$3-G501,0))</f>
        <v/>
      </c>
      <c r="P501" s="33" t="str">
        <f aca="false">IF(F501="","",F501*J501)</f>
        <v/>
      </c>
      <c r="Q501" s="33" t="str">
        <f aca="false">IF(F501="","",F501*L501)</f>
        <v/>
      </c>
      <c r="R501" s="33" t="str">
        <f aca="false">IF(F501="","",IF(H501="",F501,0))</f>
        <v/>
      </c>
      <c r="S501" s="32" t="str">
        <f aca="false">IF(F501="","",IF(N(O501)=0,"",IF(O501&lt;=30,"1-30",IF(O501&lt;=60,"31-60",IF(O501&lt;=90,"61-90","90+")))))</f>
        <v/>
      </c>
      <c r="T501" s="32" t="str">
        <f aca="false">IF(F501="","",IF(E501="","Diğer",E501))</f>
        <v/>
      </c>
      <c r="U501" s="32" t="str">
        <f aca="false">IF(OR(F501="",C501=""),"",IF(COUNTIF($C$2:C501,C501)=1,MAX($U$1:U500)+1,""))</f>
        <v/>
      </c>
    </row>
    <row r="502" customFormat="false" ht="15" hidden="false" customHeight="false" outlineLevel="0" collapsed="false">
      <c r="A502" s="34"/>
      <c r="B502" s="9"/>
      <c r="C502" s="34"/>
      <c r="D502" s="34"/>
      <c r="E502" s="34"/>
      <c r="F502" s="35"/>
      <c r="G502" s="9"/>
      <c r="H502" s="9"/>
      <c r="I502" s="34"/>
      <c r="J502" s="30" t="str">
        <f aca="false">IF(F502="","",G502-B502)</f>
        <v/>
      </c>
      <c r="K502" s="31" t="str">
        <f aca="false">IF(F502="","",IF(H502&lt;&gt;"",H502,MAX('Vade Sapması'!$D$3,G502)))</f>
        <v/>
      </c>
      <c r="L502" s="30" t="str">
        <f aca="false">IF(F502="","",K502-B502)</f>
        <v/>
      </c>
      <c r="M502" s="30" t="str">
        <f aca="false">IF(F502="","",L502-J502)</f>
        <v/>
      </c>
      <c r="N502" s="32" t="str">
        <f aca="false">IF(F502="","",IF(H502&lt;&gt;"","Kapandı",IF('Vade Sapması'!$D$3&gt;G502,"Açık · vadesi geçti","Açık · vadesi gelmedi")))</f>
        <v/>
      </c>
      <c r="O502" s="30" t="str">
        <f aca="false">IF(F502="","",IF(AND(H502="",'Vade Sapması'!$D$3&gt;G502),'Vade Sapması'!$D$3-G502,0))</f>
        <v/>
      </c>
      <c r="P502" s="33" t="str">
        <f aca="false">IF(F502="","",F502*J502)</f>
        <v/>
      </c>
      <c r="Q502" s="33" t="str">
        <f aca="false">IF(F502="","",F502*L502)</f>
        <v/>
      </c>
      <c r="R502" s="33" t="str">
        <f aca="false">IF(F502="","",IF(H502="",F502,0))</f>
        <v/>
      </c>
      <c r="S502" s="32" t="str">
        <f aca="false">IF(F502="","",IF(N(O502)=0,"",IF(O502&lt;=30,"1-30",IF(O502&lt;=60,"31-60",IF(O502&lt;=90,"61-90","90+")))))</f>
        <v/>
      </c>
      <c r="T502" s="32" t="str">
        <f aca="false">IF(F502="","",IF(E502="","Diğer",E502))</f>
        <v/>
      </c>
      <c r="U502" s="32" t="str">
        <f aca="false">IF(OR(F502="",C502=""),"",IF(COUNTIF($C$2:C502,C502)=1,MAX($U$1:U501)+1,""))</f>
        <v/>
      </c>
    </row>
    <row r="503" customFormat="false" ht="15" hidden="false" customHeight="false" outlineLevel="0" collapsed="false">
      <c r="A503" s="34"/>
      <c r="B503" s="9"/>
      <c r="C503" s="34"/>
      <c r="D503" s="34"/>
      <c r="E503" s="34"/>
      <c r="F503" s="35"/>
      <c r="G503" s="9"/>
      <c r="H503" s="9"/>
      <c r="I503" s="34"/>
      <c r="J503" s="30" t="str">
        <f aca="false">IF(F503="","",G503-B503)</f>
        <v/>
      </c>
      <c r="K503" s="31" t="str">
        <f aca="false">IF(F503="","",IF(H503&lt;&gt;"",H503,MAX('Vade Sapması'!$D$3,G503)))</f>
        <v/>
      </c>
      <c r="L503" s="30" t="str">
        <f aca="false">IF(F503="","",K503-B503)</f>
        <v/>
      </c>
      <c r="M503" s="30" t="str">
        <f aca="false">IF(F503="","",L503-J503)</f>
        <v/>
      </c>
      <c r="N503" s="32" t="str">
        <f aca="false">IF(F503="","",IF(H503&lt;&gt;"","Kapandı",IF('Vade Sapması'!$D$3&gt;G503,"Açık · vadesi geçti","Açık · vadesi gelmedi")))</f>
        <v/>
      </c>
      <c r="O503" s="30" t="str">
        <f aca="false">IF(F503="","",IF(AND(H503="",'Vade Sapması'!$D$3&gt;G503),'Vade Sapması'!$D$3-G503,0))</f>
        <v/>
      </c>
      <c r="P503" s="33" t="str">
        <f aca="false">IF(F503="","",F503*J503)</f>
        <v/>
      </c>
      <c r="Q503" s="33" t="str">
        <f aca="false">IF(F503="","",F503*L503)</f>
        <v/>
      </c>
      <c r="R503" s="33" t="str">
        <f aca="false">IF(F503="","",IF(H503="",F503,0))</f>
        <v/>
      </c>
      <c r="S503" s="32" t="str">
        <f aca="false">IF(F503="","",IF(N(O503)=0,"",IF(O503&lt;=30,"1-30",IF(O503&lt;=60,"31-60",IF(O503&lt;=90,"61-90","90+")))))</f>
        <v/>
      </c>
      <c r="T503" s="32" t="str">
        <f aca="false">IF(F503="","",IF(E503="","Diğer",E503))</f>
        <v/>
      </c>
      <c r="U503" s="32" t="str">
        <f aca="false">IF(OR(F503="",C503=""),"",IF(COUNTIF($C$2:C503,C503)=1,MAX($U$1:U502)+1,""))</f>
        <v/>
      </c>
    </row>
    <row r="504" customFormat="false" ht="15" hidden="false" customHeight="false" outlineLevel="0" collapsed="false">
      <c r="A504" s="34"/>
      <c r="B504" s="9"/>
      <c r="C504" s="34"/>
      <c r="D504" s="34"/>
      <c r="E504" s="34"/>
      <c r="F504" s="35"/>
      <c r="G504" s="9"/>
      <c r="H504" s="9"/>
      <c r="I504" s="34"/>
      <c r="J504" s="30" t="str">
        <f aca="false">IF(F504="","",G504-B504)</f>
        <v/>
      </c>
      <c r="K504" s="31" t="str">
        <f aca="false">IF(F504="","",IF(H504&lt;&gt;"",H504,MAX('Vade Sapması'!$D$3,G504)))</f>
        <v/>
      </c>
      <c r="L504" s="30" t="str">
        <f aca="false">IF(F504="","",K504-B504)</f>
        <v/>
      </c>
      <c r="M504" s="30" t="str">
        <f aca="false">IF(F504="","",L504-J504)</f>
        <v/>
      </c>
      <c r="N504" s="32" t="str">
        <f aca="false">IF(F504="","",IF(H504&lt;&gt;"","Kapandı",IF('Vade Sapması'!$D$3&gt;G504,"Açık · vadesi geçti","Açık · vadesi gelmedi")))</f>
        <v/>
      </c>
      <c r="O504" s="30" t="str">
        <f aca="false">IF(F504="","",IF(AND(H504="",'Vade Sapması'!$D$3&gt;G504),'Vade Sapması'!$D$3-G504,0))</f>
        <v/>
      </c>
      <c r="P504" s="33" t="str">
        <f aca="false">IF(F504="","",F504*J504)</f>
        <v/>
      </c>
      <c r="Q504" s="33" t="str">
        <f aca="false">IF(F504="","",F504*L504)</f>
        <v/>
      </c>
      <c r="R504" s="33" t="str">
        <f aca="false">IF(F504="","",IF(H504="",F504,0))</f>
        <v/>
      </c>
      <c r="S504" s="32" t="str">
        <f aca="false">IF(F504="","",IF(N(O504)=0,"",IF(O504&lt;=30,"1-30",IF(O504&lt;=60,"31-60",IF(O504&lt;=90,"61-90","90+")))))</f>
        <v/>
      </c>
      <c r="T504" s="32" t="str">
        <f aca="false">IF(F504="","",IF(E504="","Diğer",E504))</f>
        <v/>
      </c>
      <c r="U504" s="32" t="str">
        <f aca="false">IF(OR(F504="",C504=""),"",IF(COUNTIF($C$2:C504,C504)=1,MAX($U$1:U503)+1,""))</f>
        <v/>
      </c>
    </row>
    <row r="505" customFormat="false" ht="15" hidden="false" customHeight="false" outlineLevel="0" collapsed="false">
      <c r="A505" s="34"/>
      <c r="B505" s="9"/>
      <c r="C505" s="34"/>
      <c r="D505" s="34"/>
      <c r="E505" s="34"/>
      <c r="F505" s="35"/>
      <c r="G505" s="9"/>
      <c r="H505" s="9"/>
      <c r="I505" s="34"/>
      <c r="J505" s="30" t="str">
        <f aca="false">IF(F505="","",G505-B505)</f>
        <v/>
      </c>
      <c r="K505" s="31" t="str">
        <f aca="false">IF(F505="","",IF(H505&lt;&gt;"",H505,MAX('Vade Sapması'!$D$3,G505)))</f>
        <v/>
      </c>
      <c r="L505" s="30" t="str">
        <f aca="false">IF(F505="","",K505-B505)</f>
        <v/>
      </c>
      <c r="M505" s="30" t="str">
        <f aca="false">IF(F505="","",L505-J505)</f>
        <v/>
      </c>
      <c r="N505" s="32" t="str">
        <f aca="false">IF(F505="","",IF(H505&lt;&gt;"","Kapandı",IF('Vade Sapması'!$D$3&gt;G505,"Açık · vadesi geçti","Açık · vadesi gelmedi")))</f>
        <v/>
      </c>
      <c r="O505" s="30" t="str">
        <f aca="false">IF(F505="","",IF(AND(H505="",'Vade Sapması'!$D$3&gt;G505),'Vade Sapması'!$D$3-G505,0))</f>
        <v/>
      </c>
      <c r="P505" s="33" t="str">
        <f aca="false">IF(F505="","",F505*J505)</f>
        <v/>
      </c>
      <c r="Q505" s="33" t="str">
        <f aca="false">IF(F505="","",F505*L505)</f>
        <v/>
      </c>
      <c r="R505" s="33" t="str">
        <f aca="false">IF(F505="","",IF(H505="",F505,0))</f>
        <v/>
      </c>
      <c r="S505" s="32" t="str">
        <f aca="false">IF(F505="","",IF(N(O505)=0,"",IF(O505&lt;=30,"1-30",IF(O505&lt;=60,"31-60",IF(O505&lt;=90,"61-90","90+")))))</f>
        <v/>
      </c>
      <c r="T505" s="32" t="str">
        <f aca="false">IF(F505="","",IF(E505="","Diğer",E505))</f>
        <v/>
      </c>
      <c r="U505" s="32" t="str">
        <f aca="false">IF(OR(F505="",C505=""),"",IF(COUNTIF($C$2:C505,C505)=1,MAX($U$1:U504)+1,""))</f>
        <v/>
      </c>
    </row>
    <row r="506" customFormat="false" ht="15" hidden="false" customHeight="false" outlineLevel="0" collapsed="false">
      <c r="A506" s="34"/>
      <c r="B506" s="9"/>
      <c r="C506" s="34"/>
      <c r="D506" s="34"/>
      <c r="E506" s="34"/>
      <c r="F506" s="35"/>
      <c r="G506" s="9"/>
      <c r="H506" s="9"/>
      <c r="I506" s="34"/>
      <c r="J506" s="30" t="str">
        <f aca="false">IF(F506="","",G506-B506)</f>
        <v/>
      </c>
      <c r="K506" s="31" t="str">
        <f aca="false">IF(F506="","",IF(H506&lt;&gt;"",H506,MAX('Vade Sapması'!$D$3,G506)))</f>
        <v/>
      </c>
      <c r="L506" s="30" t="str">
        <f aca="false">IF(F506="","",K506-B506)</f>
        <v/>
      </c>
      <c r="M506" s="30" t="str">
        <f aca="false">IF(F506="","",L506-J506)</f>
        <v/>
      </c>
      <c r="N506" s="32" t="str">
        <f aca="false">IF(F506="","",IF(H506&lt;&gt;"","Kapandı",IF('Vade Sapması'!$D$3&gt;G506,"Açık · vadesi geçti","Açık · vadesi gelmedi")))</f>
        <v/>
      </c>
      <c r="O506" s="30" t="str">
        <f aca="false">IF(F506="","",IF(AND(H506="",'Vade Sapması'!$D$3&gt;G506),'Vade Sapması'!$D$3-G506,0))</f>
        <v/>
      </c>
      <c r="P506" s="33" t="str">
        <f aca="false">IF(F506="","",F506*J506)</f>
        <v/>
      </c>
      <c r="Q506" s="33" t="str">
        <f aca="false">IF(F506="","",F506*L506)</f>
        <v/>
      </c>
      <c r="R506" s="33" t="str">
        <f aca="false">IF(F506="","",IF(H506="",F506,0))</f>
        <v/>
      </c>
      <c r="S506" s="32" t="str">
        <f aca="false">IF(F506="","",IF(N(O506)=0,"",IF(O506&lt;=30,"1-30",IF(O506&lt;=60,"31-60",IF(O506&lt;=90,"61-90","90+")))))</f>
        <v/>
      </c>
      <c r="T506" s="32" t="str">
        <f aca="false">IF(F506="","",IF(E506="","Diğer",E506))</f>
        <v/>
      </c>
      <c r="U506" s="32" t="str">
        <f aca="false">IF(OR(F506="",C506=""),"",IF(COUNTIF($C$2:C506,C506)=1,MAX($U$1:U505)+1,""))</f>
        <v/>
      </c>
    </row>
    <row r="507" customFormat="false" ht="15" hidden="false" customHeight="false" outlineLevel="0" collapsed="false">
      <c r="A507" s="34"/>
      <c r="B507" s="9"/>
      <c r="C507" s="34"/>
      <c r="D507" s="34"/>
      <c r="E507" s="34"/>
      <c r="F507" s="35"/>
      <c r="G507" s="9"/>
      <c r="H507" s="9"/>
      <c r="I507" s="34"/>
      <c r="J507" s="30" t="str">
        <f aca="false">IF(F507="","",G507-B507)</f>
        <v/>
      </c>
      <c r="K507" s="31" t="str">
        <f aca="false">IF(F507="","",IF(H507&lt;&gt;"",H507,MAX('Vade Sapması'!$D$3,G507)))</f>
        <v/>
      </c>
      <c r="L507" s="30" t="str">
        <f aca="false">IF(F507="","",K507-B507)</f>
        <v/>
      </c>
      <c r="M507" s="30" t="str">
        <f aca="false">IF(F507="","",L507-J507)</f>
        <v/>
      </c>
      <c r="N507" s="32" t="str">
        <f aca="false">IF(F507="","",IF(H507&lt;&gt;"","Kapandı",IF('Vade Sapması'!$D$3&gt;G507,"Açık · vadesi geçti","Açık · vadesi gelmedi")))</f>
        <v/>
      </c>
      <c r="O507" s="30" t="str">
        <f aca="false">IF(F507="","",IF(AND(H507="",'Vade Sapması'!$D$3&gt;G507),'Vade Sapması'!$D$3-G507,0))</f>
        <v/>
      </c>
      <c r="P507" s="33" t="str">
        <f aca="false">IF(F507="","",F507*J507)</f>
        <v/>
      </c>
      <c r="Q507" s="33" t="str">
        <f aca="false">IF(F507="","",F507*L507)</f>
        <v/>
      </c>
      <c r="R507" s="33" t="str">
        <f aca="false">IF(F507="","",IF(H507="",F507,0))</f>
        <v/>
      </c>
      <c r="S507" s="32" t="str">
        <f aca="false">IF(F507="","",IF(N(O507)=0,"",IF(O507&lt;=30,"1-30",IF(O507&lt;=60,"31-60",IF(O507&lt;=90,"61-90","90+")))))</f>
        <v/>
      </c>
      <c r="T507" s="32" t="str">
        <f aca="false">IF(F507="","",IF(E507="","Diğer",E507))</f>
        <v/>
      </c>
      <c r="U507" s="32" t="str">
        <f aca="false">IF(OR(F507="",C507=""),"",IF(COUNTIF($C$2:C507,C507)=1,MAX($U$1:U506)+1,""))</f>
        <v/>
      </c>
    </row>
    <row r="508" customFormat="false" ht="15" hidden="false" customHeight="false" outlineLevel="0" collapsed="false">
      <c r="A508" s="34"/>
      <c r="B508" s="9"/>
      <c r="C508" s="34"/>
      <c r="D508" s="34"/>
      <c r="E508" s="34"/>
      <c r="F508" s="35"/>
      <c r="G508" s="9"/>
      <c r="H508" s="9"/>
      <c r="I508" s="34"/>
      <c r="J508" s="30" t="str">
        <f aca="false">IF(F508="","",G508-B508)</f>
        <v/>
      </c>
      <c r="K508" s="31" t="str">
        <f aca="false">IF(F508="","",IF(H508&lt;&gt;"",H508,MAX('Vade Sapması'!$D$3,G508)))</f>
        <v/>
      </c>
      <c r="L508" s="30" t="str">
        <f aca="false">IF(F508="","",K508-B508)</f>
        <v/>
      </c>
      <c r="M508" s="30" t="str">
        <f aca="false">IF(F508="","",L508-J508)</f>
        <v/>
      </c>
      <c r="N508" s="32" t="str">
        <f aca="false">IF(F508="","",IF(H508&lt;&gt;"","Kapandı",IF('Vade Sapması'!$D$3&gt;G508,"Açık · vadesi geçti","Açık · vadesi gelmedi")))</f>
        <v/>
      </c>
      <c r="O508" s="30" t="str">
        <f aca="false">IF(F508="","",IF(AND(H508="",'Vade Sapması'!$D$3&gt;G508),'Vade Sapması'!$D$3-G508,0))</f>
        <v/>
      </c>
      <c r="P508" s="33" t="str">
        <f aca="false">IF(F508="","",F508*J508)</f>
        <v/>
      </c>
      <c r="Q508" s="33" t="str">
        <f aca="false">IF(F508="","",F508*L508)</f>
        <v/>
      </c>
      <c r="R508" s="33" t="str">
        <f aca="false">IF(F508="","",IF(H508="",F508,0))</f>
        <v/>
      </c>
      <c r="S508" s="32" t="str">
        <f aca="false">IF(F508="","",IF(N(O508)=0,"",IF(O508&lt;=30,"1-30",IF(O508&lt;=60,"31-60",IF(O508&lt;=90,"61-90","90+")))))</f>
        <v/>
      </c>
      <c r="T508" s="32" t="str">
        <f aca="false">IF(F508="","",IF(E508="","Diğer",E508))</f>
        <v/>
      </c>
      <c r="U508" s="32" t="str">
        <f aca="false">IF(OR(F508="",C508=""),"",IF(COUNTIF($C$2:C508,C508)=1,MAX($U$1:U507)+1,""))</f>
        <v/>
      </c>
    </row>
    <row r="509" customFormat="false" ht="15" hidden="false" customHeight="false" outlineLevel="0" collapsed="false">
      <c r="A509" s="34"/>
      <c r="B509" s="9"/>
      <c r="C509" s="34"/>
      <c r="D509" s="34"/>
      <c r="E509" s="34"/>
      <c r="F509" s="35"/>
      <c r="G509" s="9"/>
      <c r="H509" s="9"/>
      <c r="I509" s="34"/>
      <c r="J509" s="30" t="str">
        <f aca="false">IF(F509="","",G509-B509)</f>
        <v/>
      </c>
      <c r="K509" s="31" t="str">
        <f aca="false">IF(F509="","",IF(H509&lt;&gt;"",H509,MAX('Vade Sapması'!$D$3,G509)))</f>
        <v/>
      </c>
      <c r="L509" s="30" t="str">
        <f aca="false">IF(F509="","",K509-B509)</f>
        <v/>
      </c>
      <c r="M509" s="30" t="str">
        <f aca="false">IF(F509="","",L509-J509)</f>
        <v/>
      </c>
      <c r="N509" s="32" t="str">
        <f aca="false">IF(F509="","",IF(H509&lt;&gt;"","Kapandı",IF('Vade Sapması'!$D$3&gt;G509,"Açık · vadesi geçti","Açık · vadesi gelmedi")))</f>
        <v/>
      </c>
      <c r="O509" s="30" t="str">
        <f aca="false">IF(F509="","",IF(AND(H509="",'Vade Sapması'!$D$3&gt;G509),'Vade Sapması'!$D$3-G509,0))</f>
        <v/>
      </c>
      <c r="P509" s="33" t="str">
        <f aca="false">IF(F509="","",F509*J509)</f>
        <v/>
      </c>
      <c r="Q509" s="33" t="str">
        <f aca="false">IF(F509="","",F509*L509)</f>
        <v/>
      </c>
      <c r="R509" s="33" t="str">
        <f aca="false">IF(F509="","",IF(H509="",F509,0))</f>
        <v/>
      </c>
      <c r="S509" s="32" t="str">
        <f aca="false">IF(F509="","",IF(N(O509)=0,"",IF(O509&lt;=30,"1-30",IF(O509&lt;=60,"31-60",IF(O509&lt;=90,"61-90","90+")))))</f>
        <v/>
      </c>
      <c r="T509" s="32" t="str">
        <f aca="false">IF(F509="","",IF(E509="","Diğer",E509))</f>
        <v/>
      </c>
      <c r="U509" s="32" t="str">
        <f aca="false">IF(OR(F509="",C509=""),"",IF(COUNTIF($C$2:C509,C509)=1,MAX($U$1:U508)+1,""))</f>
        <v/>
      </c>
    </row>
    <row r="510" customFormat="false" ht="15" hidden="false" customHeight="false" outlineLevel="0" collapsed="false">
      <c r="A510" s="34"/>
      <c r="B510" s="9"/>
      <c r="C510" s="34"/>
      <c r="D510" s="34"/>
      <c r="E510" s="34"/>
      <c r="F510" s="35"/>
      <c r="G510" s="9"/>
      <c r="H510" s="9"/>
      <c r="I510" s="34"/>
      <c r="J510" s="30" t="str">
        <f aca="false">IF(F510="","",G510-B510)</f>
        <v/>
      </c>
      <c r="K510" s="31" t="str">
        <f aca="false">IF(F510="","",IF(H510&lt;&gt;"",H510,MAX('Vade Sapması'!$D$3,G510)))</f>
        <v/>
      </c>
      <c r="L510" s="30" t="str">
        <f aca="false">IF(F510="","",K510-B510)</f>
        <v/>
      </c>
      <c r="M510" s="30" t="str">
        <f aca="false">IF(F510="","",L510-J510)</f>
        <v/>
      </c>
      <c r="N510" s="32" t="str">
        <f aca="false">IF(F510="","",IF(H510&lt;&gt;"","Kapandı",IF('Vade Sapması'!$D$3&gt;G510,"Açık · vadesi geçti","Açık · vadesi gelmedi")))</f>
        <v/>
      </c>
      <c r="O510" s="30" t="str">
        <f aca="false">IF(F510="","",IF(AND(H510="",'Vade Sapması'!$D$3&gt;G510),'Vade Sapması'!$D$3-G510,0))</f>
        <v/>
      </c>
      <c r="P510" s="33" t="str">
        <f aca="false">IF(F510="","",F510*J510)</f>
        <v/>
      </c>
      <c r="Q510" s="33" t="str">
        <f aca="false">IF(F510="","",F510*L510)</f>
        <v/>
      </c>
      <c r="R510" s="33" t="str">
        <f aca="false">IF(F510="","",IF(H510="",F510,0))</f>
        <v/>
      </c>
      <c r="S510" s="32" t="str">
        <f aca="false">IF(F510="","",IF(N(O510)=0,"",IF(O510&lt;=30,"1-30",IF(O510&lt;=60,"31-60",IF(O510&lt;=90,"61-90","90+")))))</f>
        <v/>
      </c>
      <c r="T510" s="32" t="str">
        <f aca="false">IF(F510="","",IF(E510="","Diğer",E510))</f>
        <v/>
      </c>
      <c r="U510" s="32" t="str">
        <f aca="false">IF(OR(F510="",C510=""),"",IF(COUNTIF($C$2:C510,C510)=1,MAX($U$1:U509)+1,""))</f>
        <v/>
      </c>
    </row>
    <row r="511" customFormat="false" ht="15" hidden="false" customHeight="false" outlineLevel="0" collapsed="false">
      <c r="A511" s="34"/>
      <c r="B511" s="9"/>
      <c r="C511" s="34"/>
      <c r="D511" s="34"/>
      <c r="E511" s="34"/>
      <c r="F511" s="35"/>
      <c r="G511" s="9"/>
      <c r="H511" s="9"/>
      <c r="I511" s="34"/>
      <c r="J511" s="30" t="str">
        <f aca="false">IF(F511="","",G511-B511)</f>
        <v/>
      </c>
      <c r="K511" s="31" t="str">
        <f aca="false">IF(F511="","",IF(H511&lt;&gt;"",H511,MAX('Vade Sapması'!$D$3,G511)))</f>
        <v/>
      </c>
      <c r="L511" s="30" t="str">
        <f aca="false">IF(F511="","",K511-B511)</f>
        <v/>
      </c>
      <c r="M511" s="30" t="str">
        <f aca="false">IF(F511="","",L511-J511)</f>
        <v/>
      </c>
      <c r="N511" s="32" t="str">
        <f aca="false">IF(F511="","",IF(H511&lt;&gt;"","Kapandı",IF('Vade Sapması'!$D$3&gt;G511,"Açık · vadesi geçti","Açık · vadesi gelmedi")))</f>
        <v/>
      </c>
      <c r="O511" s="30" t="str">
        <f aca="false">IF(F511="","",IF(AND(H511="",'Vade Sapması'!$D$3&gt;G511),'Vade Sapması'!$D$3-G511,0))</f>
        <v/>
      </c>
      <c r="P511" s="33" t="str">
        <f aca="false">IF(F511="","",F511*J511)</f>
        <v/>
      </c>
      <c r="Q511" s="33" t="str">
        <f aca="false">IF(F511="","",F511*L511)</f>
        <v/>
      </c>
      <c r="R511" s="33" t="str">
        <f aca="false">IF(F511="","",IF(H511="",F511,0))</f>
        <v/>
      </c>
      <c r="S511" s="32" t="str">
        <f aca="false">IF(F511="","",IF(N(O511)=0,"",IF(O511&lt;=30,"1-30",IF(O511&lt;=60,"31-60",IF(O511&lt;=90,"61-90","90+")))))</f>
        <v/>
      </c>
      <c r="T511" s="32" t="str">
        <f aca="false">IF(F511="","",IF(E511="","Diğer",E511))</f>
        <v/>
      </c>
      <c r="U511" s="32" t="str">
        <f aca="false">IF(OR(F511="",C511=""),"",IF(COUNTIF($C$2:C511,C511)=1,MAX($U$1:U510)+1,""))</f>
        <v/>
      </c>
    </row>
    <row r="512" customFormat="false" ht="15" hidden="false" customHeight="false" outlineLevel="0" collapsed="false">
      <c r="A512" s="34"/>
      <c r="B512" s="9"/>
      <c r="C512" s="34"/>
      <c r="D512" s="34"/>
      <c r="E512" s="34"/>
      <c r="F512" s="35"/>
      <c r="G512" s="9"/>
      <c r="H512" s="9"/>
      <c r="I512" s="34"/>
      <c r="J512" s="30" t="str">
        <f aca="false">IF(F512="","",G512-B512)</f>
        <v/>
      </c>
      <c r="K512" s="31" t="str">
        <f aca="false">IF(F512="","",IF(H512&lt;&gt;"",H512,MAX('Vade Sapması'!$D$3,G512)))</f>
        <v/>
      </c>
      <c r="L512" s="30" t="str">
        <f aca="false">IF(F512="","",K512-B512)</f>
        <v/>
      </c>
      <c r="M512" s="30" t="str">
        <f aca="false">IF(F512="","",L512-J512)</f>
        <v/>
      </c>
      <c r="N512" s="32" t="str">
        <f aca="false">IF(F512="","",IF(H512&lt;&gt;"","Kapandı",IF('Vade Sapması'!$D$3&gt;G512,"Açık · vadesi geçti","Açık · vadesi gelmedi")))</f>
        <v/>
      </c>
      <c r="O512" s="30" t="str">
        <f aca="false">IF(F512="","",IF(AND(H512="",'Vade Sapması'!$D$3&gt;G512),'Vade Sapması'!$D$3-G512,0))</f>
        <v/>
      </c>
      <c r="P512" s="33" t="str">
        <f aca="false">IF(F512="","",F512*J512)</f>
        <v/>
      </c>
      <c r="Q512" s="33" t="str">
        <f aca="false">IF(F512="","",F512*L512)</f>
        <v/>
      </c>
      <c r="R512" s="33" t="str">
        <f aca="false">IF(F512="","",IF(H512="",F512,0))</f>
        <v/>
      </c>
      <c r="S512" s="32" t="str">
        <f aca="false">IF(F512="","",IF(N(O512)=0,"",IF(O512&lt;=30,"1-30",IF(O512&lt;=60,"31-60",IF(O512&lt;=90,"61-90","90+")))))</f>
        <v/>
      </c>
      <c r="T512" s="32" t="str">
        <f aca="false">IF(F512="","",IF(E512="","Diğer",E512))</f>
        <v/>
      </c>
      <c r="U512" s="32" t="str">
        <f aca="false">IF(OR(F512="",C512=""),"",IF(COUNTIF($C$2:C512,C512)=1,MAX($U$1:U511)+1,""))</f>
        <v/>
      </c>
    </row>
    <row r="513" customFormat="false" ht="15" hidden="false" customHeight="false" outlineLevel="0" collapsed="false">
      <c r="A513" s="34"/>
      <c r="B513" s="9"/>
      <c r="C513" s="34"/>
      <c r="D513" s="34"/>
      <c r="E513" s="34"/>
      <c r="F513" s="35"/>
      <c r="G513" s="9"/>
      <c r="H513" s="9"/>
      <c r="I513" s="34"/>
      <c r="J513" s="30" t="str">
        <f aca="false">IF(F513="","",G513-B513)</f>
        <v/>
      </c>
      <c r="K513" s="31" t="str">
        <f aca="false">IF(F513="","",IF(H513&lt;&gt;"",H513,MAX('Vade Sapması'!$D$3,G513)))</f>
        <v/>
      </c>
      <c r="L513" s="30" t="str">
        <f aca="false">IF(F513="","",K513-B513)</f>
        <v/>
      </c>
      <c r="M513" s="30" t="str">
        <f aca="false">IF(F513="","",L513-J513)</f>
        <v/>
      </c>
      <c r="N513" s="32" t="str">
        <f aca="false">IF(F513="","",IF(H513&lt;&gt;"","Kapandı",IF('Vade Sapması'!$D$3&gt;G513,"Açık · vadesi geçti","Açık · vadesi gelmedi")))</f>
        <v/>
      </c>
      <c r="O513" s="30" t="str">
        <f aca="false">IF(F513="","",IF(AND(H513="",'Vade Sapması'!$D$3&gt;G513),'Vade Sapması'!$D$3-G513,0))</f>
        <v/>
      </c>
      <c r="P513" s="33" t="str">
        <f aca="false">IF(F513="","",F513*J513)</f>
        <v/>
      </c>
      <c r="Q513" s="33" t="str">
        <f aca="false">IF(F513="","",F513*L513)</f>
        <v/>
      </c>
      <c r="R513" s="33" t="str">
        <f aca="false">IF(F513="","",IF(H513="",F513,0))</f>
        <v/>
      </c>
      <c r="S513" s="32" t="str">
        <f aca="false">IF(F513="","",IF(N(O513)=0,"",IF(O513&lt;=30,"1-30",IF(O513&lt;=60,"31-60",IF(O513&lt;=90,"61-90","90+")))))</f>
        <v/>
      </c>
      <c r="T513" s="32" t="str">
        <f aca="false">IF(F513="","",IF(E513="","Diğer",E513))</f>
        <v/>
      </c>
      <c r="U513" s="32" t="str">
        <f aca="false">IF(OR(F513="",C513=""),"",IF(COUNTIF($C$2:C513,C513)=1,MAX($U$1:U512)+1,""))</f>
        <v/>
      </c>
    </row>
    <row r="514" customFormat="false" ht="15" hidden="false" customHeight="false" outlineLevel="0" collapsed="false">
      <c r="A514" s="34"/>
      <c r="B514" s="9"/>
      <c r="C514" s="34"/>
      <c r="D514" s="34"/>
      <c r="E514" s="34"/>
      <c r="F514" s="35"/>
      <c r="G514" s="9"/>
      <c r="H514" s="9"/>
      <c r="I514" s="34"/>
      <c r="J514" s="30" t="str">
        <f aca="false">IF(F514="","",G514-B514)</f>
        <v/>
      </c>
      <c r="K514" s="31" t="str">
        <f aca="false">IF(F514="","",IF(H514&lt;&gt;"",H514,MAX('Vade Sapması'!$D$3,G514)))</f>
        <v/>
      </c>
      <c r="L514" s="30" t="str">
        <f aca="false">IF(F514="","",K514-B514)</f>
        <v/>
      </c>
      <c r="M514" s="30" t="str">
        <f aca="false">IF(F514="","",L514-J514)</f>
        <v/>
      </c>
      <c r="N514" s="32" t="str">
        <f aca="false">IF(F514="","",IF(H514&lt;&gt;"","Kapandı",IF('Vade Sapması'!$D$3&gt;G514,"Açık · vadesi geçti","Açık · vadesi gelmedi")))</f>
        <v/>
      </c>
      <c r="O514" s="30" t="str">
        <f aca="false">IF(F514="","",IF(AND(H514="",'Vade Sapması'!$D$3&gt;G514),'Vade Sapması'!$D$3-G514,0))</f>
        <v/>
      </c>
      <c r="P514" s="33" t="str">
        <f aca="false">IF(F514="","",F514*J514)</f>
        <v/>
      </c>
      <c r="Q514" s="33" t="str">
        <f aca="false">IF(F514="","",F514*L514)</f>
        <v/>
      </c>
      <c r="R514" s="33" t="str">
        <f aca="false">IF(F514="","",IF(H514="",F514,0))</f>
        <v/>
      </c>
      <c r="S514" s="32" t="str">
        <f aca="false">IF(F514="","",IF(N(O514)=0,"",IF(O514&lt;=30,"1-30",IF(O514&lt;=60,"31-60",IF(O514&lt;=90,"61-90","90+")))))</f>
        <v/>
      </c>
      <c r="T514" s="32" t="str">
        <f aca="false">IF(F514="","",IF(E514="","Diğer",E514))</f>
        <v/>
      </c>
      <c r="U514" s="32" t="str">
        <f aca="false">IF(OR(F514="",C514=""),"",IF(COUNTIF($C$2:C514,C514)=1,MAX($U$1:U513)+1,""))</f>
        <v/>
      </c>
    </row>
    <row r="515" customFormat="false" ht="15" hidden="false" customHeight="false" outlineLevel="0" collapsed="false">
      <c r="A515" s="34"/>
      <c r="B515" s="9"/>
      <c r="C515" s="34"/>
      <c r="D515" s="34"/>
      <c r="E515" s="34"/>
      <c r="F515" s="35"/>
      <c r="G515" s="9"/>
      <c r="H515" s="9"/>
      <c r="I515" s="34"/>
      <c r="J515" s="30" t="str">
        <f aca="false">IF(F515="","",G515-B515)</f>
        <v/>
      </c>
      <c r="K515" s="31" t="str">
        <f aca="false">IF(F515="","",IF(H515&lt;&gt;"",H515,MAX('Vade Sapması'!$D$3,G515)))</f>
        <v/>
      </c>
      <c r="L515" s="30" t="str">
        <f aca="false">IF(F515="","",K515-B515)</f>
        <v/>
      </c>
      <c r="M515" s="30" t="str">
        <f aca="false">IF(F515="","",L515-J515)</f>
        <v/>
      </c>
      <c r="N515" s="32" t="str">
        <f aca="false">IF(F515="","",IF(H515&lt;&gt;"","Kapandı",IF('Vade Sapması'!$D$3&gt;G515,"Açık · vadesi geçti","Açık · vadesi gelmedi")))</f>
        <v/>
      </c>
      <c r="O515" s="30" t="str">
        <f aca="false">IF(F515="","",IF(AND(H515="",'Vade Sapması'!$D$3&gt;G515),'Vade Sapması'!$D$3-G515,0))</f>
        <v/>
      </c>
      <c r="P515" s="33" t="str">
        <f aca="false">IF(F515="","",F515*J515)</f>
        <v/>
      </c>
      <c r="Q515" s="33" t="str">
        <f aca="false">IF(F515="","",F515*L515)</f>
        <v/>
      </c>
      <c r="R515" s="33" t="str">
        <f aca="false">IF(F515="","",IF(H515="",F515,0))</f>
        <v/>
      </c>
      <c r="S515" s="32" t="str">
        <f aca="false">IF(F515="","",IF(N(O515)=0,"",IF(O515&lt;=30,"1-30",IF(O515&lt;=60,"31-60",IF(O515&lt;=90,"61-90","90+")))))</f>
        <v/>
      </c>
      <c r="T515" s="32" t="str">
        <f aca="false">IF(F515="","",IF(E515="","Diğer",E515))</f>
        <v/>
      </c>
      <c r="U515" s="32" t="str">
        <f aca="false">IF(OR(F515="",C515=""),"",IF(COUNTIF($C$2:C515,C515)=1,MAX($U$1:U514)+1,""))</f>
        <v/>
      </c>
    </row>
    <row r="516" customFormat="false" ht="15" hidden="false" customHeight="false" outlineLevel="0" collapsed="false">
      <c r="A516" s="34"/>
      <c r="B516" s="9"/>
      <c r="C516" s="34"/>
      <c r="D516" s="34"/>
      <c r="E516" s="34"/>
      <c r="F516" s="35"/>
      <c r="G516" s="9"/>
      <c r="H516" s="9"/>
      <c r="I516" s="34"/>
      <c r="J516" s="30" t="str">
        <f aca="false">IF(F516="","",G516-B516)</f>
        <v/>
      </c>
      <c r="K516" s="31" t="str">
        <f aca="false">IF(F516="","",IF(H516&lt;&gt;"",H516,MAX('Vade Sapması'!$D$3,G516)))</f>
        <v/>
      </c>
      <c r="L516" s="30" t="str">
        <f aca="false">IF(F516="","",K516-B516)</f>
        <v/>
      </c>
      <c r="M516" s="30" t="str">
        <f aca="false">IF(F516="","",L516-J516)</f>
        <v/>
      </c>
      <c r="N516" s="32" t="str">
        <f aca="false">IF(F516="","",IF(H516&lt;&gt;"","Kapandı",IF('Vade Sapması'!$D$3&gt;G516,"Açık · vadesi geçti","Açık · vadesi gelmedi")))</f>
        <v/>
      </c>
      <c r="O516" s="30" t="str">
        <f aca="false">IF(F516="","",IF(AND(H516="",'Vade Sapması'!$D$3&gt;G516),'Vade Sapması'!$D$3-G516,0))</f>
        <v/>
      </c>
      <c r="P516" s="33" t="str">
        <f aca="false">IF(F516="","",F516*J516)</f>
        <v/>
      </c>
      <c r="Q516" s="33" t="str">
        <f aca="false">IF(F516="","",F516*L516)</f>
        <v/>
      </c>
      <c r="R516" s="33" t="str">
        <f aca="false">IF(F516="","",IF(H516="",F516,0))</f>
        <v/>
      </c>
      <c r="S516" s="32" t="str">
        <f aca="false">IF(F516="","",IF(N(O516)=0,"",IF(O516&lt;=30,"1-30",IF(O516&lt;=60,"31-60",IF(O516&lt;=90,"61-90","90+")))))</f>
        <v/>
      </c>
      <c r="T516" s="32" t="str">
        <f aca="false">IF(F516="","",IF(E516="","Diğer",E516))</f>
        <v/>
      </c>
      <c r="U516" s="32" t="str">
        <f aca="false">IF(OR(F516="",C516=""),"",IF(COUNTIF($C$2:C516,C516)=1,MAX($U$1:U515)+1,""))</f>
        <v/>
      </c>
    </row>
    <row r="517" customFormat="false" ht="15" hidden="false" customHeight="false" outlineLevel="0" collapsed="false">
      <c r="A517" s="34"/>
      <c r="B517" s="9"/>
      <c r="C517" s="34"/>
      <c r="D517" s="34"/>
      <c r="E517" s="34"/>
      <c r="F517" s="35"/>
      <c r="G517" s="9"/>
      <c r="H517" s="9"/>
      <c r="I517" s="34"/>
      <c r="J517" s="30" t="str">
        <f aca="false">IF(F517="","",G517-B517)</f>
        <v/>
      </c>
      <c r="K517" s="31" t="str">
        <f aca="false">IF(F517="","",IF(H517&lt;&gt;"",H517,MAX('Vade Sapması'!$D$3,G517)))</f>
        <v/>
      </c>
      <c r="L517" s="30" t="str">
        <f aca="false">IF(F517="","",K517-B517)</f>
        <v/>
      </c>
      <c r="M517" s="30" t="str">
        <f aca="false">IF(F517="","",L517-J517)</f>
        <v/>
      </c>
      <c r="N517" s="32" t="str">
        <f aca="false">IF(F517="","",IF(H517&lt;&gt;"","Kapandı",IF('Vade Sapması'!$D$3&gt;G517,"Açık · vadesi geçti","Açık · vadesi gelmedi")))</f>
        <v/>
      </c>
      <c r="O517" s="30" t="str">
        <f aca="false">IF(F517="","",IF(AND(H517="",'Vade Sapması'!$D$3&gt;G517),'Vade Sapması'!$D$3-G517,0))</f>
        <v/>
      </c>
      <c r="P517" s="33" t="str">
        <f aca="false">IF(F517="","",F517*J517)</f>
        <v/>
      </c>
      <c r="Q517" s="33" t="str">
        <f aca="false">IF(F517="","",F517*L517)</f>
        <v/>
      </c>
      <c r="R517" s="33" t="str">
        <f aca="false">IF(F517="","",IF(H517="",F517,0))</f>
        <v/>
      </c>
      <c r="S517" s="32" t="str">
        <f aca="false">IF(F517="","",IF(N(O517)=0,"",IF(O517&lt;=30,"1-30",IF(O517&lt;=60,"31-60",IF(O517&lt;=90,"61-90","90+")))))</f>
        <v/>
      </c>
      <c r="T517" s="32" t="str">
        <f aca="false">IF(F517="","",IF(E517="","Diğer",E517))</f>
        <v/>
      </c>
      <c r="U517" s="32" t="str">
        <f aca="false">IF(OR(F517="",C517=""),"",IF(COUNTIF($C$2:C517,C517)=1,MAX($U$1:U516)+1,""))</f>
        <v/>
      </c>
    </row>
    <row r="518" customFormat="false" ht="15" hidden="false" customHeight="false" outlineLevel="0" collapsed="false">
      <c r="A518" s="34"/>
      <c r="B518" s="9"/>
      <c r="C518" s="34"/>
      <c r="D518" s="34"/>
      <c r="E518" s="34"/>
      <c r="F518" s="35"/>
      <c r="G518" s="9"/>
      <c r="H518" s="9"/>
      <c r="I518" s="34"/>
      <c r="J518" s="30" t="str">
        <f aca="false">IF(F518="","",G518-B518)</f>
        <v/>
      </c>
      <c r="K518" s="31" t="str">
        <f aca="false">IF(F518="","",IF(H518&lt;&gt;"",H518,MAX('Vade Sapması'!$D$3,G518)))</f>
        <v/>
      </c>
      <c r="L518" s="30" t="str">
        <f aca="false">IF(F518="","",K518-B518)</f>
        <v/>
      </c>
      <c r="M518" s="30" t="str">
        <f aca="false">IF(F518="","",L518-J518)</f>
        <v/>
      </c>
      <c r="N518" s="32" t="str">
        <f aca="false">IF(F518="","",IF(H518&lt;&gt;"","Kapandı",IF('Vade Sapması'!$D$3&gt;G518,"Açık · vadesi geçti","Açık · vadesi gelmedi")))</f>
        <v/>
      </c>
      <c r="O518" s="30" t="str">
        <f aca="false">IF(F518="","",IF(AND(H518="",'Vade Sapması'!$D$3&gt;G518),'Vade Sapması'!$D$3-G518,0))</f>
        <v/>
      </c>
      <c r="P518" s="33" t="str">
        <f aca="false">IF(F518="","",F518*J518)</f>
        <v/>
      </c>
      <c r="Q518" s="33" t="str">
        <f aca="false">IF(F518="","",F518*L518)</f>
        <v/>
      </c>
      <c r="R518" s="33" t="str">
        <f aca="false">IF(F518="","",IF(H518="",F518,0))</f>
        <v/>
      </c>
      <c r="S518" s="32" t="str">
        <f aca="false">IF(F518="","",IF(N(O518)=0,"",IF(O518&lt;=30,"1-30",IF(O518&lt;=60,"31-60",IF(O518&lt;=90,"61-90","90+")))))</f>
        <v/>
      </c>
      <c r="T518" s="32" t="str">
        <f aca="false">IF(F518="","",IF(E518="","Diğer",E518))</f>
        <v/>
      </c>
      <c r="U518" s="32" t="str">
        <f aca="false">IF(OR(F518="",C518=""),"",IF(COUNTIF($C$2:C518,C518)=1,MAX($U$1:U517)+1,""))</f>
        <v/>
      </c>
    </row>
    <row r="519" customFormat="false" ht="15" hidden="false" customHeight="false" outlineLevel="0" collapsed="false">
      <c r="A519" s="34"/>
      <c r="B519" s="9"/>
      <c r="C519" s="34"/>
      <c r="D519" s="34"/>
      <c r="E519" s="34"/>
      <c r="F519" s="35"/>
      <c r="G519" s="9"/>
      <c r="H519" s="9"/>
      <c r="I519" s="34"/>
      <c r="J519" s="30" t="str">
        <f aca="false">IF(F519="","",G519-B519)</f>
        <v/>
      </c>
      <c r="K519" s="31" t="str">
        <f aca="false">IF(F519="","",IF(H519&lt;&gt;"",H519,MAX('Vade Sapması'!$D$3,G519)))</f>
        <v/>
      </c>
      <c r="L519" s="30" t="str">
        <f aca="false">IF(F519="","",K519-B519)</f>
        <v/>
      </c>
      <c r="M519" s="30" t="str">
        <f aca="false">IF(F519="","",L519-J519)</f>
        <v/>
      </c>
      <c r="N519" s="32" t="str">
        <f aca="false">IF(F519="","",IF(H519&lt;&gt;"","Kapandı",IF('Vade Sapması'!$D$3&gt;G519,"Açık · vadesi geçti","Açık · vadesi gelmedi")))</f>
        <v/>
      </c>
      <c r="O519" s="30" t="str">
        <f aca="false">IF(F519="","",IF(AND(H519="",'Vade Sapması'!$D$3&gt;G519),'Vade Sapması'!$D$3-G519,0))</f>
        <v/>
      </c>
      <c r="P519" s="33" t="str">
        <f aca="false">IF(F519="","",F519*J519)</f>
        <v/>
      </c>
      <c r="Q519" s="33" t="str">
        <f aca="false">IF(F519="","",F519*L519)</f>
        <v/>
      </c>
      <c r="R519" s="33" t="str">
        <f aca="false">IF(F519="","",IF(H519="",F519,0))</f>
        <v/>
      </c>
      <c r="S519" s="32" t="str">
        <f aca="false">IF(F519="","",IF(N(O519)=0,"",IF(O519&lt;=30,"1-30",IF(O519&lt;=60,"31-60",IF(O519&lt;=90,"61-90","90+")))))</f>
        <v/>
      </c>
      <c r="T519" s="32" t="str">
        <f aca="false">IF(F519="","",IF(E519="","Diğer",E519))</f>
        <v/>
      </c>
      <c r="U519" s="32" t="str">
        <f aca="false">IF(OR(F519="",C519=""),"",IF(COUNTIF($C$2:C519,C519)=1,MAX($U$1:U518)+1,""))</f>
        <v/>
      </c>
    </row>
    <row r="520" customFormat="false" ht="15" hidden="false" customHeight="false" outlineLevel="0" collapsed="false">
      <c r="A520" s="34"/>
      <c r="B520" s="9"/>
      <c r="C520" s="34"/>
      <c r="D520" s="34"/>
      <c r="E520" s="34"/>
      <c r="F520" s="35"/>
      <c r="G520" s="9"/>
      <c r="H520" s="9"/>
      <c r="I520" s="34"/>
      <c r="J520" s="30" t="str">
        <f aca="false">IF(F520="","",G520-B520)</f>
        <v/>
      </c>
      <c r="K520" s="31" t="str">
        <f aca="false">IF(F520="","",IF(H520&lt;&gt;"",H520,MAX('Vade Sapması'!$D$3,G520)))</f>
        <v/>
      </c>
      <c r="L520" s="30" t="str">
        <f aca="false">IF(F520="","",K520-B520)</f>
        <v/>
      </c>
      <c r="M520" s="30" t="str">
        <f aca="false">IF(F520="","",L520-J520)</f>
        <v/>
      </c>
      <c r="N520" s="32" t="str">
        <f aca="false">IF(F520="","",IF(H520&lt;&gt;"","Kapandı",IF('Vade Sapması'!$D$3&gt;G520,"Açık · vadesi geçti","Açık · vadesi gelmedi")))</f>
        <v/>
      </c>
      <c r="O520" s="30" t="str">
        <f aca="false">IF(F520="","",IF(AND(H520="",'Vade Sapması'!$D$3&gt;G520),'Vade Sapması'!$D$3-G520,0))</f>
        <v/>
      </c>
      <c r="P520" s="33" t="str">
        <f aca="false">IF(F520="","",F520*J520)</f>
        <v/>
      </c>
      <c r="Q520" s="33" t="str">
        <f aca="false">IF(F520="","",F520*L520)</f>
        <v/>
      </c>
      <c r="R520" s="33" t="str">
        <f aca="false">IF(F520="","",IF(H520="",F520,0))</f>
        <v/>
      </c>
      <c r="S520" s="32" t="str">
        <f aca="false">IF(F520="","",IF(N(O520)=0,"",IF(O520&lt;=30,"1-30",IF(O520&lt;=60,"31-60",IF(O520&lt;=90,"61-90","90+")))))</f>
        <v/>
      </c>
      <c r="T520" s="32" t="str">
        <f aca="false">IF(F520="","",IF(E520="","Diğer",E520))</f>
        <v/>
      </c>
      <c r="U520" s="32" t="str">
        <f aca="false">IF(OR(F520="",C520=""),"",IF(COUNTIF($C$2:C520,C520)=1,MAX($U$1:U519)+1,""))</f>
        <v/>
      </c>
    </row>
    <row r="521" customFormat="false" ht="15" hidden="false" customHeight="false" outlineLevel="0" collapsed="false">
      <c r="A521" s="34"/>
      <c r="B521" s="9"/>
      <c r="C521" s="34"/>
      <c r="D521" s="34"/>
      <c r="E521" s="34"/>
      <c r="F521" s="35"/>
      <c r="G521" s="9"/>
      <c r="H521" s="9"/>
      <c r="I521" s="34"/>
      <c r="J521" s="30" t="str">
        <f aca="false">IF(F521="","",G521-B521)</f>
        <v/>
      </c>
      <c r="K521" s="31" t="str">
        <f aca="false">IF(F521="","",IF(H521&lt;&gt;"",H521,MAX('Vade Sapması'!$D$3,G521)))</f>
        <v/>
      </c>
      <c r="L521" s="30" t="str">
        <f aca="false">IF(F521="","",K521-B521)</f>
        <v/>
      </c>
      <c r="M521" s="30" t="str">
        <f aca="false">IF(F521="","",L521-J521)</f>
        <v/>
      </c>
      <c r="N521" s="32" t="str">
        <f aca="false">IF(F521="","",IF(H521&lt;&gt;"","Kapandı",IF('Vade Sapması'!$D$3&gt;G521,"Açık · vadesi geçti","Açık · vadesi gelmedi")))</f>
        <v/>
      </c>
      <c r="O521" s="30" t="str">
        <f aca="false">IF(F521="","",IF(AND(H521="",'Vade Sapması'!$D$3&gt;G521),'Vade Sapması'!$D$3-G521,0))</f>
        <v/>
      </c>
      <c r="P521" s="33" t="str">
        <f aca="false">IF(F521="","",F521*J521)</f>
        <v/>
      </c>
      <c r="Q521" s="33" t="str">
        <f aca="false">IF(F521="","",F521*L521)</f>
        <v/>
      </c>
      <c r="R521" s="33" t="str">
        <f aca="false">IF(F521="","",IF(H521="",F521,0))</f>
        <v/>
      </c>
      <c r="S521" s="32" t="str">
        <f aca="false">IF(F521="","",IF(N(O521)=0,"",IF(O521&lt;=30,"1-30",IF(O521&lt;=60,"31-60",IF(O521&lt;=90,"61-90","90+")))))</f>
        <v/>
      </c>
      <c r="T521" s="32" t="str">
        <f aca="false">IF(F521="","",IF(E521="","Diğer",E521))</f>
        <v/>
      </c>
      <c r="U521" s="32" t="str">
        <f aca="false">IF(OR(F521="",C521=""),"",IF(COUNTIF($C$2:C521,C521)=1,MAX($U$1:U520)+1,""))</f>
        <v/>
      </c>
    </row>
    <row r="522" customFormat="false" ht="15" hidden="false" customHeight="false" outlineLevel="0" collapsed="false">
      <c r="A522" s="34"/>
      <c r="B522" s="9"/>
      <c r="C522" s="34"/>
      <c r="D522" s="34"/>
      <c r="E522" s="34"/>
      <c r="F522" s="35"/>
      <c r="G522" s="9"/>
      <c r="H522" s="9"/>
      <c r="I522" s="34"/>
      <c r="J522" s="30" t="str">
        <f aca="false">IF(F522="","",G522-B522)</f>
        <v/>
      </c>
      <c r="K522" s="31" t="str">
        <f aca="false">IF(F522="","",IF(H522&lt;&gt;"",H522,MAX('Vade Sapması'!$D$3,G522)))</f>
        <v/>
      </c>
      <c r="L522" s="30" t="str">
        <f aca="false">IF(F522="","",K522-B522)</f>
        <v/>
      </c>
      <c r="M522" s="30" t="str">
        <f aca="false">IF(F522="","",L522-J522)</f>
        <v/>
      </c>
      <c r="N522" s="32" t="str">
        <f aca="false">IF(F522="","",IF(H522&lt;&gt;"","Kapandı",IF('Vade Sapması'!$D$3&gt;G522,"Açık · vadesi geçti","Açık · vadesi gelmedi")))</f>
        <v/>
      </c>
      <c r="O522" s="30" t="str">
        <f aca="false">IF(F522="","",IF(AND(H522="",'Vade Sapması'!$D$3&gt;G522),'Vade Sapması'!$D$3-G522,0))</f>
        <v/>
      </c>
      <c r="P522" s="33" t="str">
        <f aca="false">IF(F522="","",F522*J522)</f>
        <v/>
      </c>
      <c r="Q522" s="33" t="str">
        <f aca="false">IF(F522="","",F522*L522)</f>
        <v/>
      </c>
      <c r="R522" s="33" t="str">
        <f aca="false">IF(F522="","",IF(H522="",F522,0))</f>
        <v/>
      </c>
      <c r="S522" s="32" t="str">
        <f aca="false">IF(F522="","",IF(N(O522)=0,"",IF(O522&lt;=30,"1-30",IF(O522&lt;=60,"31-60",IF(O522&lt;=90,"61-90","90+")))))</f>
        <v/>
      </c>
      <c r="T522" s="32" t="str">
        <f aca="false">IF(F522="","",IF(E522="","Diğer",E522))</f>
        <v/>
      </c>
      <c r="U522" s="32" t="str">
        <f aca="false">IF(OR(F522="",C522=""),"",IF(COUNTIF($C$2:C522,C522)=1,MAX($U$1:U521)+1,""))</f>
        <v/>
      </c>
    </row>
    <row r="523" customFormat="false" ht="15" hidden="false" customHeight="false" outlineLevel="0" collapsed="false">
      <c r="A523" s="34"/>
      <c r="B523" s="9"/>
      <c r="C523" s="34"/>
      <c r="D523" s="34"/>
      <c r="E523" s="34"/>
      <c r="F523" s="35"/>
      <c r="G523" s="9"/>
      <c r="H523" s="9"/>
      <c r="I523" s="34"/>
      <c r="J523" s="30" t="str">
        <f aca="false">IF(F523="","",G523-B523)</f>
        <v/>
      </c>
      <c r="K523" s="31" t="str">
        <f aca="false">IF(F523="","",IF(H523&lt;&gt;"",H523,MAX('Vade Sapması'!$D$3,G523)))</f>
        <v/>
      </c>
      <c r="L523" s="30" t="str">
        <f aca="false">IF(F523="","",K523-B523)</f>
        <v/>
      </c>
      <c r="M523" s="30" t="str">
        <f aca="false">IF(F523="","",L523-J523)</f>
        <v/>
      </c>
      <c r="N523" s="32" t="str">
        <f aca="false">IF(F523="","",IF(H523&lt;&gt;"","Kapandı",IF('Vade Sapması'!$D$3&gt;G523,"Açık · vadesi geçti","Açık · vadesi gelmedi")))</f>
        <v/>
      </c>
      <c r="O523" s="30" t="str">
        <f aca="false">IF(F523="","",IF(AND(H523="",'Vade Sapması'!$D$3&gt;G523),'Vade Sapması'!$D$3-G523,0))</f>
        <v/>
      </c>
      <c r="P523" s="33" t="str">
        <f aca="false">IF(F523="","",F523*J523)</f>
        <v/>
      </c>
      <c r="Q523" s="33" t="str">
        <f aca="false">IF(F523="","",F523*L523)</f>
        <v/>
      </c>
      <c r="R523" s="33" t="str">
        <f aca="false">IF(F523="","",IF(H523="",F523,0))</f>
        <v/>
      </c>
      <c r="S523" s="32" t="str">
        <f aca="false">IF(F523="","",IF(N(O523)=0,"",IF(O523&lt;=30,"1-30",IF(O523&lt;=60,"31-60",IF(O523&lt;=90,"61-90","90+")))))</f>
        <v/>
      </c>
      <c r="T523" s="32" t="str">
        <f aca="false">IF(F523="","",IF(E523="","Diğer",E523))</f>
        <v/>
      </c>
      <c r="U523" s="32" t="str">
        <f aca="false">IF(OR(F523="",C523=""),"",IF(COUNTIF($C$2:C523,C523)=1,MAX($U$1:U522)+1,""))</f>
        <v/>
      </c>
    </row>
    <row r="524" customFormat="false" ht="15" hidden="false" customHeight="false" outlineLevel="0" collapsed="false">
      <c r="A524" s="34"/>
      <c r="B524" s="9"/>
      <c r="C524" s="34"/>
      <c r="D524" s="34"/>
      <c r="E524" s="34"/>
      <c r="F524" s="35"/>
      <c r="G524" s="9"/>
      <c r="H524" s="9"/>
      <c r="I524" s="34"/>
      <c r="J524" s="30" t="str">
        <f aca="false">IF(F524="","",G524-B524)</f>
        <v/>
      </c>
      <c r="K524" s="31" t="str">
        <f aca="false">IF(F524="","",IF(H524&lt;&gt;"",H524,MAX('Vade Sapması'!$D$3,G524)))</f>
        <v/>
      </c>
      <c r="L524" s="30" t="str">
        <f aca="false">IF(F524="","",K524-B524)</f>
        <v/>
      </c>
      <c r="M524" s="30" t="str">
        <f aca="false">IF(F524="","",L524-J524)</f>
        <v/>
      </c>
      <c r="N524" s="32" t="str">
        <f aca="false">IF(F524="","",IF(H524&lt;&gt;"","Kapandı",IF('Vade Sapması'!$D$3&gt;G524,"Açık · vadesi geçti","Açık · vadesi gelmedi")))</f>
        <v/>
      </c>
      <c r="O524" s="30" t="str">
        <f aca="false">IF(F524="","",IF(AND(H524="",'Vade Sapması'!$D$3&gt;G524),'Vade Sapması'!$D$3-G524,0))</f>
        <v/>
      </c>
      <c r="P524" s="33" t="str">
        <f aca="false">IF(F524="","",F524*J524)</f>
        <v/>
      </c>
      <c r="Q524" s="33" t="str">
        <f aca="false">IF(F524="","",F524*L524)</f>
        <v/>
      </c>
      <c r="R524" s="33" t="str">
        <f aca="false">IF(F524="","",IF(H524="",F524,0))</f>
        <v/>
      </c>
      <c r="S524" s="32" t="str">
        <f aca="false">IF(F524="","",IF(N(O524)=0,"",IF(O524&lt;=30,"1-30",IF(O524&lt;=60,"31-60",IF(O524&lt;=90,"61-90","90+")))))</f>
        <v/>
      </c>
      <c r="T524" s="32" t="str">
        <f aca="false">IF(F524="","",IF(E524="","Diğer",E524))</f>
        <v/>
      </c>
      <c r="U524" s="32" t="str">
        <f aca="false">IF(OR(F524="",C524=""),"",IF(COUNTIF($C$2:C524,C524)=1,MAX($U$1:U523)+1,""))</f>
        <v/>
      </c>
    </row>
    <row r="525" customFormat="false" ht="15" hidden="false" customHeight="false" outlineLevel="0" collapsed="false">
      <c r="A525" s="34"/>
      <c r="B525" s="9"/>
      <c r="C525" s="34"/>
      <c r="D525" s="34"/>
      <c r="E525" s="34"/>
      <c r="F525" s="35"/>
      <c r="G525" s="9"/>
      <c r="H525" s="9"/>
      <c r="I525" s="34"/>
      <c r="J525" s="30" t="str">
        <f aca="false">IF(F525="","",G525-B525)</f>
        <v/>
      </c>
      <c r="K525" s="31" t="str">
        <f aca="false">IF(F525="","",IF(H525&lt;&gt;"",H525,MAX('Vade Sapması'!$D$3,G525)))</f>
        <v/>
      </c>
      <c r="L525" s="30" t="str">
        <f aca="false">IF(F525="","",K525-B525)</f>
        <v/>
      </c>
      <c r="M525" s="30" t="str">
        <f aca="false">IF(F525="","",L525-J525)</f>
        <v/>
      </c>
      <c r="N525" s="32" t="str">
        <f aca="false">IF(F525="","",IF(H525&lt;&gt;"","Kapandı",IF('Vade Sapması'!$D$3&gt;G525,"Açık · vadesi geçti","Açık · vadesi gelmedi")))</f>
        <v/>
      </c>
      <c r="O525" s="30" t="str">
        <f aca="false">IF(F525="","",IF(AND(H525="",'Vade Sapması'!$D$3&gt;G525),'Vade Sapması'!$D$3-G525,0))</f>
        <v/>
      </c>
      <c r="P525" s="33" t="str">
        <f aca="false">IF(F525="","",F525*J525)</f>
        <v/>
      </c>
      <c r="Q525" s="33" t="str">
        <f aca="false">IF(F525="","",F525*L525)</f>
        <v/>
      </c>
      <c r="R525" s="33" t="str">
        <f aca="false">IF(F525="","",IF(H525="",F525,0))</f>
        <v/>
      </c>
      <c r="S525" s="32" t="str">
        <f aca="false">IF(F525="","",IF(N(O525)=0,"",IF(O525&lt;=30,"1-30",IF(O525&lt;=60,"31-60",IF(O525&lt;=90,"61-90","90+")))))</f>
        <v/>
      </c>
      <c r="T525" s="32" t="str">
        <f aca="false">IF(F525="","",IF(E525="","Diğer",E525))</f>
        <v/>
      </c>
      <c r="U525" s="32" t="str">
        <f aca="false">IF(OR(F525="",C525=""),"",IF(COUNTIF($C$2:C525,C525)=1,MAX($U$1:U524)+1,""))</f>
        <v/>
      </c>
    </row>
    <row r="526" customFormat="false" ht="15" hidden="false" customHeight="false" outlineLevel="0" collapsed="false">
      <c r="A526" s="34"/>
      <c r="B526" s="9"/>
      <c r="C526" s="34"/>
      <c r="D526" s="34"/>
      <c r="E526" s="34"/>
      <c r="F526" s="35"/>
      <c r="G526" s="9"/>
      <c r="H526" s="9"/>
      <c r="I526" s="34"/>
      <c r="J526" s="30" t="str">
        <f aca="false">IF(F526="","",G526-B526)</f>
        <v/>
      </c>
      <c r="K526" s="31" t="str">
        <f aca="false">IF(F526="","",IF(H526&lt;&gt;"",H526,MAX('Vade Sapması'!$D$3,G526)))</f>
        <v/>
      </c>
      <c r="L526" s="30" t="str">
        <f aca="false">IF(F526="","",K526-B526)</f>
        <v/>
      </c>
      <c r="M526" s="30" t="str">
        <f aca="false">IF(F526="","",L526-J526)</f>
        <v/>
      </c>
      <c r="N526" s="32" t="str">
        <f aca="false">IF(F526="","",IF(H526&lt;&gt;"","Kapandı",IF('Vade Sapması'!$D$3&gt;G526,"Açık · vadesi geçti","Açık · vadesi gelmedi")))</f>
        <v/>
      </c>
      <c r="O526" s="30" t="str">
        <f aca="false">IF(F526="","",IF(AND(H526="",'Vade Sapması'!$D$3&gt;G526),'Vade Sapması'!$D$3-G526,0))</f>
        <v/>
      </c>
      <c r="P526" s="33" t="str">
        <f aca="false">IF(F526="","",F526*J526)</f>
        <v/>
      </c>
      <c r="Q526" s="33" t="str">
        <f aca="false">IF(F526="","",F526*L526)</f>
        <v/>
      </c>
      <c r="R526" s="33" t="str">
        <f aca="false">IF(F526="","",IF(H526="",F526,0))</f>
        <v/>
      </c>
      <c r="S526" s="32" t="str">
        <f aca="false">IF(F526="","",IF(N(O526)=0,"",IF(O526&lt;=30,"1-30",IF(O526&lt;=60,"31-60",IF(O526&lt;=90,"61-90","90+")))))</f>
        <v/>
      </c>
      <c r="T526" s="32" t="str">
        <f aca="false">IF(F526="","",IF(E526="","Diğer",E526))</f>
        <v/>
      </c>
      <c r="U526" s="32" t="str">
        <f aca="false">IF(OR(F526="",C526=""),"",IF(COUNTIF($C$2:C526,C526)=1,MAX($U$1:U525)+1,""))</f>
        <v/>
      </c>
    </row>
    <row r="527" customFormat="false" ht="15" hidden="false" customHeight="false" outlineLevel="0" collapsed="false">
      <c r="A527" s="34"/>
      <c r="B527" s="9"/>
      <c r="C527" s="34"/>
      <c r="D527" s="34"/>
      <c r="E527" s="34"/>
      <c r="F527" s="35"/>
      <c r="G527" s="9"/>
      <c r="H527" s="9"/>
      <c r="I527" s="34"/>
      <c r="J527" s="30" t="str">
        <f aca="false">IF(F527="","",G527-B527)</f>
        <v/>
      </c>
      <c r="K527" s="31" t="str">
        <f aca="false">IF(F527="","",IF(H527&lt;&gt;"",H527,MAX('Vade Sapması'!$D$3,G527)))</f>
        <v/>
      </c>
      <c r="L527" s="30" t="str">
        <f aca="false">IF(F527="","",K527-B527)</f>
        <v/>
      </c>
      <c r="M527" s="30" t="str">
        <f aca="false">IF(F527="","",L527-J527)</f>
        <v/>
      </c>
      <c r="N527" s="32" t="str">
        <f aca="false">IF(F527="","",IF(H527&lt;&gt;"","Kapandı",IF('Vade Sapması'!$D$3&gt;G527,"Açık · vadesi geçti","Açık · vadesi gelmedi")))</f>
        <v/>
      </c>
      <c r="O527" s="30" t="str">
        <f aca="false">IF(F527="","",IF(AND(H527="",'Vade Sapması'!$D$3&gt;G527),'Vade Sapması'!$D$3-G527,0))</f>
        <v/>
      </c>
      <c r="P527" s="33" t="str">
        <f aca="false">IF(F527="","",F527*J527)</f>
        <v/>
      </c>
      <c r="Q527" s="33" t="str">
        <f aca="false">IF(F527="","",F527*L527)</f>
        <v/>
      </c>
      <c r="R527" s="33" t="str">
        <f aca="false">IF(F527="","",IF(H527="",F527,0))</f>
        <v/>
      </c>
      <c r="S527" s="32" t="str">
        <f aca="false">IF(F527="","",IF(N(O527)=0,"",IF(O527&lt;=30,"1-30",IF(O527&lt;=60,"31-60",IF(O527&lt;=90,"61-90","90+")))))</f>
        <v/>
      </c>
      <c r="T527" s="32" t="str">
        <f aca="false">IF(F527="","",IF(E527="","Diğer",E527))</f>
        <v/>
      </c>
      <c r="U527" s="32" t="str">
        <f aca="false">IF(OR(F527="",C527=""),"",IF(COUNTIF($C$2:C527,C527)=1,MAX($U$1:U526)+1,""))</f>
        <v/>
      </c>
    </row>
    <row r="528" customFormat="false" ht="15" hidden="false" customHeight="false" outlineLevel="0" collapsed="false">
      <c r="A528" s="34"/>
      <c r="B528" s="9"/>
      <c r="C528" s="34"/>
      <c r="D528" s="34"/>
      <c r="E528" s="34"/>
      <c r="F528" s="35"/>
      <c r="G528" s="9"/>
      <c r="H528" s="9"/>
      <c r="I528" s="34"/>
      <c r="J528" s="30" t="str">
        <f aca="false">IF(F528="","",G528-B528)</f>
        <v/>
      </c>
      <c r="K528" s="31" t="str">
        <f aca="false">IF(F528="","",IF(H528&lt;&gt;"",H528,MAX('Vade Sapması'!$D$3,G528)))</f>
        <v/>
      </c>
      <c r="L528" s="30" t="str">
        <f aca="false">IF(F528="","",K528-B528)</f>
        <v/>
      </c>
      <c r="M528" s="30" t="str">
        <f aca="false">IF(F528="","",L528-J528)</f>
        <v/>
      </c>
      <c r="N528" s="32" t="str">
        <f aca="false">IF(F528="","",IF(H528&lt;&gt;"","Kapandı",IF('Vade Sapması'!$D$3&gt;G528,"Açık · vadesi geçti","Açık · vadesi gelmedi")))</f>
        <v/>
      </c>
      <c r="O528" s="30" t="str">
        <f aca="false">IF(F528="","",IF(AND(H528="",'Vade Sapması'!$D$3&gt;G528),'Vade Sapması'!$D$3-G528,0))</f>
        <v/>
      </c>
      <c r="P528" s="33" t="str">
        <f aca="false">IF(F528="","",F528*J528)</f>
        <v/>
      </c>
      <c r="Q528" s="33" t="str">
        <f aca="false">IF(F528="","",F528*L528)</f>
        <v/>
      </c>
      <c r="R528" s="33" t="str">
        <f aca="false">IF(F528="","",IF(H528="",F528,0))</f>
        <v/>
      </c>
      <c r="S528" s="32" t="str">
        <f aca="false">IF(F528="","",IF(N(O528)=0,"",IF(O528&lt;=30,"1-30",IF(O528&lt;=60,"31-60",IF(O528&lt;=90,"61-90","90+")))))</f>
        <v/>
      </c>
      <c r="T528" s="32" t="str">
        <f aca="false">IF(F528="","",IF(E528="","Diğer",E528))</f>
        <v/>
      </c>
      <c r="U528" s="32" t="str">
        <f aca="false">IF(OR(F528="",C528=""),"",IF(COUNTIF($C$2:C528,C528)=1,MAX($U$1:U527)+1,""))</f>
        <v/>
      </c>
    </row>
    <row r="529" customFormat="false" ht="15" hidden="false" customHeight="false" outlineLevel="0" collapsed="false">
      <c r="A529" s="34"/>
      <c r="B529" s="9"/>
      <c r="C529" s="34"/>
      <c r="D529" s="34"/>
      <c r="E529" s="34"/>
      <c r="F529" s="35"/>
      <c r="G529" s="9"/>
      <c r="H529" s="9"/>
      <c r="I529" s="34"/>
      <c r="J529" s="30" t="str">
        <f aca="false">IF(F529="","",G529-B529)</f>
        <v/>
      </c>
      <c r="K529" s="31" t="str">
        <f aca="false">IF(F529="","",IF(H529&lt;&gt;"",H529,MAX('Vade Sapması'!$D$3,G529)))</f>
        <v/>
      </c>
      <c r="L529" s="30" t="str">
        <f aca="false">IF(F529="","",K529-B529)</f>
        <v/>
      </c>
      <c r="M529" s="30" t="str">
        <f aca="false">IF(F529="","",L529-J529)</f>
        <v/>
      </c>
      <c r="N529" s="32" t="str">
        <f aca="false">IF(F529="","",IF(H529&lt;&gt;"","Kapandı",IF('Vade Sapması'!$D$3&gt;G529,"Açık · vadesi geçti","Açık · vadesi gelmedi")))</f>
        <v/>
      </c>
      <c r="O529" s="30" t="str">
        <f aca="false">IF(F529="","",IF(AND(H529="",'Vade Sapması'!$D$3&gt;G529),'Vade Sapması'!$D$3-G529,0))</f>
        <v/>
      </c>
      <c r="P529" s="33" t="str">
        <f aca="false">IF(F529="","",F529*J529)</f>
        <v/>
      </c>
      <c r="Q529" s="33" t="str">
        <f aca="false">IF(F529="","",F529*L529)</f>
        <v/>
      </c>
      <c r="R529" s="33" t="str">
        <f aca="false">IF(F529="","",IF(H529="",F529,0))</f>
        <v/>
      </c>
      <c r="S529" s="32" t="str">
        <f aca="false">IF(F529="","",IF(N(O529)=0,"",IF(O529&lt;=30,"1-30",IF(O529&lt;=60,"31-60",IF(O529&lt;=90,"61-90","90+")))))</f>
        <v/>
      </c>
      <c r="T529" s="32" t="str">
        <f aca="false">IF(F529="","",IF(E529="","Diğer",E529))</f>
        <v/>
      </c>
      <c r="U529" s="32" t="str">
        <f aca="false">IF(OR(F529="",C529=""),"",IF(COUNTIF($C$2:C529,C529)=1,MAX($U$1:U528)+1,""))</f>
        <v/>
      </c>
    </row>
    <row r="530" customFormat="false" ht="15" hidden="false" customHeight="false" outlineLevel="0" collapsed="false">
      <c r="A530" s="34"/>
      <c r="B530" s="9"/>
      <c r="C530" s="34"/>
      <c r="D530" s="34"/>
      <c r="E530" s="34"/>
      <c r="F530" s="35"/>
      <c r="G530" s="9"/>
      <c r="H530" s="9"/>
      <c r="I530" s="34"/>
      <c r="J530" s="30" t="str">
        <f aca="false">IF(F530="","",G530-B530)</f>
        <v/>
      </c>
      <c r="K530" s="31" t="str">
        <f aca="false">IF(F530="","",IF(H530&lt;&gt;"",H530,MAX('Vade Sapması'!$D$3,G530)))</f>
        <v/>
      </c>
      <c r="L530" s="30" t="str">
        <f aca="false">IF(F530="","",K530-B530)</f>
        <v/>
      </c>
      <c r="M530" s="30" t="str">
        <f aca="false">IF(F530="","",L530-J530)</f>
        <v/>
      </c>
      <c r="N530" s="32" t="str">
        <f aca="false">IF(F530="","",IF(H530&lt;&gt;"","Kapandı",IF('Vade Sapması'!$D$3&gt;G530,"Açık · vadesi geçti","Açık · vadesi gelmedi")))</f>
        <v/>
      </c>
      <c r="O530" s="30" t="str">
        <f aca="false">IF(F530="","",IF(AND(H530="",'Vade Sapması'!$D$3&gt;G530),'Vade Sapması'!$D$3-G530,0))</f>
        <v/>
      </c>
      <c r="P530" s="33" t="str">
        <f aca="false">IF(F530="","",F530*J530)</f>
        <v/>
      </c>
      <c r="Q530" s="33" t="str">
        <f aca="false">IF(F530="","",F530*L530)</f>
        <v/>
      </c>
      <c r="R530" s="33" t="str">
        <f aca="false">IF(F530="","",IF(H530="",F530,0))</f>
        <v/>
      </c>
      <c r="S530" s="32" t="str">
        <f aca="false">IF(F530="","",IF(N(O530)=0,"",IF(O530&lt;=30,"1-30",IF(O530&lt;=60,"31-60",IF(O530&lt;=90,"61-90","90+")))))</f>
        <v/>
      </c>
      <c r="T530" s="32" t="str">
        <f aca="false">IF(F530="","",IF(E530="","Diğer",E530))</f>
        <v/>
      </c>
      <c r="U530" s="32" t="str">
        <f aca="false">IF(OR(F530="",C530=""),"",IF(COUNTIF($C$2:C530,C530)=1,MAX($U$1:U529)+1,""))</f>
        <v/>
      </c>
    </row>
    <row r="531" customFormat="false" ht="15" hidden="false" customHeight="false" outlineLevel="0" collapsed="false">
      <c r="A531" s="34"/>
      <c r="B531" s="9"/>
      <c r="C531" s="34"/>
      <c r="D531" s="34"/>
      <c r="E531" s="34"/>
      <c r="F531" s="35"/>
      <c r="G531" s="9"/>
      <c r="H531" s="9"/>
      <c r="I531" s="34"/>
      <c r="J531" s="30" t="str">
        <f aca="false">IF(F531="","",G531-B531)</f>
        <v/>
      </c>
      <c r="K531" s="31" t="str">
        <f aca="false">IF(F531="","",IF(H531&lt;&gt;"",H531,MAX('Vade Sapması'!$D$3,G531)))</f>
        <v/>
      </c>
      <c r="L531" s="30" t="str">
        <f aca="false">IF(F531="","",K531-B531)</f>
        <v/>
      </c>
      <c r="M531" s="30" t="str">
        <f aca="false">IF(F531="","",L531-J531)</f>
        <v/>
      </c>
      <c r="N531" s="32" t="str">
        <f aca="false">IF(F531="","",IF(H531&lt;&gt;"","Kapandı",IF('Vade Sapması'!$D$3&gt;G531,"Açık · vadesi geçti","Açık · vadesi gelmedi")))</f>
        <v/>
      </c>
      <c r="O531" s="30" t="str">
        <f aca="false">IF(F531="","",IF(AND(H531="",'Vade Sapması'!$D$3&gt;G531),'Vade Sapması'!$D$3-G531,0))</f>
        <v/>
      </c>
      <c r="P531" s="33" t="str">
        <f aca="false">IF(F531="","",F531*J531)</f>
        <v/>
      </c>
      <c r="Q531" s="33" t="str">
        <f aca="false">IF(F531="","",F531*L531)</f>
        <v/>
      </c>
      <c r="R531" s="33" t="str">
        <f aca="false">IF(F531="","",IF(H531="",F531,0))</f>
        <v/>
      </c>
      <c r="S531" s="32" t="str">
        <f aca="false">IF(F531="","",IF(N(O531)=0,"",IF(O531&lt;=30,"1-30",IF(O531&lt;=60,"31-60",IF(O531&lt;=90,"61-90","90+")))))</f>
        <v/>
      </c>
      <c r="T531" s="32" t="str">
        <f aca="false">IF(F531="","",IF(E531="","Diğer",E531))</f>
        <v/>
      </c>
      <c r="U531" s="32" t="str">
        <f aca="false">IF(OR(F531="",C531=""),"",IF(COUNTIF($C$2:C531,C531)=1,MAX($U$1:U530)+1,""))</f>
        <v/>
      </c>
    </row>
    <row r="532" customFormat="false" ht="15" hidden="false" customHeight="false" outlineLevel="0" collapsed="false">
      <c r="A532" s="34"/>
      <c r="B532" s="9"/>
      <c r="C532" s="34"/>
      <c r="D532" s="34"/>
      <c r="E532" s="34"/>
      <c r="F532" s="35"/>
      <c r="G532" s="9"/>
      <c r="H532" s="9"/>
      <c r="I532" s="34"/>
      <c r="J532" s="30" t="str">
        <f aca="false">IF(F532="","",G532-B532)</f>
        <v/>
      </c>
      <c r="K532" s="31" t="str">
        <f aca="false">IF(F532="","",IF(H532&lt;&gt;"",H532,MAX('Vade Sapması'!$D$3,G532)))</f>
        <v/>
      </c>
      <c r="L532" s="30" t="str">
        <f aca="false">IF(F532="","",K532-B532)</f>
        <v/>
      </c>
      <c r="M532" s="30" t="str">
        <f aca="false">IF(F532="","",L532-J532)</f>
        <v/>
      </c>
      <c r="N532" s="32" t="str">
        <f aca="false">IF(F532="","",IF(H532&lt;&gt;"","Kapandı",IF('Vade Sapması'!$D$3&gt;G532,"Açık · vadesi geçti","Açık · vadesi gelmedi")))</f>
        <v/>
      </c>
      <c r="O532" s="30" t="str">
        <f aca="false">IF(F532="","",IF(AND(H532="",'Vade Sapması'!$D$3&gt;G532),'Vade Sapması'!$D$3-G532,0))</f>
        <v/>
      </c>
      <c r="P532" s="33" t="str">
        <f aca="false">IF(F532="","",F532*J532)</f>
        <v/>
      </c>
      <c r="Q532" s="33" t="str">
        <f aca="false">IF(F532="","",F532*L532)</f>
        <v/>
      </c>
      <c r="R532" s="33" t="str">
        <f aca="false">IF(F532="","",IF(H532="",F532,0))</f>
        <v/>
      </c>
      <c r="S532" s="32" t="str">
        <f aca="false">IF(F532="","",IF(N(O532)=0,"",IF(O532&lt;=30,"1-30",IF(O532&lt;=60,"31-60",IF(O532&lt;=90,"61-90","90+")))))</f>
        <v/>
      </c>
      <c r="T532" s="32" t="str">
        <f aca="false">IF(F532="","",IF(E532="","Diğer",E532))</f>
        <v/>
      </c>
      <c r="U532" s="32" t="str">
        <f aca="false">IF(OR(F532="",C532=""),"",IF(COUNTIF($C$2:C532,C532)=1,MAX($U$1:U531)+1,""))</f>
        <v/>
      </c>
    </row>
    <row r="533" customFormat="false" ht="15" hidden="false" customHeight="false" outlineLevel="0" collapsed="false">
      <c r="A533" s="34"/>
      <c r="B533" s="9"/>
      <c r="C533" s="34"/>
      <c r="D533" s="34"/>
      <c r="E533" s="34"/>
      <c r="F533" s="35"/>
      <c r="G533" s="9"/>
      <c r="H533" s="9"/>
      <c r="I533" s="34"/>
      <c r="J533" s="30" t="str">
        <f aca="false">IF(F533="","",G533-B533)</f>
        <v/>
      </c>
      <c r="K533" s="31" t="str">
        <f aca="false">IF(F533="","",IF(H533&lt;&gt;"",H533,MAX('Vade Sapması'!$D$3,G533)))</f>
        <v/>
      </c>
      <c r="L533" s="30" t="str">
        <f aca="false">IF(F533="","",K533-B533)</f>
        <v/>
      </c>
      <c r="M533" s="30" t="str">
        <f aca="false">IF(F533="","",L533-J533)</f>
        <v/>
      </c>
      <c r="N533" s="32" t="str">
        <f aca="false">IF(F533="","",IF(H533&lt;&gt;"","Kapandı",IF('Vade Sapması'!$D$3&gt;G533,"Açık · vadesi geçti","Açık · vadesi gelmedi")))</f>
        <v/>
      </c>
      <c r="O533" s="30" t="str">
        <f aca="false">IF(F533="","",IF(AND(H533="",'Vade Sapması'!$D$3&gt;G533),'Vade Sapması'!$D$3-G533,0))</f>
        <v/>
      </c>
      <c r="P533" s="33" t="str">
        <f aca="false">IF(F533="","",F533*J533)</f>
        <v/>
      </c>
      <c r="Q533" s="33" t="str">
        <f aca="false">IF(F533="","",F533*L533)</f>
        <v/>
      </c>
      <c r="R533" s="33" t="str">
        <f aca="false">IF(F533="","",IF(H533="",F533,0))</f>
        <v/>
      </c>
      <c r="S533" s="32" t="str">
        <f aca="false">IF(F533="","",IF(N(O533)=0,"",IF(O533&lt;=30,"1-30",IF(O533&lt;=60,"31-60",IF(O533&lt;=90,"61-90","90+")))))</f>
        <v/>
      </c>
      <c r="T533" s="32" t="str">
        <f aca="false">IF(F533="","",IF(E533="","Diğer",E533))</f>
        <v/>
      </c>
      <c r="U533" s="32" t="str">
        <f aca="false">IF(OR(F533="",C533=""),"",IF(COUNTIF($C$2:C533,C533)=1,MAX($U$1:U532)+1,""))</f>
        <v/>
      </c>
    </row>
    <row r="534" customFormat="false" ht="15" hidden="false" customHeight="false" outlineLevel="0" collapsed="false">
      <c r="A534" s="34"/>
      <c r="B534" s="9"/>
      <c r="C534" s="34"/>
      <c r="D534" s="34"/>
      <c r="E534" s="34"/>
      <c r="F534" s="35"/>
      <c r="G534" s="9"/>
      <c r="H534" s="9"/>
      <c r="I534" s="34"/>
      <c r="J534" s="30" t="str">
        <f aca="false">IF(F534="","",G534-B534)</f>
        <v/>
      </c>
      <c r="K534" s="31" t="str">
        <f aca="false">IF(F534="","",IF(H534&lt;&gt;"",H534,MAX('Vade Sapması'!$D$3,G534)))</f>
        <v/>
      </c>
      <c r="L534" s="30" t="str">
        <f aca="false">IF(F534="","",K534-B534)</f>
        <v/>
      </c>
      <c r="M534" s="30" t="str">
        <f aca="false">IF(F534="","",L534-J534)</f>
        <v/>
      </c>
      <c r="N534" s="32" t="str">
        <f aca="false">IF(F534="","",IF(H534&lt;&gt;"","Kapandı",IF('Vade Sapması'!$D$3&gt;G534,"Açık · vadesi geçti","Açık · vadesi gelmedi")))</f>
        <v/>
      </c>
      <c r="O534" s="30" t="str">
        <f aca="false">IF(F534="","",IF(AND(H534="",'Vade Sapması'!$D$3&gt;G534),'Vade Sapması'!$D$3-G534,0))</f>
        <v/>
      </c>
      <c r="P534" s="33" t="str">
        <f aca="false">IF(F534="","",F534*J534)</f>
        <v/>
      </c>
      <c r="Q534" s="33" t="str">
        <f aca="false">IF(F534="","",F534*L534)</f>
        <v/>
      </c>
      <c r="R534" s="33" t="str">
        <f aca="false">IF(F534="","",IF(H534="",F534,0))</f>
        <v/>
      </c>
      <c r="S534" s="32" t="str">
        <f aca="false">IF(F534="","",IF(N(O534)=0,"",IF(O534&lt;=30,"1-30",IF(O534&lt;=60,"31-60",IF(O534&lt;=90,"61-90","90+")))))</f>
        <v/>
      </c>
      <c r="T534" s="32" t="str">
        <f aca="false">IF(F534="","",IF(E534="","Diğer",E534))</f>
        <v/>
      </c>
      <c r="U534" s="32" t="str">
        <f aca="false">IF(OR(F534="",C534=""),"",IF(COUNTIF($C$2:C534,C534)=1,MAX($U$1:U533)+1,""))</f>
        <v/>
      </c>
    </row>
    <row r="535" customFormat="false" ht="15" hidden="false" customHeight="false" outlineLevel="0" collapsed="false">
      <c r="A535" s="34"/>
      <c r="B535" s="9"/>
      <c r="C535" s="34"/>
      <c r="D535" s="34"/>
      <c r="E535" s="34"/>
      <c r="F535" s="35"/>
      <c r="G535" s="9"/>
      <c r="H535" s="9"/>
      <c r="I535" s="34"/>
      <c r="J535" s="30" t="str">
        <f aca="false">IF(F535="","",G535-B535)</f>
        <v/>
      </c>
      <c r="K535" s="31" t="str">
        <f aca="false">IF(F535="","",IF(H535&lt;&gt;"",H535,MAX('Vade Sapması'!$D$3,G535)))</f>
        <v/>
      </c>
      <c r="L535" s="30" t="str">
        <f aca="false">IF(F535="","",K535-B535)</f>
        <v/>
      </c>
      <c r="M535" s="30" t="str">
        <f aca="false">IF(F535="","",L535-J535)</f>
        <v/>
      </c>
      <c r="N535" s="32" t="str">
        <f aca="false">IF(F535="","",IF(H535&lt;&gt;"","Kapandı",IF('Vade Sapması'!$D$3&gt;G535,"Açık · vadesi geçti","Açık · vadesi gelmedi")))</f>
        <v/>
      </c>
      <c r="O535" s="30" t="str">
        <f aca="false">IF(F535="","",IF(AND(H535="",'Vade Sapması'!$D$3&gt;G535),'Vade Sapması'!$D$3-G535,0))</f>
        <v/>
      </c>
      <c r="P535" s="33" t="str">
        <f aca="false">IF(F535="","",F535*J535)</f>
        <v/>
      </c>
      <c r="Q535" s="33" t="str">
        <f aca="false">IF(F535="","",F535*L535)</f>
        <v/>
      </c>
      <c r="R535" s="33" t="str">
        <f aca="false">IF(F535="","",IF(H535="",F535,0))</f>
        <v/>
      </c>
      <c r="S535" s="32" t="str">
        <f aca="false">IF(F535="","",IF(N(O535)=0,"",IF(O535&lt;=30,"1-30",IF(O535&lt;=60,"31-60",IF(O535&lt;=90,"61-90","90+")))))</f>
        <v/>
      </c>
      <c r="T535" s="32" t="str">
        <f aca="false">IF(F535="","",IF(E535="","Diğer",E535))</f>
        <v/>
      </c>
      <c r="U535" s="32" t="str">
        <f aca="false">IF(OR(F535="",C535=""),"",IF(COUNTIF($C$2:C535,C535)=1,MAX($U$1:U534)+1,""))</f>
        <v/>
      </c>
    </row>
    <row r="536" customFormat="false" ht="15" hidden="false" customHeight="false" outlineLevel="0" collapsed="false">
      <c r="A536" s="34"/>
      <c r="B536" s="9"/>
      <c r="C536" s="34"/>
      <c r="D536" s="34"/>
      <c r="E536" s="34"/>
      <c r="F536" s="35"/>
      <c r="G536" s="9"/>
      <c r="H536" s="9"/>
      <c r="I536" s="34"/>
      <c r="J536" s="30" t="str">
        <f aca="false">IF(F536="","",G536-B536)</f>
        <v/>
      </c>
      <c r="K536" s="31" t="str">
        <f aca="false">IF(F536="","",IF(H536&lt;&gt;"",H536,MAX('Vade Sapması'!$D$3,G536)))</f>
        <v/>
      </c>
      <c r="L536" s="30" t="str">
        <f aca="false">IF(F536="","",K536-B536)</f>
        <v/>
      </c>
      <c r="M536" s="30" t="str">
        <f aca="false">IF(F536="","",L536-J536)</f>
        <v/>
      </c>
      <c r="N536" s="32" t="str">
        <f aca="false">IF(F536="","",IF(H536&lt;&gt;"","Kapandı",IF('Vade Sapması'!$D$3&gt;G536,"Açık · vadesi geçti","Açık · vadesi gelmedi")))</f>
        <v/>
      </c>
      <c r="O536" s="30" t="str">
        <f aca="false">IF(F536="","",IF(AND(H536="",'Vade Sapması'!$D$3&gt;G536),'Vade Sapması'!$D$3-G536,0))</f>
        <v/>
      </c>
      <c r="P536" s="33" t="str">
        <f aca="false">IF(F536="","",F536*J536)</f>
        <v/>
      </c>
      <c r="Q536" s="33" t="str">
        <f aca="false">IF(F536="","",F536*L536)</f>
        <v/>
      </c>
      <c r="R536" s="33" t="str">
        <f aca="false">IF(F536="","",IF(H536="",F536,0))</f>
        <v/>
      </c>
      <c r="S536" s="32" t="str">
        <f aca="false">IF(F536="","",IF(N(O536)=0,"",IF(O536&lt;=30,"1-30",IF(O536&lt;=60,"31-60",IF(O536&lt;=90,"61-90","90+")))))</f>
        <v/>
      </c>
      <c r="T536" s="32" t="str">
        <f aca="false">IF(F536="","",IF(E536="","Diğer",E536))</f>
        <v/>
      </c>
      <c r="U536" s="32" t="str">
        <f aca="false">IF(OR(F536="",C536=""),"",IF(COUNTIF($C$2:C536,C536)=1,MAX($U$1:U535)+1,""))</f>
        <v/>
      </c>
    </row>
    <row r="537" customFormat="false" ht="15" hidden="false" customHeight="false" outlineLevel="0" collapsed="false">
      <c r="A537" s="34"/>
      <c r="B537" s="9"/>
      <c r="C537" s="34"/>
      <c r="D537" s="34"/>
      <c r="E537" s="34"/>
      <c r="F537" s="35"/>
      <c r="G537" s="9"/>
      <c r="H537" s="9"/>
      <c r="I537" s="34"/>
      <c r="J537" s="30" t="str">
        <f aca="false">IF(F537="","",G537-B537)</f>
        <v/>
      </c>
      <c r="K537" s="31" t="str">
        <f aca="false">IF(F537="","",IF(H537&lt;&gt;"",H537,MAX('Vade Sapması'!$D$3,G537)))</f>
        <v/>
      </c>
      <c r="L537" s="30" t="str">
        <f aca="false">IF(F537="","",K537-B537)</f>
        <v/>
      </c>
      <c r="M537" s="30" t="str">
        <f aca="false">IF(F537="","",L537-J537)</f>
        <v/>
      </c>
      <c r="N537" s="32" t="str">
        <f aca="false">IF(F537="","",IF(H537&lt;&gt;"","Kapandı",IF('Vade Sapması'!$D$3&gt;G537,"Açık · vadesi geçti","Açık · vadesi gelmedi")))</f>
        <v/>
      </c>
      <c r="O537" s="30" t="str">
        <f aca="false">IF(F537="","",IF(AND(H537="",'Vade Sapması'!$D$3&gt;G537),'Vade Sapması'!$D$3-G537,0))</f>
        <v/>
      </c>
      <c r="P537" s="33" t="str">
        <f aca="false">IF(F537="","",F537*J537)</f>
        <v/>
      </c>
      <c r="Q537" s="33" t="str">
        <f aca="false">IF(F537="","",F537*L537)</f>
        <v/>
      </c>
      <c r="R537" s="33" t="str">
        <f aca="false">IF(F537="","",IF(H537="",F537,0))</f>
        <v/>
      </c>
      <c r="S537" s="32" t="str">
        <f aca="false">IF(F537="","",IF(N(O537)=0,"",IF(O537&lt;=30,"1-30",IF(O537&lt;=60,"31-60",IF(O537&lt;=90,"61-90","90+")))))</f>
        <v/>
      </c>
      <c r="T537" s="32" t="str">
        <f aca="false">IF(F537="","",IF(E537="","Diğer",E537))</f>
        <v/>
      </c>
      <c r="U537" s="32" t="str">
        <f aca="false">IF(OR(F537="",C537=""),"",IF(COUNTIF($C$2:C537,C537)=1,MAX($U$1:U536)+1,""))</f>
        <v/>
      </c>
    </row>
    <row r="538" customFormat="false" ht="15" hidden="false" customHeight="false" outlineLevel="0" collapsed="false">
      <c r="A538" s="34"/>
      <c r="B538" s="9"/>
      <c r="C538" s="34"/>
      <c r="D538" s="34"/>
      <c r="E538" s="34"/>
      <c r="F538" s="35"/>
      <c r="G538" s="9"/>
      <c r="H538" s="9"/>
      <c r="I538" s="34"/>
      <c r="J538" s="30" t="str">
        <f aca="false">IF(F538="","",G538-B538)</f>
        <v/>
      </c>
      <c r="K538" s="31" t="str">
        <f aca="false">IF(F538="","",IF(H538&lt;&gt;"",H538,MAX('Vade Sapması'!$D$3,G538)))</f>
        <v/>
      </c>
      <c r="L538" s="30" t="str">
        <f aca="false">IF(F538="","",K538-B538)</f>
        <v/>
      </c>
      <c r="M538" s="30" t="str">
        <f aca="false">IF(F538="","",L538-J538)</f>
        <v/>
      </c>
      <c r="N538" s="32" t="str">
        <f aca="false">IF(F538="","",IF(H538&lt;&gt;"","Kapandı",IF('Vade Sapması'!$D$3&gt;G538,"Açık · vadesi geçti","Açık · vadesi gelmedi")))</f>
        <v/>
      </c>
      <c r="O538" s="30" t="str">
        <f aca="false">IF(F538="","",IF(AND(H538="",'Vade Sapması'!$D$3&gt;G538),'Vade Sapması'!$D$3-G538,0))</f>
        <v/>
      </c>
      <c r="P538" s="33" t="str">
        <f aca="false">IF(F538="","",F538*J538)</f>
        <v/>
      </c>
      <c r="Q538" s="33" t="str">
        <f aca="false">IF(F538="","",F538*L538)</f>
        <v/>
      </c>
      <c r="R538" s="33" t="str">
        <f aca="false">IF(F538="","",IF(H538="",F538,0))</f>
        <v/>
      </c>
      <c r="S538" s="32" t="str">
        <f aca="false">IF(F538="","",IF(N(O538)=0,"",IF(O538&lt;=30,"1-30",IF(O538&lt;=60,"31-60",IF(O538&lt;=90,"61-90","90+")))))</f>
        <v/>
      </c>
      <c r="T538" s="32" t="str">
        <f aca="false">IF(F538="","",IF(E538="","Diğer",E538))</f>
        <v/>
      </c>
      <c r="U538" s="32" t="str">
        <f aca="false">IF(OR(F538="",C538=""),"",IF(COUNTIF($C$2:C538,C538)=1,MAX($U$1:U537)+1,""))</f>
        <v/>
      </c>
    </row>
    <row r="539" customFormat="false" ht="15" hidden="false" customHeight="false" outlineLevel="0" collapsed="false">
      <c r="A539" s="34"/>
      <c r="B539" s="9"/>
      <c r="C539" s="34"/>
      <c r="D539" s="34"/>
      <c r="E539" s="34"/>
      <c r="F539" s="35"/>
      <c r="G539" s="9"/>
      <c r="H539" s="9"/>
      <c r="I539" s="34"/>
      <c r="J539" s="30" t="str">
        <f aca="false">IF(F539="","",G539-B539)</f>
        <v/>
      </c>
      <c r="K539" s="31" t="str">
        <f aca="false">IF(F539="","",IF(H539&lt;&gt;"",H539,MAX('Vade Sapması'!$D$3,G539)))</f>
        <v/>
      </c>
      <c r="L539" s="30" t="str">
        <f aca="false">IF(F539="","",K539-B539)</f>
        <v/>
      </c>
      <c r="M539" s="30" t="str">
        <f aca="false">IF(F539="","",L539-J539)</f>
        <v/>
      </c>
      <c r="N539" s="32" t="str">
        <f aca="false">IF(F539="","",IF(H539&lt;&gt;"","Kapandı",IF('Vade Sapması'!$D$3&gt;G539,"Açık · vadesi geçti","Açık · vadesi gelmedi")))</f>
        <v/>
      </c>
      <c r="O539" s="30" t="str">
        <f aca="false">IF(F539="","",IF(AND(H539="",'Vade Sapması'!$D$3&gt;G539),'Vade Sapması'!$D$3-G539,0))</f>
        <v/>
      </c>
      <c r="P539" s="33" t="str">
        <f aca="false">IF(F539="","",F539*J539)</f>
        <v/>
      </c>
      <c r="Q539" s="33" t="str">
        <f aca="false">IF(F539="","",F539*L539)</f>
        <v/>
      </c>
      <c r="R539" s="33" t="str">
        <f aca="false">IF(F539="","",IF(H539="",F539,0))</f>
        <v/>
      </c>
      <c r="S539" s="32" t="str">
        <f aca="false">IF(F539="","",IF(N(O539)=0,"",IF(O539&lt;=30,"1-30",IF(O539&lt;=60,"31-60",IF(O539&lt;=90,"61-90","90+")))))</f>
        <v/>
      </c>
      <c r="T539" s="32" t="str">
        <f aca="false">IF(F539="","",IF(E539="","Diğer",E539))</f>
        <v/>
      </c>
      <c r="U539" s="32" t="str">
        <f aca="false">IF(OR(F539="",C539=""),"",IF(COUNTIF($C$2:C539,C539)=1,MAX($U$1:U538)+1,""))</f>
        <v/>
      </c>
    </row>
    <row r="540" customFormat="false" ht="15" hidden="false" customHeight="false" outlineLevel="0" collapsed="false">
      <c r="A540" s="34"/>
      <c r="B540" s="9"/>
      <c r="C540" s="34"/>
      <c r="D540" s="34"/>
      <c r="E540" s="34"/>
      <c r="F540" s="35"/>
      <c r="G540" s="9"/>
      <c r="H540" s="9"/>
      <c r="I540" s="34"/>
      <c r="J540" s="30" t="str">
        <f aca="false">IF(F540="","",G540-B540)</f>
        <v/>
      </c>
      <c r="K540" s="31" t="str">
        <f aca="false">IF(F540="","",IF(H540&lt;&gt;"",H540,MAX('Vade Sapması'!$D$3,G540)))</f>
        <v/>
      </c>
      <c r="L540" s="30" t="str">
        <f aca="false">IF(F540="","",K540-B540)</f>
        <v/>
      </c>
      <c r="M540" s="30" t="str">
        <f aca="false">IF(F540="","",L540-J540)</f>
        <v/>
      </c>
      <c r="N540" s="32" t="str">
        <f aca="false">IF(F540="","",IF(H540&lt;&gt;"","Kapandı",IF('Vade Sapması'!$D$3&gt;G540,"Açık · vadesi geçti","Açık · vadesi gelmedi")))</f>
        <v/>
      </c>
      <c r="O540" s="30" t="str">
        <f aca="false">IF(F540="","",IF(AND(H540="",'Vade Sapması'!$D$3&gt;G540),'Vade Sapması'!$D$3-G540,0))</f>
        <v/>
      </c>
      <c r="P540" s="33" t="str">
        <f aca="false">IF(F540="","",F540*J540)</f>
        <v/>
      </c>
      <c r="Q540" s="33" t="str">
        <f aca="false">IF(F540="","",F540*L540)</f>
        <v/>
      </c>
      <c r="R540" s="33" t="str">
        <f aca="false">IF(F540="","",IF(H540="",F540,0))</f>
        <v/>
      </c>
      <c r="S540" s="32" t="str">
        <f aca="false">IF(F540="","",IF(N(O540)=0,"",IF(O540&lt;=30,"1-30",IF(O540&lt;=60,"31-60",IF(O540&lt;=90,"61-90","90+")))))</f>
        <v/>
      </c>
      <c r="T540" s="32" t="str">
        <f aca="false">IF(F540="","",IF(E540="","Diğer",E540))</f>
        <v/>
      </c>
      <c r="U540" s="32" t="str">
        <f aca="false">IF(OR(F540="",C540=""),"",IF(COUNTIF($C$2:C540,C540)=1,MAX($U$1:U539)+1,""))</f>
        <v/>
      </c>
    </row>
    <row r="541" customFormat="false" ht="15" hidden="false" customHeight="false" outlineLevel="0" collapsed="false">
      <c r="A541" s="34"/>
      <c r="B541" s="9"/>
      <c r="C541" s="34"/>
      <c r="D541" s="34"/>
      <c r="E541" s="34"/>
      <c r="F541" s="35"/>
      <c r="G541" s="9"/>
      <c r="H541" s="9"/>
      <c r="I541" s="34"/>
      <c r="J541" s="30" t="str">
        <f aca="false">IF(F541="","",G541-B541)</f>
        <v/>
      </c>
      <c r="K541" s="31" t="str">
        <f aca="false">IF(F541="","",IF(H541&lt;&gt;"",H541,MAX('Vade Sapması'!$D$3,G541)))</f>
        <v/>
      </c>
      <c r="L541" s="30" t="str">
        <f aca="false">IF(F541="","",K541-B541)</f>
        <v/>
      </c>
      <c r="M541" s="30" t="str">
        <f aca="false">IF(F541="","",L541-J541)</f>
        <v/>
      </c>
      <c r="N541" s="32" t="str">
        <f aca="false">IF(F541="","",IF(H541&lt;&gt;"","Kapandı",IF('Vade Sapması'!$D$3&gt;G541,"Açık · vadesi geçti","Açık · vadesi gelmedi")))</f>
        <v/>
      </c>
      <c r="O541" s="30" t="str">
        <f aca="false">IF(F541="","",IF(AND(H541="",'Vade Sapması'!$D$3&gt;G541),'Vade Sapması'!$D$3-G541,0))</f>
        <v/>
      </c>
      <c r="P541" s="33" t="str">
        <f aca="false">IF(F541="","",F541*J541)</f>
        <v/>
      </c>
      <c r="Q541" s="33" t="str">
        <f aca="false">IF(F541="","",F541*L541)</f>
        <v/>
      </c>
      <c r="R541" s="33" t="str">
        <f aca="false">IF(F541="","",IF(H541="",F541,0))</f>
        <v/>
      </c>
      <c r="S541" s="32" t="str">
        <f aca="false">IF(F541="","",IF(N(O541)=0,"",IF(O541&lt;=30,"1-30",IF(O541&lt;=60,"31-60",IF(O541&lt;=90,"61-90","90+")))))</f>
        <v/>
      </c>
      <c r="T541" s="32" t="str">
        <f aca="false">IF(F541="","",IF(E541="","Diğer",E541))</f>
        <v/>
      </c>
      <c r="U541" s="32" t="str">
        <f aca="false">IF(OR(F541="",C541=""),"",IF(COUNTIF($C$2:C541,C541)=1,MAX($U$1:U540)+1,""))</f>
        <v/>
      </c>
    </row>
    <row r="542" customFormat="false" ht="15" hidden="false" customHeight="false" outlineLevel="0" collapsed="false">
      <c r="A542" s="34"/>
      <c r="B542" s="9"/>
      <c r="C542" s="34"/>
      <c r="D542" s="34"/>
      <c r="E542" s="34"/>
      <c r="F542" s="35"/>
      <c r="G542" s="9"/>
      <c r="H542" s="9"/>
      <c r="I542" s="34"/>
      <c r="J542" s="30" t="str">
        <f aca="false">IF(F542="","",G542-B542)</f>
        <v/>
      </c>
      <c r="K542" s="31" t="str">
        <f aca="false">IF(F542="","",IF(H542&lt;&gt;"",H542,MAX('Vade Sapması'!$D$3,G542)))</f>
        <v/>
      </c>
      <c r="L542" s="30" t="str">
        <f aca="false">IF(F542="","",K542-B542)</f>
        <v/>
      </c>
      <c r="M542" s="30" t="str">
        <f aca="false">IF(F542="","",L542-J542)</f>
        <v/>
      </c>
      <c r="N542" s="32" t="str">
        <f aca="false">IF(F542="","",IF(H542&lt;&gt;"","Kapandı",IF('Vade Sapması'!$D$3&gt;G542,"Açık · vadesi geçti","Açık · vadesi gelmedi")))</f>
        <v/>
      </c>
      <c r="O542" s="30" t="str">
        <f aca="false">IF(F542="","",IF(AND(H542="",'Vade Sapması'!$D$3&gt;G542),'Vade Sapması'!$D$3-G542,0))</f>
        <v/>
      </c>
      <c r="P542" s="33" t="str">
        <f aca="false">IF(F542="","",F542*J542)</f>
        <v/>
      </c>
      <c r="Q542" s="33" t="str">
        <f aca="false">IF(F542="","",F542*L542)</f>
        <v/>
      </c>
      <c r="R542" s="33" t="str">
        <f aca="false">IF(F542="","",IF(H542="",F542,0))</f>
        <v/>
      </c>
      <c r="S542" s="32" t="str">
        <f aca="false">IF(F542="","",IF(N(O542)=0,"",IF(O542&lt;=30,"1-30",IF(O542&lt;=60,"31-60",IF(O542&lt;=90,"61-90","90+")))))</f>
        <v/>
      </c>
      <c r="T542" s="32" t="str">
        <f aca="false">IF(F542="","",IF(E542="","Diğer",E542))</f>
        <v/>
      </c>
      <c r="U542" s="32" t="str">
        <f aca="false">IF(OR(F542="",C542=""),"",IF(COUNTIF($C$2:C542,C542)=1,MAX($U$1:U541)+1,""))</f>
        <v/>
      </c>
    </row>
    <row r="543" customFormat="false" ht="15" hidden="false" customHeight="false" outlineLevel="0" collapsed="false">
      <c r="A543" s="34"/>
      <c r="B543" s="9"/>
      <c r="C543" s="34"/>
      <c r="D543" s="34"/>
      <c r="E543" s="34"/>
      <c r="F543" s="35"/>
      <c r="G543" s="9"/>
      <c r="H543" s="9"/>
      <c r="I543" s="34"/>
      <c r="J543" s="30" t="str">
        <f aca="false">IF(F543="","",G543-B543)</f>
        <v/>
      </c>
      <c r="K543" s="31" t="str">
        <f aca="false">IF(F543="","",IF(H543&lt;&gt;"",H543,MAX('Vade Sapması'!$D$3,G543)))</f>
        <v/>
      </c>
      <c r="L543" s="30" t="str">
        <f aca="false">IF(F543="","",K543-B543)</f>
        <v/>
      </c>
      <c r="M543" s="30" t="str">
        <f aca="false">IF(F543="","",L543-J543)</f>
        <v/>
      </c>
      <c r="N543" s="32" t="str">
        <f aca="false">IF(F543="","",IF(H543&lt;&gt;"","Kapandı",IF('Vade Sapması'!$D$3&gt;G543,"Açık · vadesi geçti","Açık · vadesi gelmedi")))</f>
        <v/>
      </c>
      <c r="O543" s="30" t="str">
        <f aca="false">IF(F543="","",IF(AND(H543="",'Vade Sapması'!$D$3&gt;G543),'Vade Sapması'!$D$3-G543,0))</f>
        <v/>
      </c>
      <c r="P543" s="33" t="str">
        <f aca="false">IF(F543="","",F543*J543)</f>
        <v/>
      </c>
      <c r="Q543" s="33" t="str">
        <f aca="false">IF(F543="","",F543*L543)</f>
        <v/>
      </c>
      <c r="R543" s="33" t="str">
        <f aca="false">IF(F543="","",IF(H543="",F543,0))</f>
        <v/>
      </c>
      <c r="S543" s="32" t="str">
        <f aca="false">IF(F543="","",IF(N(O543)=0,"",IF(O543&lt;=30,"1-30",IF(O543&lt;=60,"31-60",IF(O543&lt;=90,"61-90","90+")))))</f>
        <v/>
      </c>
      <c r="T543" s="32" t="str">
        <f aca="false">IF(F543="","",IF(E543="","Diğer",E543))</f>
        <v/>
      </c>
      <c r="U543" s="32" t="str">
        <f aca="false">IF(OR(F543="",C543=""),"",IF(COUNTIF($C$2:C543,C543)=1,MAX($U$1:U542)+1,""))</f>
        <v/>
      </c>
    </row>
    <row r="544" customFormat="false" ht="15" hidden="false" customHeight="false" outlineLevel="0" collapsed="false">
      <c r="A544" s="34"/>
      <c r="B544" s="9"/>
      <c r="C544" s="34"/>
      <c r="D544" s="34"/>
      <c r="E544" s="34"/>
      <c r="F544" s="35"/>
      <c r="G544" s="9"/>
      <c r="H544" s="9"/>
      <c r="I544" s="34"/>
      <c r="J544" s="30" t="str">
        <f aca="false">IF(F544="","",G544-B544)</f>
        <v/>
      </c>
      <c r="K544" s="31" t="str">
        <f aca="false">IF(F544="","",IF(H544&lt;&gt;"",H544,MAX('Vade Sapması'!$D$3,G544)))</f>
        <v/>
      </c>
      <c r="L544" s="30" t="str">
        <f aca="false">IF(F544="","",K544-B544)</f>
        <v/>
      </c>
      <c r="M544" s="30" t="str">
        <f aca="false">IF(F544="","",L544-J544)</f>
        <v/>
      </c>
      <c r="N544" s="32" t="str">
        <f aca="false">IF(F544="","",IF(H544&lt;&gt;"","Kapandı",IF('Vade Sapması'!$D$3&gt;G544,"Açık · vadesi geçti","Açık · vadesi gelmedi")))</f>
        <v/>
      </c>
      <c r="O544" s="30" t="str">
        <f aca="false">IF(F544="","",IF(AND(H544="",'Vade Sapması'!$D$3&gt;G544),'Vade Sapması'!$D$3-G544,0))</f>
        <v/>
      </c>
      <c r="P544" s="33" t="str">
        <f aca="false">IF(F544="","",F544*J544)</f>
        <v/>
      </c>
      <c r="Q544" s="33" t="str">
        <f aca="false">IF(F544="","",F544*L544)</f>
        <v/>
      </c>
      <c r="R544" s="33" t="str">
        <f aca="false">IF(F544="","",IF(H544="",F544,0))</f>
        <v/>
      </c>
      <c r="S544" s="32" t="str">
        <f aca="false">IF(F544="","",IF(N(O544)=0,"",IF(O544&lt;=30,"1-30",IF(O544&lt;=60,"31-60",IF(O544&lt;=90,"61-90","90+")))))</f>
        <v/>
      </c>
      <c r="T544" s="32" t="str">
        <f aca="false">IF(F544="","",IF(E544="","Diğer",E544))</f>
        <v/>
      </c>
      <c r="U544" s="32" t="str">
        <f aca="false">IF(OR(F544="",C544=""),"",IF(COUNTIF($C$2:C544,C544)=1,MAX($U$1:U543)+1,""))</f>
        <v/>
      </c>
    </row>
    <row r="545" customFormat="false" ht="15" hidden="false" customHeight="false" outlineLevel="0" collapsed="false">
      <c r="A545" s="34"/>
      <c r="B545" s="9"/>
      <c r="C545" s="34"/>
      <c r="D545" s="34"/>
      <c r="E545" s="34"/>
      <c r="F545" s="35"/>
      <c r="G545" s="9"/>
      <c r="H545" s="9"/>
      <c r="I545" s="34"/>
      <c r="J545" s="30" t="str">
        <f aca="false">IF(F545="","",G545-B545)</f>
        <v/>
      </c>
      <c r="K545" s="31" t="str">
        <f aca="false">IF(F545="","",IF(H545&lt;&gt;"",H545,MAX('Vade Sapması'!$D$3,G545)))</f>
        <v/>
      </c>
      <c r="L545" s="30" t="str">
        <f aca="false">IF(F545="","",K545-B545)</f>
        <v/>
      </c>
      <c r="M545" s="30" t="str">
        <f aca="false">IF(F545="","",L545-J545)</f>
        <v/>
      </c>
      <c r="N545" s="32" t="str">
        <f aca="false">IF(F545="","",IF(H545&lt;&gt;"","Kapandı",IF('Vade Sapması'!$D$3&gt;G545,"Açık · vadesi geçti","Açık · vadesi gelmedi")))</f>
        <v/>
      </c>
      <c r="O545" s="30" t="str">
        <f aca="false">IF(F545="","",IF(AND(H545="",'Vade Sapması'!$D$3&gt;G545),'Vade Sapması'!$D$3-G545,0))</f>
        <v/>
      </c>
      <c r="P545" s="33" t="str">
        <f aca="false">IF(F545="","",F545*J545)</f>
        <v/>
      </c>
      <c r="Q545" s="33" t="str">
        <f aca="false">IF(F545="","",F545*L545)</f>
        <v/>
      </c>
      <c r="R545" s="33" t="str">
        <f aca="false">IF(F545="","",IF(H545="",F545,0))</f>
        <v/>
      </c>
      <c r="S545" s="32" t="str">
        <f aca="false">IF(F545="","",IF(N(O545)=0,"",IF(O545&lt;=30,"1-30",IF(O545&lt;=60,"31-60",IF(O545&lt;=90,"61-90","90+")))))</f>
        <v/>
      </c>
      <c r="T545" s="32" t="str">
        <f aca="false">IF(F545="","",IF(E545="","Diğer",E545))</f>
        <v/>
      </c>
      <c r="U545" s="32" t="str">
        <f aca="false">IF(OR(F545="",C545=""),"",IF(COUNTIF($C$2:C545,C545)=1,MAX($U$1:U544)+1,""))</f>
        <v/>
      </c>
    </row>
    <row r="546" customFormat="false" ht="15" hidden="false" customHeight="false" outlineLevel="0" collapsed="false">
      <c r="A546" s="34"/>
      <c r="B546" s="9"/>
      <c r="C546" s="34"/>
      <c r="D546" s="34"/>
      <c r="E546" s="34"/>
      <c r="F546" s="35"/>
      <c r="G546" s="9"/>
      <c r="H546" s="9"/>
      <c r="I546" s="34"/>
      <c r="J546" s="30" t="str">
        <f aca="false">IF(F546="","",G546-B546)</f>
        <v/>
      </c>
      <c r="K546" s="31" t="str">
        <f aca="false">IF(F546="","",IF(H546&lt;&gt;"",H546,MAX('Vade Sapması'!$D$3,G546)))</f>
        <v/>
      </c>
      <c r="L546" s="30" t="str">
        <f aca="false">IF(F546="","",K546-B546)</f>
        <v/>
      </c>
      <c r="M546" s="30" t="str">
        <f aca="false">IF(F546="","",L546-J546)</f>
        <v/>
      </c>
      <c r="N546" s="32" t="str">
        <f aca="false">IF(F546="","",IF(H546&lt;&gt;"","Kapandı",IF('Vade Sapması'!$D$3&gt;G546,"Açık · vadesi geçti","Açık · vadesi gelmedi")))</f>
        <v/>
      </c>
      <c r="O546" s="30" t="str">
        <f aca="false">IF(F546="","",IF(AND(H546="",'Vade Sapması'!$D$3&gt;G546),'Vade Sapması'!$D$3-G546,0))</f>
        <v/>
      </c>
      <c r="P546" s="33" t="str">
        <f aca="false">IF(F546="","",F546*J546)</f>
        <v/>
      </c>
      <c r="Q546" s="33" t="str">
        <f aca="false">IF(F546="","",F546*L546)</f>
        <v/>
      </c>
      <c r="R546" s="33" t="str">
        <f aca="false">IF(F546="","",IF(H546="",F546,0))</f>
        <v/>
      </c>
      <c r="S546" s="32" t="str">
        <f aca="false">IF(F546="","",IF(N(O546)=0,"",IF(O546&lt;=30,"1-30",IF(O546&lt;=60,"31-60",IF(O546&lt;=90,"61-90","90+")))))</f>
        <v/>
      </c>
      <c r="T546" s="32" t="str">
        <f aca="false">IF(F546="","",IF(E546="","Diğer",E546))</f>
        <v/>
      </c>
      <c r="U546" s="32" t="str">
        <f aca="false">IF(OR(F546="",C546=""),"",IF(COUNTIF($C$2:C546,C546)=1,MAX($U$1:U545)+1,""))</f>
        <v/>
      </c>
    </row>
    <row r="547" customFormat="false" ht="15" hidden="false" customHeight="false" outlineLevel="0" collapsed="false">
      <c r="A547" s="34"/>
      <c r="B547" s="9"/>
      <c r="C547" s="34"/>
      <c r="D547" s="34"/>
      <c r="E547" s="34"/>
      <c r="F547" s="35"/>
      <c r="G547" s="9"/>
      <c r="H547" s="9"/>
      <c r="I547" s="34"/>
      <c r="J547" s="30" t="str">
        <f aca="false">IF(F547="","",G547-B547)</f>
        <v/>
      </c>
      <c r="K547" s="31" t="str">
        <f aca="false">IF(F547="","",IF(H547&lt;&gt;"",H547,MAX('Vade Sapması'!$D$3,G547)))</f>
        <v/>
      </c>
      <c r="L547" s="30" t="str">
        <f aca="false">IF(F547="","",K547-B547)</f>
        <v/>
      </c>
      <c r="M547" s="30" t="str">
        <f aca="false">IF(F547="","",L547-J547)</f>
        <v/>
      </c>
      <c r="N547" s="32" t="str">
        <f aca="false">IF(F547="","",IF(H547&lt;&gt;"","Kapandı",IF('Vade Sapması'!$D$3&gt;G547,"Açık · vadesi geçti","Açık · vadesi gelmedi")))</f>
        <v/>
      </c>
      <c r="O547" s="30" t="str">
        <f aca="false">IF(F547="","",IF(AND(H547="",'Vade Sapması'!$D$3&gt;G547),'Vade Sapması'!$D$3-G547,0))</f>
        <v/>
      </c>
      <c r="P547" s="33" t="str">
        <f aca="false">IF(F547="","",F547*J547)</f>
        <v/>
      </c>
      <c r="Q547" s="33" t="str">
        <f aca="false">IF(F547="","",F547*L547)</f>
        <v/>
      </c>
      <c r="R547" s="33" t="str">
        <f aca="false">IF(F547="","",IF(H547="",F547,0))</f>
        <v/>
      </c>
      <c r="S547" s="32" t="str">
        <f aca="false">IF(F547="","",IF(N(O547)=0,"",IF(O547&lt;=30,"1-30",IF(O547&lt;=60,"31-60",IF(O547&lt;=90,"61-90","90+")))))</f>
        <v/>
      </c>
      <c r="T547" s="32" t="str">
        <f aca="false">IF(F547="","",IF(E547="","Diğer",E547))</f>
        <v/>
      </c>
      <c r="U547" s="32" t="str">
        <f aca="false">IF(OR(F547="",C547=""),"",IF(COUNTIF($C$2:C547,C547)=1,MAX($U$1:U546)+1,""))</f>
        <v/>
      </c>
    </row>
    <row r="548" customFormat="false" ht="15" hidden="false" customHeight="false" outlineLevel="0" collapsed="false">
      <c r="A548" s="34"/>
      <c r="B548" s="9"/>
      <c r="C548" s="34"/>
      <c r="D548" s="34"/>
      <c r="E548" s="34"/>
      <c r="F548" s="35"/>
      <c r="G548" s="9"/>
      <c r="H548" s="9"/>
      <c r="I548" s="34"/>
      <c r="J548" s="30" t="str">
        <f aca="false">IF(F548="","",G548-B548)</f>
        <v/>
      </c>
      <c r="K548" s="31" t="str">
        <f aca="false">IF(F548="","",IF(H548&lt;&gt;"",H548,MAX('Vade Sapması'!$D$3,G548)))</f>
        <v/>
      </c>
      <c r="L548" s="30" t="str">
        <f aca="false">IF(F548="","",K548-B548)</f>
        <v/>
      </c>
      <c r="M548" s="30" t="str">
        <f aca="false">IF(F548="","",L548-J548)</f>
        <v/>
      </c>
      <c r="N548" s="32" t="str">
        <f aca="false">IF(F548="","",IF(H548&lt;&gt;"","Kapandı",IF('Vade Sapması'!$D$3&gt;G548,"Açık · vadesi geçti","Açık · vadesi gelmedi")))</f>
        <v/>
      </c>
      <c r="O548" s="30" t="str">
        <f aca="false">IF(F548="","",IF(AND(H548="",'Vade Sapması'!$D$3&gt;G548),'Vade Sapması'!$D$3-G548,0))</f>
        <v/>
      </c>
      <c r="P548" s="33" t="str">
        <f aca="false">IF(F548="","",F548*J548)</f>
        <v/>
      </c>
      <c r="Q548" s="33" t="str">
        <f aca="false">IF(F548="","",F548*L548)</f>
        <v/>
      </c>
      <c r="R548" s="33" t="str">
        <f aca="false">IF(F548="","",IF(H548="",F548,0))</f>
        <v/>
      </c>
      <c r="S548" s="32" t="str">
        <f aca="false">IF(F548="","",IF(N(O548)=0,"",IF(O548&lt;=30,"1-30",IF(O548&lt;=60,"31-60",IF(O548&lt;=90,"61-90","90+")))))</f>
        <v/>
      </c>
      <c r="T548" s="32" t="str">
        <f aca="false">IF(F548="","",IF(E548="","Diğer",E548))</f>
        <v/>
      </c>
      <c r="U548" s="32" t="str">
        <f aca="false">IF(OR(F548="",C548=""),"",IF(COUNTIF($C$2:C548,C548)=1,MAX($U$1:U547)+1,""))</f>
        <v/>
      </c>
    </row>
    <row r="549" customFormat="false" ht="15" hidden="false" customHeight="false" outlineLevel="0" collapsed="false">
      <c r="A549" s="34"/>
      <c r="B549" s="9"/>
      <c r="C549" s="34"/>
      <c r="D549" s="34"/>
      <c r="E549" s="34"/>
      <c r="F549" s="35"/>
      <c r="G549" s="9"/>
      <c r="H549" s="9"/>
      <c r="I549" s="34"/>
      <c r="J549" s="30" t="str">
        <f aca="false">IF(F549="","",G549-B549)</f>
        <v/>
      </c>
      <c r="K549" s="31" t="str">
        <f aca="false">IF(F549="","",IF(H549&lt;&gt;"",H549,MAX('Vade Sapması'!$D$3,G549)))</f>
        <v/>
      </c>
      <c r="L549" s="30" t="str">
        <f aca="false">IF(F549="","",K549-B549)</f>
        <v/>
      </c>
      <c r="M549" s="30" t="str">
        <f aca="false">IF(F549="","",L549-J549)</f>
        <v/>
      </c>
      <c r="N549" s="32" t="str">
        <f aca="false">IF(F549="","",IF(H549&lt;&gt;"","Kapandı",IF('Vade Sapması'!$D$3&gt;G549,"Açık · vadesi geçti","Açık · vadesi gelmedi")))</f>
        <v/>
      </c>
      <c r="O549" s="30" t="str">
        <f aca="false">IF(F549="","",IF(AND(H549="",'Vade Sapması'!$D$3&gt;G549),'Vade Sapması'!$D$3-G549,0))</f>
        <v/>
      </c>
      <c r="P549" s="33" t="str">
        <f aca="false">IF(F549="","",F549*J549)</f>
        <v/>
      </c>
      <c r="Q549" s="33" t="str">
        <f aca="false">IF(F549="","",F549*L549)</f>
        <v/>
      </c>
      <c r="R549" s="33" t="str">
        <f aca="false">IF(F549="","",IF(H549="",F549,0))</f>
        <v/>
      </c>
      <c r="S549" s="32" t="str">
        <f aca="false">IF(F549="","",IF(N(O549)=0,"",IF(O549&lt;=30,"1-30",IF(O549&lt;=60,"31-60",IF(O549&lt;=90,"61-90","90+")))))</f>
        <v/>
      </c>
      <c r="T549" s="32" t="str">
        <f aca="false">IF(F549="","",IF(E549="","Diğer",E549))</f>
        <v/>
      </c>
      <c r="U549" s="32" t="str">
        <f aca="false">IF(OR(F549="",C549=""),"",IF(COUNTIF($C$2:C549,C549)=1,MAX($U$1:U548)+1,""))</f>
        <v/>
      </c>
    </row>
    <row r="550" customFormat="false" ht="15" hidden="false" customHeight="false" outlineLevel="0" collapsed="false">
      <c r="A550" s="34"/>
      <c r="B550" s="9"/>
      <c r="C550" s="34"/>
      <c r="D550" s="34"/>
      <c r="E550" s="34"/>
      <c r="F550" s="35"/>
      <c r="G550" s="9"/>
      <c r="H550" s="9"/>
      <c r="I550" s="34"/>
      <c r="J550" s="30" t="str">
        <f aca="false">IF(F550="","",G550-B550)</f>
        <v/>
      </c>
      <c r="K550" s="31" t="str">
        <f aca="false">IF(F550="","",IF(H550&lt;&gt;"",H550,MAX('Vade Sapması'!$D$3,G550)))</f>
        <v/>
      </c>
      <c r="L550" s="30" t="str">
        <f aca="false">IF(F550="","",K550-B550)</f>
        <v/>
      </c>
      <c r="M550" s="30" t="str">
        <f aca="false">IF(F550="","",L550-J550)</f>
        <v/>
      </c>
      <c r="N550" s="32" t="str">
        <f aca="false">IF(F550="","",IF(H550&lt;&gt;"","Kapandı",IF('Vade Sapması'!$D$3&gt;G550,"Açık · vadesi geçti","Açık · vadesi gelmedi")))</f>
        <v/>
      </c>
      <c r="O550" s="30" t="str">
        <f aca="false">IF(F550="","",IF(AND(H550="",'Vade Sapması'!$D$3&gt;G550),'Vade Sapması'!$D$3-G550,0))</f>
        <v/>
      </c>
      <c r="P550" s="33" t="str">
        <f aca="false">IF(F550="","",F550*J550)</f>
        <v/>
      </c>
      <c r="Q550" s="33" t="str">
        <f aca="false">IF(F550="","",F550*L550)</f>
        <v/>
      </c>
      <c r="R550" s="33" t="str">
        <f aca="false">IF(F550="","",IF(H550="",F550,0))</f>
        <v/>
      </c>
      <c r="S550" s="32" t="str">
        <f aca="false">IF(F550="","",IF(N(O550)=0,"",IF(O550&lt;=30,"1-30",IF(O550&lt;=60,"31-60",IF(O550&lt;=90,"61-90","90+")))))</f>
        <v/>
      </c>
      <c r="T550" s="32" t="str">
        <f aca="false">IF(F550="","",IF(E550="","Diğer",E550))</f>
        <v/>
      </c>
      <c r="U550" s="32" t="str">
        <f aca="false">IF(OR(F550="",C550=""),"",IF(COUNTIF($C$2:C550,C550)=1,MAX($U$1:U549)+1,""))</f>
        <v/>
      </c>
    </row>
    <row r="551" customFormat="false" ht="15" hidden="false" customHeight="false" outlineLevel="0" collapsed="false">
      <c r="A551" s="34"/>
      <c r="B551" s="9"/>
      <c r="C551" s="34"/>
      <c r="D551" s="34"/>
      <c r="E551" s="34"/>
      <c r="F551" s="35"/>
      <c r="G551" s="9"/>
      <c r="H551" s="9"/>
      <c r="I551" s="34"/>
      <c r="J551" s="30" t="str">
        <f aca="false">IF(F551="","",G551-B551)</f>
        <v/>
      </c>
      <c r="K551" s="31" t="str">
        <f aca="false">IF(F551="","",IF(H551&lt;&gt;"",H551,MAX('Vade Sapması'!$D$3,G551)))</f>
        <v/>
      </c>
      <c r="L551" s="30" t="str">
        <f aca="false">IF(F551="","",K551-B551)</f>
        <v/>
      </c>
      <c r="M551" s="30" t="str">
        <f aca="false">IF(F551="","",L551-J551)</f>
        <v/>
      </c>
      <c r="N551" s="32" t="str">
        <f aca="false">IF(F551="","",IF(H551&lt;&gt;"","Kapandı",IF('Vade Sapması'!$D$3&gt;G551,"Açık · vadesi geçti","Açık · vadesi gelmedi")))</f>
        <v/>
      </c>
      <c r="O551" s="30" t="str">
        <f aca="false">IF(F551="","",IF(AND(H551="",'Vade Sapması'!$D$3&gt;G551),'Vade Sapması'!$D$3-G551,0))</f>
        <v/>
      </c>
      <c r="P551" s="33" t="str">
        <f aca="false">IF(F551="","",F551*J551)</f>
        <v/>
      </c>
      <c r="Q551" s="33" t="str">
        <f aca="false">IF(F551="","",F551*L551)</f>
        <v/>
      </c>
      <c r="R551" s="33" t="str">
        <f aca="false">IF(F551="","",IF(H551="",F551,0))</f>
        <v/>
      </c>
      <c r="S551" s="32" t="str">
        <f aca="false">IF(F551="","",IF(N(O551)=0,"",IF(O551&lt;=30,"1-30",IF(O551&lt;=60,"31-60",IF(O551&lt;=90,"61-90","90+")))))</f>
        <v/>
      </c>
      <c r="T551" s="32" t="str">
        <f aca="false">IF(F551="","",IF(E551="","Diğer",E551))</f>
        <v/>
      </c>
      <c r="U551" s="32" t="str">
        <f aca="false">IF(OR(F551="",C551=""),"",IF(COUNTIF($C$2:C551,C551)=1,MAX($U$1:U550)+1,""))</f>
        <v/>
      </c>
    </row>
    <row r="552" customFormat="false" ht="15" hidden="false" customHeight="false" outlineLevel="0" collapsed="false">
      <c r="A552" s="34"/>
      <c r="B552" s="9"/>
      <c r="C552" s="34"/>
      <c r="D552" s="34"/>
      <c r="E552" s="34"/>
      <c r="F552" s="35"/>
      <c r="G552" s="9"/>
      <c r="H552" s="9"/>
      <c r="I552" s="34"/>
      <c r="J552" s="30" t="str">
        <f aca="false">IF(F552="","",G552-B552)</f>
        <v/>
      </c>
      <c r="K552" s="31" t="str">
        <f aca="false">IF(F552="","",IF(H552&lt;&gt;"",H552,MAX('Vade Sapması'!$D$3,G552)))</f>
        <v/>
      </c>
      <c r="L552" s="30" t="str">
        <f aca="false">IF(F552="","",K552-B552)</f>
        <v/>
      </c>
      <c r="M552" s="30" t="str">
        <f aca="false">IF(F552="","",L552-J552)</f>
        <v/>
      </c>
      <c r="N552" s="32" t="str">
        <f aca="false">IF(F552="","",IF(H552&lt;&gt;"","Kapandı",IF('Vade Sapması'!$D$3&gt;G552,"Açık · vadesi geçti","Açık · vadesi gelmedi")))</f>
        <v/>
      </c>
      <c r="O552" s="30" t="str">
        <f aca="false">IF(F552="","",IF(AND(H552="",'Vade Sapması'!$D$3&gt;G552),'Vade Sapması'!$D$3-G552,0))</f>
        <v/>
      </c>
      <c r="P552" s="33" t="str">
        <f aca="false">IF(F552="","",F552*J552)</f>
        <v/>
      </c>
      <c r="Q552" s="33" t="str">
        <f aca="false">IF(F552="","",F552*L552)</f>
        <v/>
      </c>
      <c r="R552" s="33" t="str">
        <f aca="false">IF(F552="","",IF(H552="",F552,0))</f>
        <v/>
      </c>
      <c r="S552" s="32" t="str">
        <f aca="false">IF(F552="","",IF(N(O552)=0,"",IF(O552&lt;=30,"1-30",IF(O552&lt;=60,"31-60",IF(O552&lt;=90,"61-90","90+")))))</f>
        <v/>
      </c>
      <c r="T552" s="32" t="str">
        <f aca="false">IF(F552="","",IF(E552="","Diğer",E552))</f>
        <v/>
      </c>
      <c r="U552" s="32" t="str">
        <f aca="false">IF(OR(F552="",C552=""),"",IF(COUNTIF($C$2:C552,C552)=1,MAX($U$1:U551)+1,""))</f>
        <v/>
      </c>
    </row>
    <row r="553" customFormat="false" ht="15" hidden="false" customHeight="false" outlineLevel="0" collapsed="false">
      <c r="A553" s="34"/>
      <c r="B553" s="9"/>
      <c r="C553" s="34"/>
      <c r="D553" s="34"/>
      <c r="E553" s="34"/>
      <c r="F553" s="35"/>
      <c r="G553" s="9"/>
      <c r="H553" s="9"/>
      <c r="I553" s="34"/>
      <c r="J553" s="30" t="str">
        <f aca="false">IF(F553="","",G553-B553)</f>
        <v/>
      </c>
      <c r="K553" s="31" t="str">
        <f aca="false">IF(F553="","",IF(H553&lt;&gt;"",H553,MAX('Vade Sapması'!$D$3,G553)))</f>
        <v/>
      </c>
      <c r="L553" s="30" t="str">
        <f aca="false">IF(F553="","",K553-B553)</f>
        <v/>
      </c>
      <c r="M553" s="30" t="str">
        <f aca="false">IF(F553="","",L553-J553)</f>
        <v/>
      </c>
      <c r="N553" s="32" t="str">
        <f aca="false">IF(F553="","",IF(H553&lt;&gt;"","Kapandı",IF('Vade Sapması'!$D$3&gt;G553,"Açık · vadesi geçti","Açık · vadesi gelmedi")))</f>
        <v/>
      </c>
      <c r="O553" s="30" t="str">
        <f aca="false">IF(F553="","",IF(AND(H553="",'Vade Sapması'!$D$3&gt;G553),'Vade Sapması'!$D$3-G553,0))</f>
        <v/>
      </c>
      <c r="P553" s="33" t="str">
        <f aca="false">IF(F553="","",F553*J553)</f>
        <v/>
      </c>
      <c r="Q553" s="33" t="str">
        <f aca="false">IF(F553="","",F553*L553)</f>
        <v/>
      </c>
      <c r="R553" s="33" t="str">
        <f aca="false">IF(F553="","",IF(H553="",F553,0))</f>
        <v/>
      </c>
      <c r="S553" s="32" t="str">
        <f aca="false">IF(F553="","",IF(N(O553)=0,"",IF(O553&lt;=30,"1-30",IF(O553&lt;=60,"31-60",IF(O553&lt;=90,"61-90","90+")))))</f>
        <v/>
      </c>
      <c r="T553" s="32" t="str">
        <f aca="false">IF(F553="","",IF(E553="","Diğer",E553))</f>
        <v/>
      </c>
      <c r="U553" s="32" t="str">
        <f aca="false">IF(OR(F553="",C553=""),"",IF(COUNTIF($C$2:C553,C553)=1,MAX($U$1:U552)+1,""))</f>
        <v/>
      </c>
    </row>
    <row r="554" customFormat="false" ht="15" hidden="false" customHeight="false" outlineLevel="0" collapsed="false">
      <c r="A554" s="34"/>
      <c r="B554" s="9"/>
      <c r="C554" s="34"/>
      <c r="D554" s="34"/>
      <c r="E554" s="34"/>
      <c r="F554" s="35"/>
      <c r="G554" s="9"/>
      <c r="H554" s="9"/>
      <c r="I554" s="34"/>
      <c r="J554" s="30" t="str">
        <f aca="false">IF(F554="","",G554-B554)</f>
        <v/>
      </c>
      <c r="K554" s="31" t="str">
        <f aca="false">IF(F554="","",IF(H554&lt;&gt;"",H554,MAX('Vade Sapması'!$D$3,G554)))</f>
        <v/>
      </c>
      <c r="L554" s="30" t="str">
        <f aca="false">IF(F554="","",K554-B554)</f>
        <v/>
      </c>
      <c r="M554" s="30" t="str">
        <f aca="false">IF(F554="","",L554-J554)</f>
        <v/>
      </c>
      <c r="N554" s="32" t="str">
        <f aca="false">IF(F554="","",IF(H554&lt;&gt;"","Kapandı",IF('Vade Sapması'!$D$3&gt;G554,"Açık · vadesi geçti","Açık · vadesi gelmedi")))</f>
        <v/>
      </c>
      <c r="O554" s="30" t="str">
        <f aca="false">IF(F554="","",IF(AND(H554="",'Vade Sapması'!$D$3&gt;G554),'Vade Sapması'!$D$3-G554,0))</f>
        <v/>
      </c>
      <c r="P554" s="33" t="str">
        <f aca="false">IF(F554="","",F554*J554)</f>
        <v/>
      </c>
      <c r="Q554" s="33" t="str">
        <f aca="false">IF(F554="","",F554*L554)</f>
        <v/>
      </c>
      <c r="R554" s="33" t="str">
        <f aca="false">IF(F554="","",IF(H554="",F554,0))</f>
        <v/>
      </c>
      <c r="S554" s="32" t="str">
        <f aca="false">IF(F554="","",IF(N(O554)=0,"",IF(O554&lt;=30,"1-30",IF(O554&lt;=60,"31-60",IF(O554&lt;=90,"61-90","90+")))))</f>
        <v/>
      </c>
      <c r="T554" s="32" t="str">
        <f aca="false">IF(F554="","",IF(E554="","Diğer",E554))</f>
        <v/>
      </c>
      <c r="U554" s="32" t="str">
        <f aca="false">IF(OR(F554="",C554=""),"",IF(COUNTIF($C$2:C554,C554)=1,MAX($U$1:U553)+1,""))</f>
        <v/>
      </c>
    </row>
    <row r="555" customFormat="false" ht="15" hidden="false" customHeight="false" outlineLevel="0" collapsed="false">
      <c r="A555" s="34"/>
      <c r="B555" s="9"/>
      <c r="C555" s="34"/>
      <c r="D555" s="34"/>
      <c r="E555" s="34"/>
      <c r="F555" s="35"/>
      <c r="G555" s="9"/>
      <c r="H555" s="9"/>
      <c r="I555" s="34"/>
      <c r="J555" s="30" t="str">
        <f aca="false">IF(F555="","",G555-B555)</f>
        <v/>
      </c>
      <c r="K555" s="31" t="str">
        <f aca="false">IF(F555="","",IF(H555&lt;&gt;"",H555,MAX('Vade Sapması'!$D$3,G555)))</f>
        <v/>
      </c>
      <c r="L555" s="30" t="str">
        <f aca="false">IF(F555="","",K555-B555)</f>
        <v/>
      </c>
      <c r="M555" s="30" t="str">
        <f aca="false">IF(F555="","",L555-J555)</f>
        <v/>
      </c>
      <c r="N555" s="32" t="str">
        <f aca="false">IF(F555="","",IF(H555&lt;&gt;"","Kapandı",IF('Vade Sapması'!$D$3&gt;G555,"Açık · vadesi geçti","Açık · vadesi gelmedi")))</f>
        <v/>
      </c>
      <c r="O555" s="30" t="str">
        <f aca="false">IF(F555="","",IF(AND(H555="",'Vade Sapması'!$D$3&gt;G555),'Vade Sapması'!$D$3-G555,0))</f>
        <v/>
      </c>
      <c r="P555" s="33" t="str">
        <f aca="false">IF(F555="","",F555*J555)</f>
        <v/>
      </c>
      <c r="Q555" s="33" t="str">
        <f aca="false">IF(F555="","",F555*L555)</f>
        <v/>
      </c>
      <c r="R555" s="33" t="str">
        <f aca="false">IF(F555="","",IF(H555="",F555,0))</f>
        <v/>
      </c>
      <c r="S555" s="32" t="str">
        <f aca="false">IF(F555="","",IF(N(O555)=0,"",IF(O555&lt;=30,"1-30",IF(O555&lt;=60,"31-60",IF(O555&lt;=90,"61-90","90+")))))</f>
        <v/>
      </c>
      <c r="T555" s="32" t="str">
        <f aca="false">IF(F555="","",IF(E555="","Diğer",E555))</f>
        <v/>
      </c>
      <c r="U555" s="32" t="str">
        <f aca="false">IF(OR(F555="",C555=""),"",IF(COUNTIF($C$2:C555,C555)=1,MAX($U$1:U554)+1,""))</f>
        <v/>
      </c>
    </row>
    <row r="556" customFormat="false" ht="15" hidden="false" customHeight="false" outlineLevel="0" collapsed="false">
      <c r="A556" s="34"/>
      <c r="B556" s="9"/>
      <c r="C556" s="34"/>
      <c r="D556" s="34"/>
      <c r="E556" s="34"/>
      <c r="F556" s="35"/>
      <c r="G556" s="9"/>
      <c r="H556" s="9"/>
      <c r="I556" s="34"/>
      <c r="J556" s="30" t="str">
        <f aca="false">IF(F556="","",G556-B556)</f>
        <v/>
      </c>
      <c r="K556" s="31" t="str">
        <f aca="false">IF(F556="","",IF(H556&lt;&gt;"",H556,MAX('Vade Sapması'!$D$3,G556)))</f>
        <v/>
      </c>
      <c r="L556" s="30" t="str">
        <f aca="false">IF(F556="","",K556-B556)</f>
        <v/>
      </c>
      <c r="M556" s="30" t="str">
        <f aca="false">IF(F556="","",L556-J556)</f>
        <v/>
      </c>
      <c r="N556" s="32" t="str">
        <f aca="false">IF(F556="","",IF(H556&lt;&gt;"","Kapandı",IF('Vade Sapması'!$D$3&gt;G556,"Açık · vadesi geçti","Açık · vadesi gelmedi")))</f>
        <v/>
      </c>
      <c r="O556" s="30" t="str">
        <f aca="false">IF(F556="","",IF(AND(H556="",'Vade Sapması'!$D$3&gt;G556),'Vade Sapması'!$D$3-G556,0))</f>
        <v/>
      </c>
      <c r="P556" s="33" t="str">
        <f aca="false">IF(F556="","",F556*J556)</f>
        <v/>
      </c>
      <c r="Q556" s="33" t="str">
        <f aca="false">IF(F556="","",F556*L556)</f>
        <v/>
      </c>
      <c r="R556" s="33" t="str">
        <f aca="false">IF(F556="","",IF(H556="",F556,0))</f>
        <v/>
      </c>
      <c r="S556" s="32" t="str">
        <f aca="false">IF(F556="","",IF(N(O556)=0,"",IF(O556&lt;=30,"1-30",IF(O556&lt;=60,"31-60",IF(O556&lt;=90,"61-90","90+")))))</f>
        <v/>
      </c>
      <c r="T556" s="32" t="str">
        <f aca="false">IF(F556="","",IF(E556="","Diğer",E556))</f>
        <v/>
      </c>
      <c r="U556" s="32" t="str">
        <f aca="false">IF(OR(F556="",C556=""),"",IF(COUNTIF($C$2:C556,C556)=1,MAX($U$1:U555)+1,""))</f>
        <v/>
      </c>
    </row>
    <row r="557" customFormat="false" ht="15" hidden="false" customHeight="false" outlineLevel="0" collapsed="false">
      <c r="A557" s="34"/>
      <c r="B557" s="9"/>
      <c r="C557" s="34"/>
      <c r="D557" s="34"/>
      <c r="E557" s="34"/>
      <c r="F557" s="35"/>
      <c r="G557" s="9"/>
      <c r="H557" s="9"/>
      <c r="I557" s="34"/>
      <c r="J557" s="30" t="str">
        <f aca="false">IF(F557="","",G557-B557)</f>
        <v/>
      </c>
      <c r="K557" s="31" t="str">
        <f aca="false">IF(F557="","",IF(H557&lt;&gt;"",H557,MAX('Vade Sapması'!$D$3,G557)))</f>
        <v/>
      </c>
      <c r="L557" s="30" t="str">
        <f aca="false">IF(F557="","",K557-B557)</f>
        <v/>
      </c>
      <c r="M557" s="30" t="str">
        <f aca="false">IF(F557="","",L557-J557)</f>
        <v/>
      </c>
      <c r="N557" s="32" t="str">
        <f aca="false">IF(F557="","",IF(H557&lt;&gt;"","Kapandı",IF('Vade Sapması'!$D$3&gt;G557,"Açık · vadesi geçti","Açık · vadesi gelmedi")))</f>
        <v/>
      </c>
      <c r="O557" s="30" t="str">
        <f aca="false">IF(F557="","",IF(AND(H557="",'Vade Sapması'!$D$3&gt;G557),'Vade Sapması'!$D$3-G557,0))</f>
        <v/>
      </c>
      <c r="P557" s="33" t="str">
        <f aca="false">IF(F557="","",F557*J557)</f>
        <v/>
      </c>
      <c r="Q557" s="33" t="str">
        <f aca="false">IF(F557="","",F557*L557)</f>
        <v/>
      </c>
      <c r="R557" s="33" t="str">
        <f aca="false">IF(F557="","",IF(H557="",F557,0))</f>
        <v/>
      </c>
      <c r="S557" s="32" t="str">
        <f aca="false">IF(F557="","",IF(N(O557)=0,"",IF(O557&lt;=30,"1-30",IF(O557&lt;=60,"31-60",IF(O557&lt;=90,"61-90","90+")))))</f>
        <v/>
      </c>
      <c r="T557" s="32" t="str">
        <f aca="false">IF(F557="","",IF(E557="","Diğer",E557))</f>
        <v/>
      </c>
      <c r="U557" s="32" t="str">
        <f aca="false">IF(OR(F557="",C557=""),"",IF(COUNTIF($C$2:C557,C557)=1,MAX($U$1:U556)+1,""))</f>
        <v/>
      </c>
    </row>
    <row r="558" customFormat="false" ht="15" hidden="false" customHeight="false" outlineLevel="0" collapsed="false">
      <c r="A558" s="34"/>
      <c r="B558" s="9"/>
      <c r="C558" s="34"/>
      <c r="D558" s="34"/>
      <c r="E558" s="34"/>
      <c r="F558" s="35"/>
      <c r="G558" s="9"/>
      <c r="H558" s="9"/>
      <c r="I558" s="34"/>
      <c r="J558" s="30" t="str">
        <f aca="false">IF(F558="","",G558-B558)</f>
        <v/>
      </c>
      <c r="K558" s="31" t="str">
        <f aca="false">IF(F558="","",IF(H558&lt;&gt;"",H558,MAX('Vade Sapması'!$D$3,G558)))</f>
        <v/>
      </c>
      <c r="L558" s="30" t="str">
        <f aca="false">IF(F558="","",K558-B558)</f>
        <v/>
      </c>
      <c r="M558" s="30" t="str">
        <f aca="false">IF(F558="","",L558-J558)</f>
        <v/>
      </c>
      <c r="N558" s="32" t="str">
        <f aca="false">IF(F558="","",IF(H558&lt;&gt;"","Kapandı",IF('Vade Sapması'!$D$3&gt;G558,"Açık · vadesi geçti","Açık · vadesi gelmedi")))</f>
        <v/>
      </c>
      <c r="O558" s="30" t="str">
        <f aca="false">IF(F558="","",IF(AND(H558="",'Vade Sapması'!$D$3&gt;G558),'Vade Sapması'!$D$3-G558,0))</f>
        <v/>
      </c>
      <c r="P558" s="33" t="str">
        <f aca="false">IF(F558="","",F558*J558)</f>
        <v/>
      </c>
      <c r="Q558" s="33" t="str">
        <f aca="false">IF(F558="","",F558*L558)</f>
        <v/>
      </c>
      <c r="R558" s="33" t="str">
        <f aca="false">IF(F558="","",IF(H558="",F558,0))</f>
        <v/>
      </c>
      <c r="S558" s="32" t="str">
        <f aca="false">IF(F558="","",IF(N(O558)=0,"",IF(O558&lt;=30,"1-30",IF(O558&lt;=60,"31-60",IF(O558&lt;=90,"61-90","90+")))))</f>
        <v/>
      </c>
      <c r="T558" s="32" t="str">
        <f aca="false">IF(F558="","",IF(E558="","Diğer",E558))</f>
        <v/>
      </c>
      <c r="U558" s="32" t="str">
        <f aca="false">IF(OR(F558="",C558=""),"",IF(COUNTIF($C$2:C558,C558)=1,MAX($U$1:U557)+1,""))</f>
        <v/>
      </c>
    </row>
    <row r="559" customFormat="false" ht="15" hidden="false" customHeight="false" outlineLevel="0" collapsed="false">
      <c r="A559" s="34"/>
      <c r="B559" s="9"/>
      <c r="C559" s="34"/>
      <c r="D559" s="34"/>
      <c r="E559" s="34"/>
      <c r="F559" s="35"/>
      <c r="G559" s="9"/>
      <c r="H559" s="9"/>
      <c r="I559" s="34"/>
      <c r="J559" s="30" t="str">
        <f aca="false">IF(F559="","",G559-B559)</f>
        <v/>
      </c>
      <c r="K559" s="31" t="str">
        <f aca="false">IF(F559="","",IF(H559&lt;&gt;"",H559,MAX('Vade Sapması'!$D$3,G559)))</f>
        <v/>
      </c>
      <c r="L559" s="30" t="str">
        <f aca="false">IF(F559="","",K559-B559)</f>
        <v/>
      </c>
      <c r="M559" s="30" t="str">
        <f aca="false">IF(F559="","",L559-J559)</f>
        <v/>
      </c>
      <c r="N559" s="32" t="str">
        <f aca="false">IF(F559="","",IF(H559&lt;&gt;"","Kapandı",IF('Vade Sapması'!$D$3&gt;G559,"Açık · vadesi geçti","Açık · vadesi gelmedi")))</f>
        <v/>
      </c>
      <c r="O559" s="30" t="str">
        <f aca="false">IF(F559="","",IF(AND(H559="",'Vade Sapması'!$D$3&gt;G559),'Vade Sapması'!$D$3-G559,0))</f>
        <v/>
      </c>
      <c r="P559" s="33" t="str">
        <f aca="false">IF(F559="","",F559*J559)</f>
        <v/>
      </c>
      <c r="Q559" s="33" t="str">
        <f aca="false">IF(F559="","",F559*L559)</f>
        <v/>
      </c>
      <c r="R559" s="33" t="str">
        <f aca="false">IF(F559="","",IF(H559="",F559,0))</f>
        <v/>
      </c>
      <c r="S559" s="32" t="str">
        <f aca="false">IF(F559="","",IF(N(O559)=0,"",IF(O559&lt;=30,"1-30",IF(O559&lt;=60,"31-60",IF(O559&lt;=90,"61-90","90+")))))</f>
        <v/>
      </c>
      <c r="T559" s="32" t="str">
        <f aca="false">IF(F559="","",IF(E559="","Diğer",E559))</f>
        <v/>
      </c>
      <c r="U559" s="32" t="str">
        <f aca="false">IF(OR(F559="",C559=""),"",IF(COUNTIF($C$2:C559,C559)=1,MAX($U$1:U558)+1,""))</f>
        <v/>
      </c>
    </row>
    <row r="560" customFormat="false" ht="15" hidden="false" customHeight="false" outlineLevel="0" collapsed="false">
      <c r="A560" s="34"/>
      <c r="B560" s="9"/>
      <c r="C560" s="34"/>
      <c r="D560" s="34"/>
      <c r="E560" s="34"/>
      <c r="F560" s="35"/>
      <c r="G560" s="9"/>
      <c r="H560" s="9"/>
      <c r="I560" s="34"/>
      <c r="J560" s="30" t="str">
        <f aca="false">IF(F560="","",G560-B560)</f>
        <v/>
      </c>
      <c r="K560" s="31" t="str">
        <f aca="false">IF(F560="","",IF(H560&lt;&gt;"",H560,MAX('Vade Sapması'!$D$3,G560)))</f>
        <v/>
      </c>
      <c r="L560" s="30" t="str">
        <f aca="false">IF(F560="","",K560-B560)</f>
        <v/>
      </c>
      <c r="M560" s="30" t="str">
        <f aca="false">IF(F560="","",L560-J560)</f>
        <v/>
      </c>
      <c r="N560" s="32" t="str">
        <f aca="false">IF(F560="","",IF(H560&lt;&gt;"","Kapandı",IF('Vade Sapması'!$D$3&gt;G560,"Açık · vadesi geçti","Açık · vadesi gelmedi")))</f>
        <v/>
      </c>
      <c r="O560" s="30" t="str">
        <f aca="false">IF(F560="","",IF(AND(H560="",'Vade Sapması'!$D$3&gt;G560),'Vade Sapması'!$D$3-G560,0))</f>
        <v/>
      </c>
      <c r="P560" s="33" t="str">
        <f aca="false">IF(F560="","",F560*J560)</f>
        <v/>
      </c>
      <c r="Q560" s="33" t="str">
        <f aca="false">IF(F560="","",F560*L560)</f>
        <v/>
      </c>
      <c r="R560" s="33" t="str">
        <f aca="false">IF(F560="","",IF(H560="",F560,0))</f>
        <v/>
      </c>
      <c r="S560" s="32" t="str">
        <f aca="false">IF(F560="","",IF(N(O560)=0,"",IF(O560&lt;=30,"1-30",IF(O560&lt;=60,"31-60",IF(O560&lt;=90,"61-90","90+")))))</f>
        <v/>
      </c>
      <c r="T560" s="32" t="str">
        <f aca="false">IF(F560="","",IF(E560="","Diğer",E560))</f>
        <v/>
      </c>
      <c r="U560" s="32" t="str">
        <f aca="false">IF(OR(F560="",C560=""),"",IF(COUNTIF($C$2:C560,C560)=1,MAX($U$1:U559)+1,""))</f>
        <v/>
      </c>
    </row>
    <row r="561" customFormat="false" ht="15" hidden="false" customHeight="false" outlineLevel="0" collapsed="false">
      <c r="A561" s="34"/>
      <c r="B561" s="9"/>
      <c r="C561" s="34"/>
      <c r="D561" s="34"/>
      <c r="E561" s="34"/>
      <c r="F561" s="35"/>
      <c r="G561" s="9"/>
      <c r="H561" s="9"/>
      <c r="I561" s="34"/>
      <c r="J561" s="30" t="str">
        <f aca="false">IF(F561="","",G561-B561)</f>
        <v/>
      </c>
      <c r="K561" s="31" t="str">
        <f aca="false">IF(F561="","",IF(H561&lt;&gt;"",H561,MAX('Vade Sapması'!$D$3,G561)))</f>
        <v/>
      </c>
      <c r="L561" s="30" t="str">
        <f aca="false">IF(F561="","",K561-B561)</f>
        <v/>
      </c>
      <c r="M561" s="30" t="str">
        <f aca="false">IF(F561="","",L561-J561)</f>
        <v/>
      </c>
      <c r="N561" s="32" t="str">
        <f aca="false">IF(F561="","",IF(H561&lt;&gt;"","Kapandı",IF('Vade Sapması'!$D$3&gt;G561,"Açık · vadesi geçti","Açık · vadesi gelmedi")))</f>
        <v/>
      </c>
      <c r="O561" s="30" t="str">
        <f aca="false">IF(F561="","",IF(AND(H561="",'Vade Sapması'!$D$3&gt;G561),'Vade Sapması'!$D$3-G561,0))</f>
        <v/>
      </c>
      <c r="P561" s="33" t="str">
        <f aca="false">IF(F561="","",F561*J561)</f>
        <v/>
      </c>
      <c r="Q561" s="33" t="str">
        <f aca="false">IF(F561="","",F561*L561)</f>
        <v/>
      </c>
      <c r="R561" s="33" t="str">
        <f aca="false">IF(F561="","",IF(H561="",F561,0))</f>
        <v/>
      </c>
      <c r="S561" s="32" t="str">
        <f aca="false">IF(F561="","",IF(N(O561)=0,"",IF(O561&lt;=30,"1-30",IF(O561&lt;=60,"31-60",IF(O561&lt;=90,"61-90","90+")))))</f>
        <v/>
      </c>
      <c r="T561" s="32" t="str">
        <f aca="false">IF(F561="","",IF(E561="","Diğer",E561))</f>
        <v/>
      </c>
      <c r="U561" s="32" t="str">
        <f aca="false">IF(OR(F561="",C561=""),"",IF(COUNTIF($C$2:C561,C561)=1,MAX($U$1:U560)+1,""))</f>
        <v/>
      </c>
    </row>
    <row r="562" customFormat="false" ht="15" hidden="false" customHeight="false" outlineLevel="0" collapsed="false">
      <c r="A562" s="34"/>
      <c r="B562" s="9"/>
      <c r="C562" s="34"/>
      <c r="D562" s="34"/>
      <c r="E562" s="34"/>
      <c r="F562" s="35"/>
      <c r="G562" s="9"/>
      <c r="H562" s="9"/>
      <c r="I562" s="34"/>
      <c r="J562" s="30" t="str">
        <f aca="false">IF(F562="","",G562-B562)</f>
        <v/>
      </c>
      <c r="K562" s="31" t="str">
        <f aca="false">IF(F562="","",IF(H562&lt;&gt;"",H562,MAX('Vade Sapması'!$D$3,G562)))</f>
        <v/>
      </c>
      <c r="L562" s="30" t="str">
        <f aca="false">IF(F562="","",K562-B562)</f>
        <v/>
      </c>
      <c r="M562" s="30" t="str">
        <f aca="false">IF(F562="","",L562-J562)</f>
        <v/>
      </c>
      <c r="N562" s="32" t="str">
        <f aca="false">IF(F562="","",IF(H562&lt;&gt;"","Kapandı",IF('Vade Sapması'!$D$3&gt;G562,"Açık · vadesi geçti","Açık · vadesi gelmedi")))</f>
        <v/>
      </c>
      <c r="O562" s="30" t="str">
        <f aca="false">IF(F562="","",IF(AND(H562="",'Vade Sapması'!$D$3&gt;G562),'Vade Sapması'!$D$3-G562,0))</f>
        <v/>
      </c>
      <c r="P562" s="33" t="str">
        <f aca="false">IF(F562="","",F562*J562)</f>
        <v/>
      </c>
      <c r="Q562" s="33" t="str">
        <f aca="false">IF(F562="","",F562*L562)</f>
        <v/>
      </c>
      <c r="R562" s="33" t="str">
        <f aca="false">IF(F562="","",IF(H562="",F562,0))</f>
        <v/>
      </c>
      <c r="S562" s="32" t="str">
        <f aca="false">IF(F562="","",IF(N(O562)=0,"",IF(O562&lt;=30,"1-30",IF(O562&lt;=60,"31-60",IF(O562&lt;=90,"61-90","90+")))))</f>
        <v/>
      </c>
      <c r="T562" s="32" t="str">
        <f aca="false">IF(F562="","",IF(E562="","Diğer",E562))</f>
        <v/>
      </c>
      <c r="U562" s="32" t="str">
        <f aca="false">IF(OR(F562="",C562=""),"",IF(COUNTIF($C$2:C562,C562)=1,MAX($U$1:U561)+1,""))</f>
        <v/>
      </c>
    </row>
    <row r="563" customFormat="false" ht="15" hidden="false" customHeight="false" outlineLevel="0" collapsed="false">
      <c r="A563" s="34"/>
      <c r="B563" s="9"/>
      <c r="C563" s="34"/>
      <c r="D563" s="34"/>
      <c r="E563" s="34"/>
      <c r="F563" s="35"/>
      <c r="G563" s="9"/>
      <c r="H563" s="9"/>
      <c r="I563" s="34"/>
      <c r="J563" s="30" t="str">
        <f aca="false">IF(F563="","",G563-B563)</f>
        <v/>
      </c>
      <c r="K563" s="31" t="str">
        <f aca="false">IF(F563="","",IF(H563&lt;&gt;"",H563,MAX('Vade Sapması'!$D$3,G563)))</f>
        <v/>
      </c>
      <c r="L563" s="30" t="str">
        <f aca="false">IF(F563="","",K563-B563)</f>
        <v/>
      </c>
      <c r="M563" s="30" t="str">
        <f aca="false">IF(F563="","",L563-J563)</f>
        <v/>
      </c>
      <c r="N563" s="32" t="str">
        <f aca="false">IF(F563="","",IF(H563&lt;&gt;"","Kapandı",IF('Vade Sapması'!$D$3&gt;G563,"Açık · vadesi geçti","Açık · vadesi gelmedi")))</f>
        <v/>
      </c>
      <c r="O563" s="30" t="str">
        <f aca="false">IF(F563="","",IF(AND(H563="",'Vade Sapması'!$D$3&gt;G563),'Vade Sapması'!$D$3-G563,0))</f>
        <v/>
      </c>
      <c r="P563" s="33" t="str">
        <f aca="false">IF(F563="","",F563*J563)</f>
        <v/>
      </c>
      <c r="Q563" s="33" t="str">
        <f aca="false">IF(F563="","",F563*L563)</f>
        <v/>
      </c>
      <c r="R563" s="33" t="str">
        <f aca="false">IF(F563="","",IF(H563="",F563,0))</f>
        <v/>
      </c>
      <c r="S563" s="32" t="str">
        <f aca="false">IF(F563="","",IF(N(O563)=0,"",IF(O563&lt;=30,"1-30",IF(O563&lt;=60,"31-60",IF(O563&lt;=90,"61-90","90+")))))</f>
        <v/>
      </c>
      <c r="T563" s="32" t="str">
        <f aca="false">IF(F563="","",IF(E563="","Diğer",E563))</f>
        <v/>
      </c>
      <c r="U563" s="32" t="str">
        <f aca="false">IF(OR(F563="",C563=""),"",IF(COUNTIF($C$2:C563,C563)=1,MAX($U$1:U562)+1,""))</f>
        <v/>
      </c>
    </row>
    <row r="564" customFormat="false" ht="15" hidden="false" customHeight="false" outlineLevel="0" collapsed="false">
      <c r="A564" s="34"/>
      <c r="B564" s="9"/>
      <c r="C564" s="34"/>
      <c r="D564" s="34"/>
      <c r="E564" s="34"/>
      <c r="F564" s="35"/>
      <c r="G564" s="9"/>
      <c r="H564" s="9"/>
      <c r="I564" s="34"/>
      <c r="J564" s="30" t="str">
        <f aca="false">IF(F564="","",G564-B564)</f>
        <v/>
      </c>
      <c r="K564" s="31" t="str">
        <f aca="false">IF(F564="","",IF(H564&lt;&gt;"",H564,MAX('Vade Sapması'!$D$3,G564)))</f>
        <v/>
      </c>
      <c r="L564" s="30" t="str">
        <f aca="false">IF(F564="","",K564-B564)</f>
        <v/>
      </c>
      <c r="M564" s="30" t="str">
        <f aca="false">IF(F564="","",L564-J564)</f>
        <v/>
      </c>
      <c r="N564" s="32" t="str">
        <f aca="false">IF(F564="","",IF(H564&lt;&gt;"","Kapandı",IF('Vade Sapması'!$D$3&gt;G564,"Açık · vadesi geçti","Açık · vadesi gelmedi")))</f>
        <v/>
      </c>
      <c r="O564" s="30" t="str">
        <f aca="false">IF(F564="","",IF(AND(H564="",'Vade Sapması'!$D$3&gt;G564),'Vade Sapması'!$D$3-G564,0))</f>
        <v/>
      </c>
      <c r="P564" s="33" t="str">
        <f aca="false">IF(F564="","",F564*J564)</f>
        <v/>
      </c>
      <c r="Q564" s="33" t="str">
        <f aca="false">IF(F564="","",F564*L564)</f>
        <v/>
      </c>
      <c r="R564" s="33" t="str">
        <f aca="false">IF(F564="","",IF(H564="",F564,0))</f>
        <v/>
      </c>
      <c r="S564" s="32" t="str">
        <f aca="false">IF(F564="","",IF(N(O564)=0,"",IF(O564&lt;=30,"1-30",IF(O564&lt;=60,"31-60",IF(O564&lt;=90,"61-90","90+")))))</f>
        <v/>
      </c>
      <c r="T564" s="32" t="str">
        <f aca="false">IF(F564="","",IF(E564="","Diğer",E564))</f>
        <v/>
      </c>
      <c r="U564" s="32" t="str">
        <f aca="false">IF(OR(F564="",C564=""),"",IF(COUNTIF($C$2:C564,C564)=1,MAX($U$1:U563)+1,""))</f>
        <v/>
      </c>
    </row>
    <row r="565" customFormat="false" ht="15" hidden="false" customHeight="false" outlineLevel="0" collapsed="false">
      <c r="A565" s="34"/>
      <c r="B565" s="9"/>
      <c r="C565" s="34"/>
      <c r="D565" s="34"/>
      <c r="E565" s="34"/>
      <c r="F565" s="35"/>
      <c r="G565" s="9"/>
      <c r="H565" s="9"/>
      <c r="I565" s="34"/>
      <c r="J565" s="30" t="str">
        <f aca="false">IF(F565="","",G565-B565)</f>
        <v/>
      </c>
      <c r="K565" s="31" t="str">
        <f aca="false">IF(F565="","",IF(H565&lt;&gt;"",H565,MAX('Vade Sapması'!$D$3,G565)))</f>
        <v/>
      </c>
      <c r="L565" s="30" t="str">
        <f aca="false">IF(F565="","",K565-B565)</f>
        <v/>
      </c>
      <c r="M565" s="30" t="str">
        <f aca="false">IF(F565="","",L565-J565)</f>
        <v/>
      </c>
      <c r="N565" s="32" t="str">
        <f aca="false">IF(F565="","",IF(H565&lt;&gt;"","Kapandı",IF('Vade Sapması'!$D$3&gt;G565,"Açık · vadesi geçti","Açık · vadesi gelmedi")))</f>
        <v/>
      </c>
      <c r="O565" s="30" t="str">
        <f aca="false">IF(F565="","",IF(AND(H565="",'Vade Sapması'!$D$3&gt;G565),'Vade Sapması'!$D$3-G565,0))</f>
        <v/>
      </c>
      <c r="P565" s="33" t="str">
        <f aca="false">IF(F565="","",F565*J565)</f>
        <v/>
      </c>
      <c r="Q565" s="33" t="str">
        <f aca="false">IF(F565="","",F565*L565)</f>
        <v/>
      </c>
      <c r="R565" s="33" t="str">
        <f aca="false">IF(F565="","",IF(H565="",F565,0))</f>
        <v/>
      </c>
      <c r="S565" s="32" t="str">
        <f aca="false">IF(F565="","",IF(N(O565)=0,"",IF(O565&lt;=30,"1-30",IF(O565&lt;=60,"31-60",IF(O565&lt;=90,"61-90","90+")))))</f>
        <v/>
      </c>
      <c r="T565" s="32" t="str">
        <f aca="false">IF(F565="","",IF(E565="","Diğer",E565))</f>
        <v/>
      </c>
      <c r="U565" s="32" t="str">
        <f aca="false">IF(OR(F565="",C565=""),"",IF(COUNTIF($C$2:C565,C565)=1,MAX($U$1:U564)+1,""))</f>
        <v/>
      </c>
    </row>
    <row r="566" customFormat="false" ht="15" hidden="false" customHeight="false" outlineLevel="0" collapsed="false">
      <c r="A566" s="34"/>
      <c r="B566" s="9"/>
      <c r="C566" s="34"/>
      <c r="D566" s="34"/>
      <c r="E566" s="34"/>
      <c r="F566" s="35"/>
      <c r="G566" s="9"/>
      <c r="H566" s="9"/>
      <c r="I566" s="34"/>
      <c r="J566" s="30" t="str">
        <f aca="false">IF(F566="","",G566-B566)</f>
        <v/>
      </c>
      <c r="K566" s="31" t="str">
        <f aca="false">IF(F566="","",IF(H566&lt;&gt;"",H566,MAX('Vade Sapması'!$D$3,G566)))</f>
        <v/>
      </c>
      <c r="L566" s="30" t="str">
        <f aca="false">IF(F566="","",K566-B566)</f>
        <v/>
      </c>
      <c r="M566" s="30" t="str">
        <f aca="false">IF(F566="","",L566-J566)</f>
        <v/>
      </c>
      <c r="N566" s="32" t="str">
        <f aca="false">IF(F566="","",IF(H566&lt;&gt;"","Kapandı",IF('Vade Sapması'!$D$3&gt;G566,"Açık · vadesi geçti","Açık · vadesi gelmedi")))</f>
        <v/>
      </c>
      <c r="O566" s="30" t="str">
        <f aca="false">IF(F566="","",IF(AND(H566="",'Vade Sapması'!$D$3&gt;G566),'Vade Sapması'!$D$3-G566,0))</f>
        <v/>
      </c>
      <c r="P566" s="33" t="str">
        <f aca="false">IF(F566="","",F566*J566)</f>
        <v/>
      </c>
      <c r="Q566" s="33" t="str">
        <f aca="false">IF(F566="","",F566*L566)</f>
        <v/>
      </c>
      <c r="R566" s="33" t="str">
        <f aca="false">IF(F566="","",IF(H566="",F566,0))</f>
        <v/>
      </c>
      <c r="S566" s="32" t="str">
        <f aca="false">IF(F566="","",IF(N(O566)=0,"",IF(O566&lt;=30,"1-30",IF(O566&lt;=60,"31-60",IF(O566&lt;=90,"61-90","90+")))))</f>
        <v/>
      </c>
      <c r="T566" s="32" t="str">
        <f aca="false">IF(F566="","",IF(E566="","Diğer",E566))</f>
        <v/>
      </c>
      <c r="U566" s="32" t="str">
        <f aca="false">IF(OR(F566="",C566=""),"",IF(COUNTIF($C$2:C566,C566)=1,MAX($U$1:U565)+1,""))</f>
        <v/>
      </c>
    </row>
    <row r="567" customFormat="false" ht="15" hidden="false" customHeight="false" outlineLevel="0" collapsed="false">
      <c r="A567" s="34"/>
      <c r="B567" s="9"/>
      <c r="C567" s="34"/>
      <c r="D567" s="34"/>
      <c r="E567" s="34"/>
      <c r="F567" s="35"/>
      <c r="G567" s="9"/>
      <c r="H567" s="9"/>
      <c r="I567" s="34"/>
      <c r="J567" s="30" t="str">
        <f aca="false">IF(F567="","",G567-B567)</f>
        <v/>
      </c>
      <c r="K567" s="31" t="str">
        <f aca="false">IF(F567="","",IF(H567&lt;&gt;"",H567,MAX('Vade Sapması'!$D$3,G567)))</f>
        <v/>
      </c>
      <c r="L567" s="30" t="str">
        <f aca="false">IF(F567="","",K567-B567)</f>
        <v/>
      </c>
      <c r="M567" s="30" t="str">
        <f aca="false">IF(F567="","",L567-J567)</f>
        <v/>
      </c>
      <c r="N567" s="32" t="str">
        <f aca="false">IF(F567="","",IF(H567&lt;&gt;"","Kapandı",IF('Vade Sapması'!$D$3&gt;G567,"Açık · vadesi geçti","Açık · vadesi gelmedi")))</f>
        <v/>
      </c>
      <c r="O567" s="30" t="str">
        <f aca="false">IF(F567="","",IF(AND(H567="",'Vade Sapması'!$D$3&gt;G567),'Vade Sapması'!$D$3-G567,0))</f>
        <v/>
      </c>
      <c r="P567" s="33" t="str">
        <f aca="false">IF(F567="","",F567*J567)</f>
        <v/>
      </c>
      <c r="Q567" s="33" t="str">
        <f aca="false">IF(F567="","",F567*L567)</f>
        <v/>
      </c>
      <c r="R567" s="33" t="str">
        <f aca="false">IF(F567="","",IF(H567="",F567,0))</f>
        <v/>
      </c>
      <c r="S567" s="32" t="str">
        <f aca="false">IF(F567="","",IF(N(O567)=0,"",IF(O567&lt;=30,"1-30",IF(O567&lt;=60,"31-60",IF(O567&lt;=90,"61-90","90+")))))</f>
        <v/>
      </c>
      <c r="T567" s="32" t="str">
        <f aca="false">IF(F567="","",IF(E567="","Diğer",E567))</f>
        <v/>
      </c>
      <c r="U567" s="32" t="str">
        <f aca="false">IF(OR(F567="",C567=""),"",IF(COUNTIF($C$2:C567,C567)=1,MAX($U$1:U566)+1,""))</f>
        <v/>
      </c>
    </row>
    <row r="568" customFormat="false" ht="15" hidden="false" customHeight="false" outlineLevel="0" collapsed="false">
      <c r="A568" s="34"/>
      <c r="B568" s="9"/>
      <c r="C568" s="34"/>
      <c r="D568" s="34"/>
      <c r="E568" s="34"/>
      <c r="F568" s="35"/>
      <c r="G568" s="9"/>
      <c r="H568" s="9"/>
      <c r="I568" s="34"/>
      <c r="J568" s="30" t="str">
        <f aca="false">IF(F568="","",G568-B568)</f>
        <v/>
      </c>
      <c r="K568" s="31" t="str">
        <f aca="false">IF(F568="","",IF(H568&lt;&gt;"",H568,MAX('Vade Sapması'!$D$3,G568)))</f>
        <v/>
      </c>
      <c r="L568" s="30" t="str">
        <f aca="false">IF(F568="","",K568-B568)</f>
        <v/>
      </c>
      <c r="M568" s="30" t="str">
        <f aca="false">IF(F568="","",L568-J568)</f>
        <v/>
      </c>
      <c r="N568" s="32" t="str">
        <f aca="false">IF(F568="","",IF(H568&lt;&gt;"","Kapandı",IF('Vade Sapması'!$D$3&gt;G568,"Açık · vadesi geçti","Açık · vadesi gelmedi")))</f>
        <v/>
      </c>
      <c r="O568" s="30" t="str">
        <f aca="false">IF(F568="","",IF(AND(H568="",'Vade Sapması'!$D$3&gt;G568),'Vade Sapması'!$D$3-G568,0))</f>
        <v/>
      </c>
      <c r="P568" s="33" t="str">
        <f aca="false">IF(F568="","",F568*J568)</f>
        <v/>
      </c>
      <c r="Q568" s="33" t="str">
        <f aca="false">IF(F568="","",F568*L568)</f>
        <v/>
      </c>
      <c r="R568" s="33" t="str">
        <f aca="false">IF(F568="","",IF(H568="",F568,0))</f>
        <v/>
      </c>
      <c r="S568" s="32" t="str">
        <f aca="false">IF(F568="","",IF(N(O568)=0,"",IF(O568&lt;=30,"1-30",IF(O568&lt;=60,"31-60",IF(O568&lt;=90,"61-90","90+")))))</f>
        <v/>
      </c>
      <c r="T568" s="32" t="str">
        <f aca="false">IF(F568="","",IF(E568="","Diğer",E568))</f>
        <v/>
      </c>
      <c r="U568" s="32" t="str">
        <f aca="false">IF(OR(F568="",C568=""),"",IF(COUNTIF($C$2:C568,C568)=1,MAX($U$1:U567)+1,""))</f>
        <v/>
      </c>
    </row>
    <row r="569" customFormat="false" ht="15" hidden="false" customHeight="false" outlineLevel="0" collapsed="false">
      <c r="A569" s="34"/>
      <c r="B569" s="9"/>
      <c r="C569" s="34"/>
      <c r="D569" s="34"/>
      <c r="E569" s="34"/>
      <c r="F569" s="35"/>
      <c r="G569" s="9"/>
      <c r="H569" s="9"/>
      <c r="I569" s="34"/>
      <c r="J569" s="30" t="str">
        <f aca="false">IF(F569="","",G569-B569)</f>
        <v/>
      </c>
      <c r="K569" s="31" t="str">
        <f aca="false">IF(F569="","",IF(H569&lt;&gt;"",H569,MAX('Vade Sapması'!$D$3,G569)))</f>
        <v/>
      </c>
      <c r="L569" s="30" t="str">
        <f aca="false">IF(F569="","",K569-B569)</f>
        <v/>
      </c>
      <c r="M569" s="30" t="str">
        <f aca="false">IF(F569="","",L569-J569)</f>
        <v/>
      </c>
      <c r="N569" s="32" t="str">
        <f aca="false">IF(F569="","",IF(H569&lt;&gt;"","Kapandı",IF('Vade Sapması'!$D$3&gt;G569,"Açık · vadesi geçti","Açık · vadesi gelmedi")))</f>
        <v/>
      </c>
      <c r="O569" s="30" t="str">
        <f aca="false">IF(F569="","",IF(AND(H569="",'Vade Sapması'!$D$3&gt;G569),'Vade Sapması'!$D$3-G569,0))</f>
        <v/>
      </c>
      <c r="P569" s="33" t="str">
        <f aca="false">IF(F569="","",F569*J569)</f>
        <v/>
      </c>
      <c r="Q569" s="33" t="str">
        <f aca="false">IF(F569="","",F569*L569)</f>
        <v/>
      </c>
      <c r="R569" s="33" t="str">
        <f aca="false">IF(F569="","",IF(H569="",F569,0))</f>
        <v/>
      </c>
      <c r="S569" s="32" t="str">
        <f aca="false">IF(F569="","",IF(N(O569)=0,"",IF(O569&lt;=30,"1-30",IF(O569&lt;=60,"31-60",IF(O569&lt;=90,"61-90","90+")))))</f>
        <v/>
      </c>
      <c r="T569" s="32" t="str">
        <f aca="false">IF(F569="","",IF(E569="","Diğer",E569))</f>
        <v/>
      </c>
      <c r="U569" s="32" t="str">
        <f aca="false">IF(OR(F569="",C569=""),"",IF(COUNTIF($C$2:C569,C569)=1,MAX($U$1:U568)+1,""))</f>
        <v/>
      </c>
    </row>
    <row r="570" customFormat="false" ht="15" hidden="false" customHeight="false" outlineLevel="0" collapsed="false">
      <c r="A570" s="34"/>
      <c r="B570" s="9"/>
      <c r="C570" s="34"/>
      <c r="D570" s="34"/>
      <c r="E570" s="34"/>
      <c r="F570" s="35"/>
      <c r="G570" s="9"/>
      <c r="H570" s="9"/>
      <c r="I570" s="34"/>
      <c r="J570" s="30" t="str">
        <f aca="false">IF(F570="","",G570-B570)</f>
        <v/>
      </c>
      <c r="K570" s="31" t="str">
        <f aca="false">IF(F570="","",IF(H570&lt;&gt;"",H570,MAX('Vade Sapması'!$D$3,G570)))</f>
        <v/>
      </c>
      <c r="L570" s="30" t="str">
        <f aca="false">IF(F570="","",K570-B570)</f>
        <v/>
      </c>
      <c r="M570" s="30" t="str">
        <f aca="false">IF(F570="","",L570-J570)</f>
        <v/>
      </c>
      <c r="N570" s="32" t="str">
        <f aca="false">IF(F570="","",IF(H570&lt;&gt;"","Kapandı",IF('Vade Sapması'!$D$3&gt;G570,"Açık · vadesi geçti","Açık · vadesi gelmedi")))</f>
        <v/>
      </c>
      <c r="O570" s="30" t="str">
        <f aca="false">IF(F570="","",IF(AND(H570="",'Vade Sapması'!$D$3&gt;G570),'Vade Sapması'!$D$3-G570,0))</f>
        <v/>
      </c>
      <c r="P570" s="33" t="str">
        <f aca="false">IF(F570="","",F570*J570)</f>
        <v/>
      </c>
      <c r="Q570" s="33" t="str">
        <f aca="false">IF(F570="","",F570*L570)</f>
        <v/>
      </c>
      <c r="R570" s="33" t="str">
        <f aca="false">IF(F570="","",IF(H570="",F570,0))</f>
        <v/>
      </c>
      <c r="S570" s="32" t="str">
        <f aca="false">IF(F570="","",IF(N(O570)=0,"",IF(O570&lt;=30,"1-30",IF(O570&lt;=60,"31-60",IF(O570&lt;=90,"61-90","90+")))))</f>
        <v/>
      </c>
      <c r="T570" s="32" t="str">
        <f aca="false">IF(F570="","",IF(E570="","Diğer",E570))</f>
        <v/>
      </c>
      <c r="U570" s="32" t="str">
        <f aca="false">IF(OR(F570="",C570=""),"",IF(COUNTIF($C$2:C570,C570)=1,MAX($U$1:U569)+1,""))</f>
        <v/>
      </c>
    </row>
    <row r="571" customFormat="false" ht="15" hidden="false" customHeight="false" outlineLevel="0" collapsed="false">
      <c r="A571" s="34"/>
      <c r="B571" s="9"/>
      <c r="C571" s="34"/>
      <c r="D571" s="34"/>
      <c r="E571" s="34"/>
      <c r="F571" s="35"/>
      <c r="G571" s="9"/>
      <c r="H571" s="9"/>
      <c r="I571" s="34"/>
      <c r="J571" s="30" t="str">
        <f aca="false">IF(F571="","",G571-B571)</f>
        <v/>
      </c>
      <c r="K571" s="31" t="str">
        <f aca="false">IF(F571="","",IF(H571&lt;&gt;"",H571,MAX('Vade Sapması'!$D$3,G571)))</f>
        <v/>
      </c>
      <c r="L571" s="30" t="str">
        <f aca="false">IF(F571="","",K571-B571)</f>
        <v/>
      </c>
      <c r="M571" s="30" t="str">
        <f aca="false">IF(F571="","",L571-J571)</f>
        <v/>
      </c>
      <c r="N571" s="32" t="str">
        <f aca="false">IF(F571="","",IF(H571&lt;&gt;"","Kapandı",IF('Vade Sapması'!$D$3&gt;G571,"Açık · vadesi geçti","Açık · vadesi gelmedi")))</f>
        <v/>
      </c>
      <c r="O571" s="30" t="str">
        <f aca="false">IF(F571="","",IF(AND(H571="",'Vade Sapması'!$D$3&gt;G571),'Vade Sapması'!$D$3-G571,0))</f>
        <v/>
      </c>
      <c r="P571" s="33" t="str">
        <f aca="false">IF(F571="","",F571*J571)</f>
        <v/>
      </c>
      <c r="Q571" s="33" t="str">
        <f aca="false">IF(F571="","",F571*L571)</f>
        <v/>
      </c>
      <c r="R571" s="33" t="str">
        <f aca="false">IF(F571="","",IF(H571="",F571,0))</f>
        <v/>
      </c>
      <c r="S571" s="32" t="str">
        <f aca="false">IF(F571="","",IF(N(O571)=0,"",IF(O571&lt;=30,"1-30",IF(O571&lt;=60,"31-60",IF(O571&lt;=90,"61-90","90+")))))</f>
        <v/>
      </c>
      <c r="T571" s="32" t="str">
        <f aca="false">IF(F571="","",IF(E571="","Diğer",E571))</f>
        <v/>
      </c>
      <c r="U571" s="32" t="str">
        <f aca="false">IF(OR(F571="",C571=""),"",IF(COUNTIF($C$2:C571,C571)=1,MAX($U$1:U570)+1,""))</f>
        <v/>
      </c>
    </row>
    <row r="572" customFormat="false" ht="15" hidden="false" customHeight="false" outlineLevel="0" collapsed="false">
      <c r="A572" s="34"/>
      <c r="B572" s="9"/>
      <c r="C572" s="34"/>
      <c r="D572" s="34"/>
      <c r="E572" s="34"/>
      <c r="F572" s="35"/>
      <c r="G572" s="9"/>
      <c r="H572" s="9"/>
      <c r="I572" s="34"/>
      <c r="J572" s="30" t="str">
        <f aca="false">IF(F572="","",G572-B572)</f>
        <v/>
      </c>
      <c r="K572" s="31" t="str">
        <f aca="false">IF(F572="","",IF(H572&lt;&gt;"",H572,MAX('Vade Sapması'!$D$3,G572)))</f>
        <v/>
      </c>
      <c r="L572" s="30" t="str">
        <f aca="false">IF(F572="","",K572-B572)</f>
        <v/>
      </c>
      <c r="M572" s="30" t="str">
        <f aca="false">IF(F572="","",L572-J572)</f>
        <v/>
      </c>
      <c r="N572" s="32" t="str">
        <f aca="false">IF(F572="","",IF(H572&lt;&gt;"","Kapandı",IF('Vade Sapması'!$D$3&gt;G572,"Açık · vadesi geçti","Açık · vadesi gelmedi")))</f>
        <v/>
      </c>
      <c r="O572" s="30" t="str">
        <f aca="false">IF(F572="","",IF(AND(H572="",'Vade Sapması'!$D$3&gt;G572),'Vade Sapması'!$D$3-G572,0))</f>
        <v/>
      </c>
      <c r="P572" s="33" t="str">
        <f aca="false">IF(F572="","",F572*J572)</f>
        <v/>
      </c>
      <c r="Q572" s="33" t="str">
        <f aca="false">IF(F572="","",F572*L572)</f>
        <v/>
      </c>
      <c r="R572" s="33" t="str">
        <f aca="false">IF(F572="","",IF(H572="",F572,0))</f>
        <v/>
      </c>
      <c r="S572" s="32" t="str">
        <f aca="false">IF(F572="","",IF(N(O572)=0,"",IF(O572&lt;=30,"1-30",IF(O572&lt;=60,"31-60",IF(O572&lt;=90,"61-90","90+")))))</f>
        <v/>
      </c>
      <c r="T572" s="32" t="str">
        <f aca="false">IF(F572="","",IF(E572="","Diğer",E572))</f>
        <v/>
      </c>
      <c r="U572" s="32" t="str">
        <f aca="false">IF(OR(F572="",C572=""),"",IF(COUNTIF($C$2:C572,C572)=1,MAX($U$1:U571)+1,""))</f>
        <v/>
      </c>
    </row>
    <row r="573" customFormat="false" ht="15" hidden="false" customHeight="false" outlineLevel="0" collapsed="false">
      <c r="A573" s="34"/>
      <c r="B573" s="9"/>
      <c r="C573" s="34"/>
      <c r="D573" s="34"/>
      <c r="E573" s="34"/>
      <c r="F573" s="35"/>
      <c r="G573" s="9"/>
      <c r="H573" s="9"/>
      <c r="I573" s="34"/>
      <c r="J573" s="30" t="str">
        <f aca="false">IF(F573="","",G573-B573)</f>
        <v/>
      </c>
      <c r="K573" s="31" t="str">
        <f aca="false">IF(F573="","",IF(H573&lt;&gt;"",H573,MAX('Vade Sapması'!$D$3,G573)))</f>
        <v/>
      </c>
      <c r="L573" s="30" t="str">
        <f aca="false">IF(F573="","",K573-B573)</f>
        <v/>
      </c>
      <c r="M573" s="30" t="str">
        <f aca="false">IF(F573="","",L573-J573)</f>
        <v/>
      </c>
      <c r="N573" s="32" t="str">
        <f aca="false">IF(F573="","",IF(H573&lt;&gt;"","Kapandı",IF('Vade Sapması'!$D$3&gt;G573,"Açık · vadesi geçti","Açık · vadesi gelmedi")))</f>
        <v/>
      </c>
      <c r="O573" s="30" t="str">
        <f aca="false">IF(F573="","",IF(AND(H573="",'Vade Sapması'!$D$3&gt;G573),'Vade Sapması'!$D$3-G573,0))</f>
        <v/>
      </c>
      <c r="P573" s="33" t="str">
        <f aca="false">IF(F573="","",F573*J573)</f>
        <v/>
      </c>
      <c r="Q573" s="33" t="str">
        <f aca="false">IF(F573="","",F573*L573)</f>
        <v/>
      </c>
      <c r="R573" s="33" t="str">
        <f aca="false">IF(F573="","",IF(H573="",F573,0))</f>
        <v/>
      </c>
      <c r="S573" s="32" t="str">
        <f aca="false">IF(F573="","",IF(N(O573)=0,"",IF(O573&lt;=30,"1-30",IF(O573&lt;=60,"31-60",IF(O573&lt;=90,"61-90","90+")))))</f>
        <v/>
      </c>
      <c r="T573" s="32" t="str">
        <f aca="false">IF(F573="","",IF(E573="","Diğer",E573))</f>
        <v/>
      </c>
      <c r="U573" s="32" t="str">
        <f aca="false">IF(OR(F573="",C573=""),"",IF(COUNTIF($C$2:C573,C573)=1,MAX($U$1:U572)+1,""))</f>
        <v/>
      </c>
    </row>
    <row r="574" customFormat="false" ht="15" hidden="false" customHeight="false" outlineLevel="0" collapsed="false">
      <c r="A574" s="34"/>
      <c r="B574" s="9"/>
      <c r="C574" s="34"/>
      <c r="D574" s="34"/>
      <c r="E574" s="34"/>
      <c r="F574" s="35"/>
      <c r="G574" s="9"/>
      <c r="H574" s="9"/>
      <c r="I574" s="34"/>
      <c r="J574" s="30" t="str">
        <f aca="false">IF(F574="","",G574-B574)</f>
        <v/>
      </c>
      <c r="K574" s="31" t="str">
        <f aca="false">IF(F574="","",IF(H574&lt;&gt;"",H574,MAX('Vade Sapması'!$D$3,G574)))</f>
        <v/>
      </c>
      <c r="L574" s="30" t="str">
        <f aca="false">IF(F574="","",K574-B574)</f>
        <v/>
      </c>
      <c r="M574" s="30" t="str">
        <f aca="false">IF(F574="","",L574-J574)</f>
        <v/>
      </c>
      <c r="N574" s="32" t="str">
        <f aca="false">IF(F574="","",IF(H574&lt;&gt;"","Kapandı",IF('Vade Sapması'!$D$3&gt;G574,"Açık · vadesi geçti","Açık · vadesi gelmedi")))</f>
        <v/>
      </c>
      <c r="O574" s="30" t="str">
        <f aca="false">IF(F574="","",IF(AND(H574="",'Vade Sapması'!$D$3&gt;G574),'Vade Sapması'!$D$3-G574,0))</f>
        <v/>
      </c>
      <c r="P574" s="33" t="str">
        <f aca="false">IF(F574="","",F574*J574)</f>
        <v/>
      </c>
      <c r="Q574" s="33" t="str">
        <f aca="false">IF(F574="","",F574*L574)</f>
        <v/>
      </c>
      <c r="R574" s="33" t="str">
        <f aca="false">IF(F574="","",IF(H574="",F574,0))</f>
        <v/>
      </c>
      <c r="S574" s="32" t="str">
        <f aca="false">IF(F574="","",IF(N(O574)=0,"",IF(O574&lt;=30,"1-30",IF(O574&lt;=60,"31-60",IF(O574&lt;=90,"61-90","90+")))))</f>
        <v/>
      </c>
      <c r="T574" s="32" t="str">
        <f aca="false">IF(F574="","",IF(E574="","Diğer",E574))</f>
        <v/>
      </c>
      <c r="U574" s="32" t="str">
        <f aca="false">IF(OR(F574="",C574=""),"",IF(COUNTIF($C$2:C574,C574)=1,MAX($U$1:U573)+1,""))</f>
        <v/>
      </c>
    </row>
    <row r="575" customFormat="false" ht="15" hidden="false" customHeight="false" outlineLevel="0" collapsed="false">
      <c r="A575" s="34"/>
      <c r="B575" s="9"/>
      <c r="C575" s="34"/>
      <c r="D575" s="34"/>
      <c r="E575" s="34"/>
      <c r="F575" s="35"/>
      <c r="G575" s="9"/>
      <c r="H575" s="9"/>
      <c r="I575" s="34"/>
      <c r="J575" s="30" t="str">
        <f aca="false">IF(F575="","",G575-B575)</f>
        <v/>
      </c>
      <c r="K575" s="31" t="str">
        <f aca="false">IF(F575="","",IF(H575&lt;&gt;"",H575,MAX('Vade Sapması'!$D$3,G575)))</f>
        <v/>
      </c>
      <c r="L575" s="30" t="str">
        <f aca="false">IF(F575="","",K575-B575)</f>
        <v/>
      </c>
      <c r="M575" s="30" t="str">
        <f aca="false">IF(F575="","",L575-J575)</f>
        <v/>
      </c>
      <c r="N575" s="32" t="str">
        <f aca="false">IF(F575="","",IF(H575&lt;&gt;"","Kapandı",IF('Vade Sapması'!$D$3&gt;G575,"Açık · vadesi geçti","Açık · vadesi gelmedi")))</f>
        <v/>
      </c>
      <c r="O575" s="30" t="str">
        <f aca="false">IF(F575="","",IF(AND(H575="",'Vade Sapması'!$D$3&gt;G575),'Vade Sapması'!$D$3-G575,0))</f>
        <v/>
      </c>
      <c r="P575" s="33" t="str">
        <f aca="false">IF(F575="","",F575*J575)</f>
        <v/>
      </c>
      <c r="Q575" s="33" t="str">
        <f aca="false">IF(F575="","",F575*L575)</f>
        <v/>
      </c>
      <c r="R575" s="33" t="str">
        <f aca="false">IF(F575="","",IF(H575="",F575,0))</f>
        <v/>
      </c>
      <c r="S575" s="32" t="str">
        <f aca="false">IF(F575="","",IF(N(O575)=0,"",IF(O575&lt;=30,"1-30",IF(O575&lt;=60,"31-60",IF(O575&lt;=90,"61-90","90+")))))</f>
        <v/>
      </c>
      <c r="T575" s="32" t="str">
        <f aca="false">IF(F575="","",IF(E575="","Diğer",E575))</f>
        <v/>
      </c>
      <c r="U575" s="32" t="str">
        <f aca="false">IF(OR(F575="",C575=""),"",IF(COUNTIF($C$2:C575,C575)=1,MAX($U$1:U574)+1,""))</f>
        <v/>
      </c>
    </row>
    <row r="576" customFormat="false" ht="15" hidden="false" customHeight="false" outlineLevel="0" collapsed="false">
      <c r="A576" s="34"/>
      <c r="B576" s="9"/>
      <c r="C576" s="34"/>
      <c r="D576" s="34"/>
      <c r="E576" s="34"/>
      <c r="F576" s="35"/>
      <c r="G576" s="9"/>
      <c r="H576" s="9"/>
      <c r="I576" s="34"/>
      <c r="J576" s="30" t="str">
        <f aca="false">IF(F576="","",G576-B576)</f>
        <v/>
      </c>
      <c r="K576" s="31" t="str">
        <f aca="false">IF(F576="","",IF(H576&lt;&gt;"",H576,MAX('Vade Sapması'!$D$3,G576)))</f>
        <v/>
      </c>
      <c r="L576" s="30" t="str">
        <f aca="false">IF(F576="","",K576-B576)</f>
        <v/>
      </c>
      <c r="M576" s="30" t="str">
        <f aca="false">IF(F576="","",L576-J576)</f>
        <v/>
      </c>
      <c r="N576" s="32" t="str">
        <f aca="false">IF(F576="","",IF(H576&lt;&gt;"","Kapandı",IF('Vade Sapması'!$D$3&gt;G576,"Açık · vadesi geçti","Açık · vadesi gelmedi")))</f>
        <v/>
      </c>
      <c r="O576" s="30" t="str">
        <f aca="false">IF(F576="","",IF(AND(H576="",'Vade Sapması'!$D$3&gt;G576),'Vade Sapması'!$D$3-G576,0))</f>
        <v/>
      </c>
      <c r="P576" s="33" t="str">
        <f aca="false">IF(F576="","",F576*J576)</f>
        <v/>
      </c>
      <c r="Q576" s="33" t="str">
        <f aca="false">IF(F576="","",F576*L576)</f>
        <v/>
      </c>
      <c r="R576" s="33" t="str">
        <f aca="false">IF(F576="","",IF(H576="",F576,0))</f>
        <v/>
      </c>
      <c r="S576" s="32" t="str">
        <f aca="false">IF(F576="","",IF(N(O576)=0,"",IF(O576&lt;=30,"1-30",IF(O576&lt;=60,"31-60",IF(O576&lt;=90,"61-90","90+")))))</f>
        <v/>
      </c>
      <c r="T576" s="32" t="str">
        <f aca="false">IF(F576="","",IF(E576="","Diğer",E576))</f>
        <v/>
      </c>
      <c r="U576" s="32" t="str">
        <f aca="false">IF(OR(F576="",C576=""),"",IF(COUNTIF($C$2:C576,C576)=1,MAX($U$1:U575)+1,""))</f>
        <v/>
      </c>
    </row>
    <row r="577" customFormat="false" ht="15" hidden="false" customHeight="false" outlineLevel="0" collapsed="false">
      <c r="A577" s="34"/>
      <c r="B577" s="9"/>
      <c r="C577" s="34"/>
      <c r="D577" s="34"/>
      <c r="E577" s="34"/>
      <c r="F577" s="35"/>
      <c r="G577" s="9"/>
      <c r="H577" s="9"/>
      <c r="I577" s="34"/>
      <c r="J577" s="30" t="str">
        <f aca="false">IF(F577="","",G577-B577)</f>
        <v/>
      </c>
      <c r="K577" s="31" t="str">
        <f aca="false">IF(F577="","",IF(H577&lt;&gt;"",H577,MAX('Vade Sapması'!$D$3,G577)))</f>
        <v/>
      </c>
      <c r="L577" s="30" t="str">
        <f aca="false">IF(F577="","",K577-B577)</f>
        <v/>
      </c>
      <c r="M577" s="30" t="str">
        <f aca="false">IF(F577="","",L577-J577)</f>
        <v/>
      </c>
      <c r="N577" s="32" t="str">
        <f aca="false">IF(F577="","",IF(H577&lt;&gt;"","Kapandı",IF('Vade Sapması'!$D$3&gt;G577,"Açık · vadesi geçti","Açık · vadesi gelmedi")))</f>
        <v/>
      </c>
      <c r="O577" s="30" t="str">
        <f aca="false">IF(F577="","",IF(AND(H577="",'Vade Sapması'!$D$3&gt;G577),'Vade Sapması'!$D$3-G577,0))</f>
        <v/>
      </c>
      <c r="P577" s="33" t="str">
        <f aca="false">IF(F577="","",F577*J577)</f>
        <v/>
      </c>
      <c r="Q577" s="33" t="str">
        <f aca="false">IF(F577="","",F577*L577)</f>
        <v/>
      </c>
      <c r="R577" s="33" t="str">
        <f aca="false">IF(F577="","",IF(H577="",F577,0))</f>
        <v/>
      </c>
      <c r="S577" s="32" t="str">
        <f aca="false">IF(F577="","",IF(N(O577)=0,"",IF(O577&lt;=30,"1-30",IF(O577&lt;=60,"31-60",IF(O577&lt;=90,"61-90","90+")))))</f>
        <v/>
      </c>
      <c r="T577" s="32" t="str">
        <f aca="false">IF(F577="","",IF(E577="","Diğer",E577))</f>
        <v/>
      </c>
      <c r="U577" s="32" t="str">
        <f aca="false">IF(OR(F577="",C577=""),"",IF(COUNTIF($C$2:C577,C577)=1,MAX($U$1:U576)+1,""))</f>
        <v/>
      </c>
    </row>
    <row r="578" customFormat="false" ht="15" hidden="false" customHeight="false" outlineLevel="0" collapsed="false">
      <c r="A578" s="34"/>
      <c r="B578" s="9"/>
      <c r="C578" s="34"/>
      <c r="D578" s="34"/>
      <c r="E578" s="34"/>
      <c r="F578" s="35"/>
      <c r="G578" s="9"/>
      <c r="H578" s="9"/>
      <c r="I578" s="34"/>
      <c r="J578" s="30" t="str">
        <f aca="false">IF(F578="","",G578-B578)</f>
        <v/>
      </c>
      <c r="K578" s="31" t="str">
        <f aca="false">IF(F578="","",IF(H578&lt;&gt;"",H578,MAX('Vade Sapması'!$D$3,G578)))</f>
        <v/>
      </c>
      <c r="L578" s="30" t="str">
        <f aca="false">IF(F578="","",K578-B578)</f>
        <v/>
      </c>
      <c r="M578" s="30" t="str">
        <f aca="false">IF(F578="","",L578-J578)</f>
        <v/>
      </c>
      <c r="N578" s="32" t="str">
        <f aca="false">IF(F578="","",IF(H578&lt;&gt;"","Kapandı",IF('Vade Sapması'!$D$3&gt;G578,"Açık · vadesi geçti","Açık · vadesi gelmedi")))</f>
        <v/>
      </c>
      <c r="O578" s="30" t="str">
        <f aca="false">IF(F578="","",IF(AND(H578="",'Vade Sapması'!$D$3&gt;G578),'Vade Sapması'!$D$3-G578,0))</f>
        <v/>
      </c>
      <c r="P578" s="33" t="str">
        <f aca="false">IF(F578="","",F578*J578)</f>
        <v/>
      </c>
      <c r="Q578" s="33" t="str">
        <f aca="false">IF(F578="","",F578*L578)</f>
        <v/>
      </c>
      <c r="R578" s="33" t="str">
        <f aca="false">IF(F578="","",IF(H578="",F578,0))</f>
        <v/>
      </c>
      <c r="S578" s="32" t="str">
        <f aca="false">IF(F578="","",IF(N(O578)=0,"",IF(O578&lt;=30,"1-30",IF(O578&lt;=60,"31-60",IF(O578&lt;=90,"61-90","90+")))))</f>
        <v/>
      </c>
      <c r="T578" s="32" t="str">
        <f aca="false">IF(F578="","",IF(E578="","Diğer",E578))</f>
        <v/>
      </c>
      <c r="U578" s="32" t="str">
        <f aca="false">IF(OR(F578="",C578=""),"",IF(COUNTIF($C$2:C578,C578)=1,MAX($U$1:U577)+1,""))</f>
        <v/>
      </c>
    </row>
    <row r="579" customFormat="false" ht="15" hidden="false" customHeight="false" outlineLevel="0" collapsed="false">
      <c r="A579" s="34"/>
      <c r="B579" s="9"/>
      <c r="C579" s="34"/>
      <c r="D579" s="34"/>
      <c r="E579" s="34"/>
      <c r="F579" s="35"/>
      <c r="G579" s="9"/>
      <c r="H579" s="9"/>
      <c r="I579" s="34"/>
      <c r="J579" s="30" t="str">
        <f aca="false">IF(F579="","",G579-B579)</f>
        <v/>
      </c>
      <c r="K579" s="31" t="str">
        <f aca="false">IF(F579="","",IF(H579&lt;&gt;"",H579,MAX('Vade Sapması'!$D$3,G579)))</f>
        <v/>
      </c>
      <c r="L579" s="30" t="str">
        <f aca="false">IF(F579="","",K579-B579)</f>
        <v/>
      </c>
      <c r="M579" s="30" t="str">
        <f aca="false">IF(F579="","",L579-J579)</f>
        <v/>
      </c>
      <c r="N579" s="32" t="str">
        <f aca="false">IF(F579="","",IF(H579&lt;&gt;"","Kapandı",IF('Vade Sapması'!$D$3&gt;G579,"Açık · vadesi geçti","Açık · vadesi gelmedi")))</f>
        <v/>
      </c>
      <c r="O579" s="30" t="str">
        <f aca="false">IF(F579="","",IF(AND(H579="",'Vade Sapması'!$D$3&gt;G579),'Vade Sapması'!$D$3-G579,0))</f>
        <v/>
      </c>
      <c r="P579" s="33" t="str">
        <f aca="false">IF(F579="","",F579*J579)</f>
        <v/>
      </c>
      <c r="Q579" s="33" t="str">
        <f aca="false">IF(F579="","",F579*L579)</f>
        <v/>
      </c>
      <c r="R579" s="33" t="str">
        <f aca="false">IF(F579="","",IF(H579="",F579,0))</f>
        <v/>
      </c>
      <c r="S579" s="32" t="str">
        <f aca="false">IF(F579="","",IF(N(O579)=0,"",IF(O579&lt;=30,"1-30",IF(O579&lt;=60,"31-60",IF(O579&lt;=90,"61-90","90+")))))</f>
        <v/>
      </c>
      <c r="T579" s="32" t="str">
        <f aca="false">IF(F579="","",IF(E579="","Diğer",E579))</f>
        <v/>
      </c>
      <c r="U579" s="32" t="str">
        <f aca="false">IF(OR(F579="",C579=""),"",IF(COUNTIF($C$2:C579,C579)=1,MAX($U$1:U578)+1,""))</f>
        <v/>
      </c>
    </row>
    <row r="580" customFormat="false" ht="15" hidden="false" customHeight="false" outlineLevel="0" collapsed="false">
      <c r="A580" s="34"/>
      <c r="B580" s="9"/>
      <c r="C580" s="34"/>
      <c r="D580" s="34"/>
      <c r="E580" s="34"/>
      <c r="F580" s="35"/>
      <c r="G580" s="9"/>
      <c r="H580" s="9"/>
      <c r="I580" s="34"/>
      <c r="J580" s="30" t="str">
        <f aca="false">IF(F580="","",G580-B580)</f>
        <v/>
      </c>
      <c r="K580" s="31" t="str">
        <f aca="false">IF(F580="","",IF(H580&lt;&gt;"",H580,MAX('Vade Sapması'!$D$3,G580)))</f>
        <v/>
      </c>
      <c r="L580" s="30" t="str">
        <f aca="false">IF(F580="","",K580-B580)</f>
        <v/>
      </c>
      <c r="M580" s="30" t="str">
        <f aca="false">IF(F580="","",L580-J580)</f>
        <v/>
      </c>
      <c r="N580" s="32" t="str">
        <f aca="false">IF(F580="","",IF(H580&lt;&gt;"","Kapandı",IF('Vade Sapması'!$D$3&gt;G580,"Açık · vadesi geçti","Açık · vadesi gelmedi")))</f>
        <v/>
      </c>
      <c r="O580" s="30" t="str">
        <f aca="false">IF(F580="","",IF(AND(H580="",'Vade Sapması'!$D$3&gt;G580),'Vade Sapması'!$D$3-G580,0))</f>
        <v/>
      </c>
      <c r="P580" s="33" t="str">
        <f aca="false">IF(F580="","",F580*J580)</f>
        <v/>
      </c>
      <c r="Q580" s="33" t="str">
        <f aca="false">IF(F580="","",F580*L580)</f>
        <v/>
      </c>
      <c r="R580" s="33" t="str">
        <f aca="false">IF(F580="","",IF(H580="",F580,0))</f>
        <v/>
      </c>
      <c r="S580" s="32" t="str">
        <f aca="false">IF(F580="","",IF(N(O580)=0,"",IF(O580&lt;=30,"1-30",IF(O580&lt;=60,"31-60",IF(O580&lt;=90,"61-90","90+")))))</f>
        <v/>
      </c>
      <c r="T580" s="32" t="str">
        <f aca="false">IF(F580="","",IF(E580="","Diğer",E580))</f>
        <v/>
      </c>
      <c r="U580" s="32" t="str">
        <f aca="false">IF(OR(F580="",C580=""),"",IF(COUNTIF($C$2:C580,C580)=1,MAX($U$1:U579)+1,""))</f>
        <v/>
      </c>
    </row>
    <row r="581" customFormat="false" ht="15" hidden="false" customHeight="false" outlineLevel="0" collapsed="false">
      <c r="A581" s="34"/>
      <c r="B581" s="9"/>
      <c r="C581" s="34"/>
      <c r="D581" s="34"/>
      <c r="E581" s="34"/>
      <c r="F581" s="35"/>
      <c r="G581" s="9"/>
      <c r="H581" s="9"/>
      <c r="I581" s="34"/>
      <c r="J581" s="30" t="str">
        <f aca="false">IF(F581="","",G581-B581)</f>
        <v/>
      </c>
      <c r="K581" s="31" t="str">
        <f aca="false">IF(F581="","",IF(H581&lt;&gt;"",H581,MAX('Vade Sapması'!$D$3,G581)))</f>
        <v/>
      </c>
      <c r="L581" s="30" t="str">
        <f aca="false">IF(F581="","",K581-B581)</f>
        <v/>
      </c>
      <c r="M581" s="30" t="str">
        <f aca="false">IF(F581="","",L581-J581)</f>
        <v/>
      </c>
      <c r="N581" s="32" t="str">
        <f aca="false">IF(F581="","",IF(H581&lt;&gt;"","Kapandı",IF('Vade Sapması'!$D$3&gt;G581,"Açık · vadesi geçti","Açık · vadesi gelmedi")))</f>
        <v/>
      </c>
      <c r="O581" s="30" t="str">
        <f aca="false">IF(F581="","",IF(AND(H581="",'Vade Sapması'!$D$3&gt;G581),'Vade Sapması'!$D$3-G581,0))</f>
        <v/>
      </c>
      <c r="P581" s="33" t="str">
        <f aca="false">IF(F581="","",F581*J581)</f>
        <v/>
      </c>
      <c r="Q581" s="33" t="str">
        <f aca="false">IF(F581="","",F581*L581)</f>
        <v/>
      </c>
      <c r="R581" s="33" t="str">
        <f aca="false">IF(F581="","",IF(H581="",F581,0))</f>
        <v/>
      </c>
      <c r="S581" s="32" t="str">
        <f aca="false">IF(F581="","",IF(N(O581)=0,"",IF(O581&lt;=30,"1-30",IF(O581&lt;=60,"31-60",IF(O581&lt;=90,"61-90","90+")))))</f>
        <v/>
      </c>
      <c r="T581" s="32" t="str">
        <f aca="false">IF(F581="","",IF(E581="","Diğer",E581))</f>
        <v/>
      </c>
      <c r="U581" s="32" t="str">
        <f aca="false">IF(OR(F581="",C581=""),"",IF(COUNTIF($C$2:C581,C581)=1,MAX($U$1:U580)+1,""))</f>
        <v/>
      </c>
    </row>
    <row r="582" customFormat="false" ht="15" hidden="false" customHeight="false" outlineLevel="0" collapsed="false">
      <c r="A582" s="34"/>
      <c r="B582" s="9"/>
      <c r="C582" s="34"/>
      <c r="D582" s="34"/>
      <c r="E582" s="34"/>
      <c r="F582" s="35"/>
      <c r="G582" s="9"/>
      <c r="H582" s="9"/>
      <c r="I582" s="34"/>
      <c r="J582" s="30" t="str">
        <f aca="false">IF(F582="","",G582-B582)</f>
        <v/>
      </c>
      <c r="K582" s="31" t="str">
        <f aca="false">IF(F582="","",IF(H582&lt;&gt;"",H582,MAX('Vade Sapması'!$D$3,G582)))</f>
        <v/>
      </c>
      <c r="L582" s="30" t="str">
        <f aca="false">IF(F582="","",K582-B582)</f>
        <v/>
      </c>
      <c r="M582" s="30" t="str">
        <f aca="false">IF(F582="","",L582-J582)</f>
        <v/>
      </c>
      <c r="N582" s="32" t="str">
        <f aca="false">IF(F582="","",IF(H582&lt;&gt;"","Kapandı",IF('Vade Sapması'!$D$3&gt;G582,"Açık · vadesi geçti","Açık · vadesi gelmedi")))</f>
        <v/>
      </c>
      <c r="O582" s="30" t="str">
        <f aca="false">IF(F582="","",IF(AND(H582="",'Vade Sapması'!$D$3&gt;G582),'Vade Sapması'!$D$3-G582,0))</f>
        <v/>
      </c>
      <c r="P582" s="33" t="str">
        <f aca="false">IF(F582="","",F582*J582)</f>
        <v/>
      </c>
      <c r="Q582" s="33" t="str">
        <f aca="false">IF(F582="","",F582*L582)</f>
        <v/>
      </c>
      <c r="R582" s="33" t="str">
        <f aca="false">IF(F582="","",IF(H582="",F582,0))</f>
        <v/>
      </c>
      <c r="S582" s="32" t="str">
        <f aca="false">IF(F582="","",IF(N(O582)=0,"",IF(O582&lt;=30,"1-30",IF(O582&lt;=60,"31-60",IF(O582&lt;=90,"61-90","90+")))))</f>
        <v/>
      </c>
      <c r="T582" s="32" t="str">
        <f aca="false">IF(F582="","",IF(E582="","Diğer",E582))</f>
        <v/>
      </c>
      <c r="U582" s="32" t="str">
        <f aca="false">IF(OR(F582="",C582=""),"",IF(COUNTIF($C$2:C582,C582)=1,MAX($U$1:U581)+1,""))</f>
        <v/>
      </c>
    </row>
    <row r="583" customFormat="false" ht="15" hidden="false" customHeight="false" outlineLevel="0" collapsed="false">
      <c r="A583" s="34"/>
      <c r="B583" s="9"/>
      <c r="C583" s="34"/>
      <c r="D583" s="34"/>
      <c r="E583" s="34"/>
      <c r="F583" s="35"/>
      <c r="G583" s="9"/>
      <c r="H583" s="9"/>
      <c r="I583" s="34"/>
      <c r="J583" s="30" t="str">
        <f aca="false">IF(F583="","",G583-B583)</f>
        <v/>
      </c>
      <c r="K583" s="31" t="str">
        <f aca="false">IF(F583="","",IF(H583&lt;&gt;"",H583,MAX('Vade Sapması'!$D$3,G583)))</f>
        <v/>
      </c>
      <c r="L583" s="30" t="str">
        <f aca="false">IF(F583="","",K583-B583)</f>
        <v/>
      </c>
      <c r="M583" s="30" t="str">
        <f aca="false">IF(F583="","",L583-J583)</f>
        <v/>
      </c>
      <c r="N583" s="32" t="str">
        <f aca="false">IF(F583="","",IF(H583&lt;&gt;"","Kapandı",IF('Vade Sapması'!$D$3&gt;G583,"Açık · vadesi geçti","Açık · vadesi gelmedi")))</f>
        <v/>
      </c>
      <c r="O583" s="30" t="str">
        <f aca="false">IF(F583="","",IF(AND(H583="",'Vade Sapması'!$D$3&gt;G583),'Vade Sapması'!$D$3-G583,0))</f>
        <v/>
      </c>
      <c r="P583" s="33" t="str">
        <f aca="false">IF(F583="","",F583*J583)</f>
        <v/>
      </c>
      <c r="Q583" s="33" t="str">
        <f aca="false">IF(F583="","",F583*L583)</f>
        <v/>
      </c>
      <c r="R583" s="33" t="str">
        <f aca="false">IF(F583="","",IF(H583="",F583,0))</f>
        <v/>
      </c>
      <c r="S583" s="32" t="str">
        <f aca="false">IF(F583="","",IF(N(O583)=0,"",IF(O583&lt;=30,"1-30",IF(O583&lt;=60,"31-60",IF(O583&lt;=90,"61-90","90+")))))</f>
        <v/>
      </c>
      <c r="T583" s="32" t="str">
        <f aca="false">IF(F583="","",IF(E583="","Diğer",E583))</f>
        <v/>
      </c>
      <c r="U583" s="32" t="str">
        <f aca="false">IF(OR(F583="",C583=""),"",IF(COUNTIF($C$2:C583,C583)=1,MAX($U$1:U582)+1,""))</f>
        <v/>
      </c>
    </row>
    <row r="584" customFormat="false" ht="15" hidden="false" customHeight="false" outlineLevel="0" collapsed="false">
      <c r="A584" s="34"/>
      <c r="B584" s="9"/>
      <c r="C584" s="34"/>
      <c r="D584" s="34"/>
      <c r="E584" s="34"/>
      <c r="F584" s="35"/>
      <c r="G584" s="9"/>
      <c r="H584" s="9"/>
      <c r="I584" s="34"/>
      <c r="J584" s="30" t="str">
        <f aca="false">IF(F584="","",G584-B584)</f>
        <v/>
      </c>
      <c r="K584" s="31" t="str">
        <f aca="false">IF(F584="","",IF(H584&lt;&gt;"",H584,MAX('Vade Sapması'!$D$3,G584)))</f>
        <v/>
      </c>
      <c r="L584" s="30" t="str">
        <f aca="false">IF(F584="","",K584-B584)</f>
        <v/>
      </c>
      <c r="M584" s="30" t="str">
        <f aca="false">IF(F584="","",L584-J584)</f>
        <v/>
      </c>
      <c r="N584" s="32" t="str">
        <f aca="false">IF(F584="","",IF(H584&lt;&gt;"","Kapandı",IF('Vade Sapması'!$D$3&gt;G584,"Açık · vadesi geçti","Açık · vadesi gelmedi")))</f>
        <v/>
      </c>
      <c r="O584" s="30" t="str">
        <f aca="false">IF(F584="","",IF(AND(H584="",'Vade Sapması'!$D$3&gt;G584),'Vade Sapması'!$D$3-G584,0))</f>
        <v/>
      </c>
      <c r="P584" s="33" t="str">
        <f aca="false">IF(F584="","",F584*J584)</f>
        <v/>
      </c>
      <c r="Q584" s="33" t="str">
        <f aca="false">IF(F584="","",F584*L584)</f>
        <v/>
      </c>
      <c r="R584" s="33" t="str">
        <f aca="false">IF(F584="","",IF(H584="",F584,0))</f>
        <v/>
      </c>
      <c r="S584" s="32" t="str">
        <f aca="false">IF(F584="","",IF(N(O584)=0,"",IF(O584&lt;=30,"1-30",IF(O584&lt;=60,"31-60",IF(O584&lt;=90,"61-90","90+")))))</f>
        <v/>
      </c>
      <c r="T584" s="32" t="str">
        <f aca="false">IF(F584="","",IF(E584="","Diğer",E584))</f>
        <v/>
      </c>
      <c r="U584" s="32" t="str">
        <f aca="false">IF(OR(F584="",C584=""),"",IF(COUNTIF($C$2:C584,C584)=1,MAX($U$1:U583)+1,""))</f>
        <v/>
      </c>
    </row>
    <row r="585" customFormat="false" ht="15" hidden="false" customHeight="false" outlineLevel="0" collapsed="false">
      <c r="A585" s="34"/>
      <c r="B585" s="9"/>
      <c r="C585" s="34"/>
      <c r="D585" s="34"/>
      <c r="E585" s="34"/>
      <c r="F585" s="35"/>
      <c r="G585" s="9"/>
      <c r="H585" s="9"/>
      <c r="I585" s="34"/>
      <c r="J585" s="30" t="str">
        <f aca="false">IF(F585="","",G585-B585)</f>
        <v/>
      </c>
      <c r="K585" s="31" t="str">
        <f aca="false">IF(F585="","",IF(H585&lt;&gt;"",H585,MAX('Vade Sapması'!$D$3,G585)))</f>
        <v/>
      </c>
      <c r="L585" s="30" t="str">
        <f aca="false">IF(F585="","",K585-B585)</f>
        <v/>
      </c>
      <c r="M585" s="30" t="str">
        <f aca="false">IF(F585="","",L585-J585)</f>
        <v/>
      </c>
      <c r="N585" s="32" t="str">
        <f aca="false">IF(F585="","",IF(H585&lt;&gt;"","Kapandı",IF('Vade Sapması'!$D$3&gt;G585,"Açık · vadesi geçti","Açık · vadesi gelmedi")))</f>
        <v/>
      </c>
      <c r="O585" s="30" t="str">
        <f aca="false">IF(F585="","",IF(AND(H585="",'Vade Sapması'!$D$3&gt;G585),'Vade Sapması'!$D$3-G585,0))</f>
        <v/>
      </c>
      <c r="P585" s="33" t="str">
        <f aca="false">IF(F585="","",F585*J585)</f>
        <v/>
      </c>
      <c r="Q585" s="33" t="str">
        <f aca="false">IF(F585="","",F585*L585)</f>
        <v/>
      </c>
      <c r="R585" s="33" t="str">
        <f aca="false">IF(F585="","",IF(H585="",F585,0))</f>
        <v/>
      </c>
      <c r="S585" s="32" t="str">
        <f aca="false">IF(F585="","",IF(N(O585)=0,"",IF(O585&lt;=30,"1-30",IF(O585&lt;=60,"31-60",IF(O585&lt;=90,"61-90","90+")))))</f>
        <v/>
      </c>
      <c r="T585" s="32" t="str">
        <f aca="false">IF(F585="","",IF(E585="","Diğer",E585))</f>
        <v/>
      </c>
      <c r="U585" s="32" t="str">
        <f aca="false">IF(OR(F585="",C585=""),"",IF(COUNTIF($C$2:C585,C585)=1,MAX($U$1:U584)+1,""))</f>
        <v/>
      </c>
    </row>
    <row r="586" customFormat="false" ht="15" hidden="false" customHeight="false" outlineLevel="0" collapsed="false">
      <c r="A586" s="34"/>
      <c r="B586" s="9"/>
      <c r="C586" s="34"/>
      <c r="D586" s="34"/>
      <c r="E586" s="34"/>
      <c r="F586" s="35"/>
      <c r="G586" s="9"/>
      <c r="H586" s="9"/>
      <c r="I586" s="34"/>
      <c r="J586" s="30" t="str">
        <f aca="false">IF(F586="","",G586-B586)</f>
        <v/>
      </c>
      <c r="K586" s="31" t="str">
        <f aca="false">IF(F586="","",IF(H586&lt;&gt;"",H586,MAX('Vade Sapması'!$D$3,G586)))</f>
        <v/>
      </c>
      <c r="L586" s="30" t="str">
        <f aca="false">IF(F586="","",K586-B586)</f>
        <v/>
      </c>
      <c r="M586" s="30" t="str">
        <f aca="false">IF(F586="","",L586-J586)</f>
        <v/>
      </c>
      <c r="N586" s="32" t="str">
        <f aca="false">IF(F586="","",IF(H586&lt;&gt;"","Kapandı",IF('Vade Sapması'!$D$3&gt;G586,"Açık · vadesi geçti","Açık · vadesi gelmedi")))</f>
        <v/>
      </c>
      <c r="O586" s="30" t="str">
        <f aca="false">IF(F586="","",IF(AND(H586="",'Vade Sapması'!$D$3&gt;G586),'Vade Sapması'!$D$3-G586,0))</f>
        <v/>
      </c>
      <c r="P586" s="33" t="str">
        <f aca="false">IF(F586="","",F586*J586)</f>
        <v/>
      </c>
      <c r="Q586" s="33" t="str">
        <f aca="false">IF(F586="","",F586*L586)</f>
        <v/>
      </c>
      <c r="R586" s="33" t="str">
        <f aca="false">IF(F586="","",IF(H586="",F586,0))</f>
        <v/>
      </c>
      <c r="S586" s="32" t="str">
        <f aca="false">IF(F586="","",IF(N(O586)=0,"",IF(O586&lt;=30,"1-30",IF(O586&lt;=60,"31-60",IF(O586&lt;=90,"61-90","90+")))))</f>
        <v/>
      </c>
      <c r="T586" s="32" t="str">
        <f aca="false">IF(F586="","",IF(E586="","Diğer",E586))</f>
        <v/>
      </c>
      <c r="U586" s="32" t="str">
        <f aca="false">IF(OR(F586="",C586=""),"",IF(COUNTIF($C$2:C586,C586)=1,MAX($U$1:U585)+1,""))</f>
        <v/>
      </c>
    </row>
    <row r="587" customFormat="false" ht="15" hidden="false" customHeight="false" outlineLevel="0" collapsed="false">
      <c r="A587" s="34"/>
      <c r="B587" s="9"/>
      <c r="C587" s="34"/>
      <c r="D587" s="34"/>
      <c r="E587" s="34"/>
      <c r="F587" s="35"/>
      <c r="G587" s="9"/>
      <c r="H587" s="9"/>
      <c r="I587" s="34"/>
      <c r="J587" s="30" t="str">
        <f aca="false">IF(F587="","",G587-B587)</f>
        <v/>
      </c>
      <c r="K587" s="31" t="str">
        <f aca="false">IF(F587="","",IF(H587&lt;&gt;"",H587,MAX('Vade Sapması'!$D$3,G587)))</f>
        <v/>
      </c>
      <c r="L587" s="30" t="str">
        <f aca="false">IF(F587="","",K587-B587)</f>
        <v/>
      </c>
      <c r="M587" s="30" t="str">
        <f aca="false">IF(F587="","",L587-J587)</f>
        <v/>
      </c>
      <c r="N587" s="32" t="str">
        <f aca="false">IF(F587="","",IF(H587&lt;&gt;"","Kapandı",IF('Vade Sapması'!$D$3&gt;G587,"Açık · vadesi geçti","Açık · vadesi gelmedi")))</f>
        <v/>
      </c>
      <c r="O587" s="30" t="str">
        <f aca="false">IF(F587="","",IF(AND(H587="",'Vade Sapması'!$D$3&gt;G587),'Vade Sapması'!$D$3-G587,0))</f>
        <v/>
      </c>
      <c r="P587" s="33" t="str">
        <f aca="false">IF(F587="","",F587*J587)</f>
        <v/>
      </c>
      <c r="Q587" s="33" t="str">
        <f aca="false">IF(F587="","",F587*L587)</f>
        <v/>
      </c>
      <c r="R587" s="33" t="str">
        <f aca="false">IF(F587="","",IF(H587="",F587,0))</f>
        <v/>
      </c>
      <c r="S587" s="32" t="str">
        <f aca="false">IF(F587="","",IF(N(O587)=0,"",IF(O587&lt;=30,"1-30",IF(O587&lt;=60,"31-60",IF(O587&lt;=90,"61-90","90+")))))</f>
        <v/>
      </c>
      <c r="T587" s="32" t="str">
        <f aca="false">IF(F587="","",IF(E587="","Diğer",E587))</f>
        <v/>
      </c>
      <c r="U587" s="32" t="str">
        <f aca="false">IF(OR(F587="",C587=""),"",IF(COUNTIF($C$2:C587,C587)=1,MAX($U$1:U586)+1,""))</f>
        <v/>
      </c>
    </row>
    <row r="588" customFormat="false" ht="15" hidden="false" customHeight="false" outlineLevel="0" collapsed="false">
      <c r="A588" s="34"/>
      <c r="B588" s="9"/>
      <c r="C588" s="34"/>
      <c r="D588" s="34"/>
      <c r="E588" s="34"/>
      <c r="F588" s="35"/>
      <c r="G588" s="9"/>
      <c r="H588" s="9"/>
      <c r="I588" s="34"/>
      <c r="J588" s="30" t="str">
        <f aca="false">IF(F588="","",G588-B588)</f>
        <v/>
      </c>
      <c r="K588" s="31" t="str">
        <f aca="false">IF(F588="","",IF(H588&lt;&gt;"",H588,MAX('Vade Sapması'!$D$3,G588)))</f>
        <v/>
      </c>
      <c r="L588" s="30" t="str">
        <f aca="false">IF(F588="","",K588-B588)</f>
        <v/>
      </c>
      <c r="M588" s="30" t="str">
        <f aca="false">IF(F588="","",L588-J588)</f>
        <v/>
      </c>
      <c r="N588" s="32" t="str">
        <f aca="false">IF(F588="","",IF(H588&lt;&gt;"","Kapandı",IF('Vade Sapması'!$D$3&gt;G588,"Açık · vadesi geçti","Açık · vadesi gelmedi")))</f>
        <v/>
      </c>
      <c r="O588" s="30" t="str">
        <f aca="false">IF(F588="","",IF(AND(H588="",'Vade Sapması'!$D$3&gt;G588),'Vade Sapması'!$D$3-G588,0))</f>
        <v/>
      </c>
      <c r="P588" s="33" t="str">
        <f aca="false">IF(F588="","",F588*J588)</f>
        <v/>
      </c>
      <c r="Q588" s="33" t="str">
        <f aca="false">IF(F588="","",F588*L588)</f>
        <v/>
      </c>
      <c r="R588" s="33" t="str">
        <f aca="false">IF(F588="","",IF(H588="",F588,0))</f>
        <v/>
      </c>
      <c r="S588" s="32" t="str">
        <f aca="false">IF(F588="","",IF(N(O588)=0,"",IF(O588&lt;=30,"1-30",IF(O588&lt;=60,"31-60",IF(O588&lt;=90,"61-90","90+")))))</f>
        <v/>
      </c>
      <c r="T588" s="32" t="str">
        <f aca="false">IF(F588="","",IF(E588="","Diğer",E588))</f>
        <v/>
      </c>
      <c r="U588" s="32" t="str">
        <f aca="false">IF(OR(F588="",C588=""),"",IF(COUNTIF($C$2:C588,C588)=1,MAX($U$1:U587)+1,""))</f>
        <v/>
      </c>
    </row>
    <row r="589" customFormat="false" ht="15" hidden="false" customHeight="false" outlineLevel="0" collapsed="false">
      <c r="A589" s="34"/>
      <c r="B589" s="9"/>
      <c r="C589" s="34"/>
      <c r="D589" s="34"/>
      <c r="E589" s="34"/>
      <c r="F589" s="35"/>
      <c r="G589" s="9"/>
      <c r="H589" s="9"/>
      <c r="I589" s="34"/>
      <c r="J589" s="30" t="str">
        <f aca="false">IF(F589="","",G589-B589)</f>
        <v/>
      </c>
      <c r="K589" s="31" t="str">
        <f aca="false">IF(F589="","",IF(H589&lt;&gt;"",H589,MAX('Vade Sapması'!$D$3,G589)))</f>
        <v/>
      </c>
      <c r="L589" s="30" t="str">
        <f aca="false">IF(F589="","",K589-B589)</f>
        <v/>
      </c>
      <c r="M589" s="30" t="str">
        <f aca="false">IF(F589="","",L589-J589)</f>
        <v/>
      </c>
      <c r="N589" s="32" t="str">
        <f aca="false">IF(F589="","",IF(H589&lt;&gt;"","Kapandı",IF('Vade Sapması'!$D$3&gt;G589,"Açık · vadesi geçti","Açık · vadesi gelmedi")))</f>
        <v/>
      </c>
      <c r="O589" s="30" t="str">
        <f aca="false">IF(F589="","",IF(AND(H589="",'Vade Sapması'!$D$3&gt;G589),'Vade Sapması'!$D$3-G589,0))</f>
        <v/>
      </c>
      <c r="P589" s="33" t="str">
        <f aca="false">IF(F589="","",F589*J589)</f>
        <v/>
      </c>
      <c r="Q589" s="33" t="str">
        <f aca="false">IF(F589="","",F589*L589)</f>
        <v/>
      </c>
      <c r="R589" s="33" t="str">
        <f aca="false">IF(F589="","",IF(H589="",F589,0))</f>
        <v/>
      </c>
      <c r="S589" s="32" t="str">
        <f aca="false">IF(F589="","",IF(N(O589)=0,"",IF(O589&lt;=30,"1-30",IF(O589&lt;=60,"31-60",IF(O589&lt;=90,"61-90","90+")))))</f>
        <v/>
      </c>
      <c r="T589" s="32" t="str">
        <f aca="false">IF(F589="","",IF(E589="","Diğer",E589))</f>
        <v/>
      </c>
      <c r="U589" s="32" t="str">
        <f aca="false">IF(OR(F589="",C589=""),"",IF(COUNTIF($C$2:C589,C589)=1,MAX($U$1:U588)+1,""))</f>
        <v/>
      </c>
    </row>
    <row r="590" customFormat="false" ht="15" hidden="false" customHeight="false" outlineLevel="0" collapsed="false">
      <c r="A590" s="34"/>
      <c r="B590" s="9"/>
      <c r="C590" s="34"/>
      <c r="D590" s="34"/>
      <c r="E590" s="34"/>
      <c r="F590" s="35"/>
      <c r="G590" s="9"/>
      <c r="H590" s="9"/>
      <c r="I590" s="34"/>
      <c r="J590" s="30" t="str">
        <f aca="false">IF(F590="","",G590-B590)</f>
        <v/>
      </c>
      <c r="K590" s="31" t="str">
        <f aca="false">IF(F590="","",IF(H590&lt;&gt;"",H590,MAX('Vade Sapması'!$D$3,G590)))</f>
        <v/>
      </c>
      <c r="L590" s="30" t="str">
        <f aca="false">IF(F590="","",K590-B590)</f>
        <v/>
      </c>
      <c r="M590" s="30" t="str">
        <f aca="false">IF(F590="","",L590-J590)</f>
        <v/>
      </c>
      <c r="N590" s="32" t="str">
        <f aca="false">IF(F590="","",IF(H590&lt;&gt;"","Kapandı",IF('Vade Sapması'!$D$3&gt;G590,"Açık · vadesi geçti","Açık · vadesi gelmedi")))</f>
        <v/>
      </c>
      <c r="O590" s="30" t="str">
        <f aca="false">IF(F590="","",IF(AND(H590="",'Vade Sapması'!$D$3&gt;G590),'Vade Sapması'!$D$3-G590,0))</f>
        <v/>
      </c>
      <c r="P590" s="33" t="str">
        <f aca="false">IF(F590="","",F590*J590)</f>
        <v/>
      </c>
      <c r="Q590" s="33" t="str">
        <f aca="false">IF(F590="","",F590*L590)</f>
        <v/>
      </c>
      <c r="R590" s="33" t="str">
        <f aca="false">IF(F590="","",IF(H590="",F590,0))</f>
        <v/>
      </c>
      <c r="S590" s="32" t="str">
        <f aca="false">IF(F590="","",IF(N(O590)=0,"",IF(O590&lt;=30,"1-30",IF(O590&lt;=60,"31-60",IF(O590&lt;=90,"61-90","90+")))))</f>
        <v/>
      </c>
      <c r="T590" s="32" t="str">
        <f aca="false">IF(F590="","",IF(E590="","Diğer",E590))</f>
        <v/>
      </c>
      <c r="U590" s="32" t="str">
        <f aca="false">IF(OR(F590="",C590=""),"",IF(COUNTIF($C$2:C590,C590)=1,MAX($U$1:U589)+1,""))</f>
        <v/>
      </c>
    </row>
    <row r="591" customFormat="false" ht="15" hidden="false" customHeight="false" outlineLevel="0" collapsed="false">
      <c r="A591" s="34"/>
      <c r="B591" s="9"/>
      <c r="C591" s="34"/>
      <c r="D591" s="34"/>
      <c r="E591" s="34"/>
      <c r="F591" s="35"/>
      <c r="G591" s="9"/>
      <c r="H591" s="9"/>
      <c r="I591" s="34"/>
      <c r="J591" s="30" t="str">
        <f aca="false">IF(F591="","",G591-B591)</f>
        <v/>
      </c>
      <c r="K591" s="31" t="str">
        <f aca="false">IF(F591="","",IF(H591&lt;&gt;"",H591,MAX('Vade Sapması'!$D$3,G591)))</f>
        <v/>
      </c>
      <c r="L591" s="30" t="str">
        <f aca="false">IF(F591="","",K591-B591)</f>
        <v/>
      </c>
      <c r="M591" s="30" t="str">
        <f aca="false">IF(F591="","",L591-J591)</f>
        <v/>
      </c>
      <c r="N591" s="32" t="str">
        <f aca="false">IF(F591="","",IF(H591&lt;&gt;"","Kapandı",IF('Vade Sapması'!$D$3&gt;G591,"Açık · vadesi geçti","Açık · vadesi gelmedi")))</f>
        <v/>
      </c>
      <c r="O591" s="30" t="str">
        <f aca="false">IF(F591="","",IF(AND(H591="",'Vade Sapması'!$D$3&gt;G591),'Vade Sapması'!$D$3-G591,0))</f>
        <v/>
      </c>
      <c r="P591" s="33" t="str">
        <f aca="false">IF(F591="","",F591*J591)</f>
        <v/>
      </c>
      <c r="Q591" s="33" t="str">
        <f aca="false">IF(F591="","",F591*L591)</f>
        <v/>
      </c>
      <c r="R591" s="33" t="str">
        <f aca="false">IF(F591="","",IF(H591="",F591,0))</f>
        <v/>
      </c>
      <c r="S591" s="32" t="str">
        <f aca="false">IF(F591="","",IF(N(O591)=0,"",IF(O591&lt;=30,"1-30",IF(O591&lt;=60,"31-60",IF(O591&lt;=90,"61-90","90+")))))</f>
        <v/>
      </c>
      <c r="T591" s="32" t="str">
        <f aca="false">IF(F591="","",IF(E591="","Diğer",E591))</f>
        <v/>
      </c>
      <c r="U591" s="32" t="str">
        <f aca="false">IF(OR(F591="",C591=""),"",IF(COUNTIF($C$2:C591,C591)=1,MAX($U$1:U590)+1,""))</f>
        <v/>
      </c>
    </row>
    <row r="592" customFormat="false" ht="15" hidden="false" customHeight="false" outlineLevel="0" collapsed="false">
      <c r="A592" s="34"/>
      <c r="B592" s="9"/>
      <c r="C592" s="34"/>
      <c r="D592" s="34"/>
      <c r="E592" s="34"/>
      <c r="F592" s="35"/>
      <c r="G592" s="9"/>
      <c r="H592" s="9"/>
      <c r="I592" s="34"/>
      <c r="J592" s="30" t="str">
        <f aca="false">IF(F592="","",G592-B592)</f>
        <v/>
      </c>
      <c r="K592" s="31" t="str">
        <f aca="false">IF(F592="","",IF(H592&lt;&gt;"",H592,MAX('Vade Sapması'!$D$3,G592)))</f>
        <v/>
      </c>
      <c r="L592" s="30" t="str">
        <f aca="false">IF(F592="","",K592-B592)</f>
        <v/>
      </c>
      <c r="M592" s="30" t="str">
        <f aca="false">IF(F592="","",L592-J592)</f>
        <v/>
      </c>
      <c r="N592" s="32" t="str">
        <f aca="false">IF(F592="","",IF(H592&lt;&gt;"","Kapandı",IF('Vade Sapması'!$D$3&gt;G592,"Açık · vadesi geçti","Açık · vadesi gelmedi")))</f>
        <v/>
      </c>
      <c r="O592" s="30" t="str">
        <f aca="false">IF(F592="","",IF(AND(H592="",'Vade Sapması'!$D$3&gt;G592),'Vade Sapması'!$D$3-G592,0))</f>
        <v/>
      </c>
      <c r="P592" s="33" t="str">
        <f aca="false">IF(F592="","",F592*J592)</f>
        <v/>
      </c>
      <c r="Q592" s="33" t="str">
        <f aca="false">IF(F592="","",F592*L592)</f>
        <v/>
      </c>
      <c r="R592" s="33" t="str">
        <f aca="false">IF(F592="","",IF(H592="",F592,0))</f>
        <v/>
      </c>
      <c r="S592" s="32" t="str">
        <f aca="false">IF(F592="","",IF(N(O592)=0,"",IF(O592&lt;=30,"1-30",IF(O592&lt;=60,"31-60",IF(O592&lt;=90,"61-90","90+")))))</f>
        <v/>
      </c>
      <c r="T592" s="32" t="str">
        <f aca="false">IF(F592="","",IF(E592="","Diğer",E592))</f>
        <v/>
      </c>
      <c r="U592" s="32" t="str">
        <f aca="false">IF(OR(F592="",C592=""),"",IF(COUNTIF($C$2:C592,C592)=1,MAX($U$1:U591)+1,""))</f>
        <v/>
      </c>
    </row>
    <row r="593" customFormat="false" ht="15" hidden="false" customHeight="false" outlineLevel="0" collapsed="false">
      <c r="A593" s="34"/>
      <c r="B593" s="9"/>
      <c r="C593" s="34"/>
      <c r="D593" s="34"/>
      <c r="E593" s="34"/>
      <c r="F593" s="35"/>
      <c r="G593" s="9"/>
      <c r="H593" s="9"/>
      <c r="I593" s="34"/>
      <c r="J593" s="30" t="str">
        <f aca="false">IF(F593="","",G593-B593)</f>
        <v/>
      </c>
      <c r="K593" s="31" t="str">
        <f aca="false">IF(F593="","",IF(H593&lt;&gt;"",H593,MAX('Vade Sapması'!$D$3,G593)))</f>
        <v/>
      </c>
      <c r="L593" s="30" t="str">
        <f aca="false">IF(F593="","",K593-B593)</f>
        <v/>
      </c>
      <c r="M593" s="30" t="str">
        <f aca="false">IF(F593="","",L593-J593)</f>
        <v/>
      </c>
      <c r="N593" s="32" t="str">
        <f aca="false">IF(F593="","",IF(H593&lt;&gt;"","Kapandı",IF('Vade Sapması'!$D$3&gt;G593,"Açık · vadesi geçti","Açık · vadesi gelmedi")))</f>
        <v/>
      </c>
      <c r="O593" s="30" t="str">
        <f aca="false">IF(F593="","",IF(AND(H593="",'Vade Sapması'!$D$3&gt;G593),'Vade Sapması'!$D$3-G593,0))</f>
        <v/>
      </c>
      <c r="P593" s="33" t="str">
        <f aca="false">IF(F593="","",F593*J593)</f>
        <v/>
      </c>
      <c r="Q593" s="33" t="str">
        <f aca="false">IF(F593="","",F593*L593)</f>
        <v/>
      </c>
      <c r="R593" s="33" t="str">
        <f aca="false">IF(F593="","",IF(H593="",F593,0))</f>
        <v/>
      </c>
      <c r="S593" s="32" t="str">
        <f aca="false">IF(F593="","",IF(N(O593)=0,"",IF(O593&lt;=30,"1-30",IF(O593&lt;=60,"31-60",IF(O593&lt;=90,"61-90","90+")))))</f>
        <v/>
      </c>
      <c r="T593" s="32" t="str">
        <f aca="false">IF(F593="","",IF(E593="","Diğer",E593))</f>
        <v/>
      </c>
      <c r="U593" s="32" t="str">
        <f aca="false">IF(OR(F593="",C593=""),"",IF(COUNTIF($C$2:C593,C593)=1,MAX($U$1:U592)+1,""))</f>
        <v/>
      </c>
    </row>
    <row r="594" customFormat="false" ht="15" hidden="false" customHeight="false" outlineLevel="0" collapsed="false">
      <c r="A594" s="34"/>
      <c r="B594" s="9"/>
      <c r="C594" s="34"/>
      <c r="D594" s="34"/>
      <c r="E594" s="34"/>
      <c r="F594" s="35"/>
      <c r="G594" s="9"/>
      <c r="H594" s="9"/>
      <c r="I594" s="34"/>
      <c r="J594" s="30" t="str">
        <f aca="false">IF(F594="","",G594-B594)</f>
        <v/>
      </c>
      <c r="K594" s="31" t="str">
        <f aca="false">IF(F594="","",IF(H594&lt;&gt;"",H594,MAX('Vade Sapması'!$D$3,G594)))</f>
        <v/>
      </c>
      <c r="L594" s="30" t="str">
        <f aca="false">IF(F594="","",K594-B594)</f>
        <v/>
      </c>
      <c r="M594" s="30" t="str">
        <f aca="false">IF(F594="","",L594-J594)</f>
        <v/>
      </c>
      <c r="N594" s="32" t="str">
        <f aca="false">IF(F594="","",IF(H594&lt;&gt;"","Kapandı",IF('Vade Sapması'!$D$3&gt;G594,"Açık · vadesi geçti","Açık · vadesi gelmedi")))</f>
        <v/>
      </c>
      <c r="O594" s="30" t="str">
        <f aca="false">IF(F594="","",IF(AND(H594="",'Vade Sapması'!$D$3&gt;G594),'Vade Sapması'!$D$3-G594,0))</f>
        <v/>
      </c>
      <c r="P594" s="33" t="str">
        <f aca="false">IF(F594="","",F594*J594)</f>
        <v/>
      </c>
      <c r="Q594" s="33" t="str">
        <f aca="false">IF(F594="","",F594*L594)</f>
        <v/>
      </c>
      <c r="R594" s="33" t="str">
        <f aca="false">IF(F594="","",IF(H594="",F594,0))</f>
        <v/>
      </c>
      <c r="S594" s="32" t="str">
        <f aca="false">IF(F594="","",IF(N(O594)=0,"",IF(O594&lt;=30,"1-30",IF(O594&lt;=60,"31-60",IF(O594&lt;=90,"61-90","90+")))))</f>
        <v/>
      </c>
      <c r="T594" s="32" t="str">
        <f aca="false">IF(F594="","",IF(E594="","Diğer",E594))</f>
        <v/>
      </c>
      <c r="U594" s="32" t="str">
        <f aca="false">IF(OR(F594="",C594=""),"",IF(COUNTIF($C$2:C594,C594)=1,MAX($U$1:U593)+1,""))</f>
        <v/>
      </c>
    </row>
    <row r="595" customFormat="false" ht="15" hidden="false" customHeight="false" outlineLevel="0" collapsed="false">
      <c r="A595" s="34"/>
      <c r="B595" s="9"/>
      <c r="C595" s="34"/>
      <c r="D595" s="34"/>
      <c r="E595" s="34"/>
      <c r="F595" s="35"/>
      <c r="G595" s="9"/>
      <c r="H595" s="9"/>
      <c r="I595" s="34"/>
      <c r="J595" s="30" t="str">
        <f aca="false">IF(F595="","",G595-B595)</f>
        <v/>
      </c>
      <c r="K595" s="31" t="str">
        <f aca="false">IF(F595="","",IF(H595&lt;&gt;"",H595,MAX('Vade Sapması'!$D$3,G595)))</f>
        <v/>
      </c>
      <c r="L595" s="30" t="str">
        <f aca="false">IF(F595="","",K595-B595)</f>
        <v/>
      </c>
      <c r="M595" s="30" t="str">
        <f aca="false">IF(F595="","",L595-J595)</f>
        <v/>
      </c>
      <c r="N595" s="32" t="str">
        <f aca="false">IF(F595="","",IF(H595&lt;&gt;"","Kapandı",IF('Vade Sapması'!$D$3&gt;G595,"Açık · vadesi geçti","Açık · vadesi gelmedi")))</f>
        <v/>
      </c>
      <c r="O595" s="30" t="str">
        <f aca="false">IF(F595="","",IF(AND(H595="",'Vade Sapması'!$D$3&gt;G595),'Vade Sapması'!$D$3-G595,0))</f>
        <v/>
      </c>
      <c r="P595" s="33" t="str">
        <f aca="false">IF(F595="","",F595*J595)</f>
        <v/>
      </c>
      <c r="Q595" s="33" t="str">
        <f aca="false">IF(F595="","",F595*L595)</f>
        <v/>
      </c>
      <c r="R595" s="33" t="str">
        <f aca="false">IF(F595="","",IF(H595="",F595,0))</f>
        <v/>
      </c>
      <c r="S595" s="32" t="str">
        <f aca="false">IF(F595="","",IF(N(O595)=0,"",IF(O595&lt;=30,"1-30",IF(O595&lt;=60,"31-60",IF(O595&lt;=90,"61-90","90+")))))</f>
        <v/>
      </c>
      <c r="T595" s="32" t="str">
        <f aca="false">IF(F595="","",IF(E595="","Diğer",E595))</f>
        <v/>
      </c>
      <c r="U595" s="32" t="str">
        <f aca="false">IF(OR(F595="",C595=""),"",IF(COUNTIF($C$2:C595,C595)=1,MAX($U$1:U594)+1,""))</f>
        <v/>
      </c>
    </row>
    <row r="596" customFormat="false" ht="15" hidden="false" customHeight="false" outlineLevel="0" collapsed="false">
      <c r="A596" s="34"/>
      <c r="B596" s="9"/>
      <c r="C596" s="34"/>
      <c r="D596" s="34"/>
      <c r="E596" s="34"/>
      <c r="F596" s="35"/>
      <c r="G596" s="9"/>
      <c r="H596" s="9"/>
      <c r="I596" s="34"/>
      <c r="J596" s="30" t="str">
        <f aca="false">IF(F596="","",G596-B596)</f>
        <v/>
      </c>
      <c r="K596" s="31" t="str">
        <f aca="false">IF(F596="","",IF(H596&lt;&gt;"",H596,MAX('Vade Sapması'!$D$3,G596)))</f>
        <v/>
      </c>
      <c r="L596" s="30" t="str">
        <f aca="false">IF(F596="","",K596-B596)</f>
        <v/>
      </c>
      <c r="M596" s="30" t="str">
        <f aca="false">IF(F596="","",L596-J596)</f>
        <v/>
      </c>
      <c r="N596" s="32" t="str">
        <f aca="false">IF(F596="","",IF(H596&lt;&gt;"","Kapandı",IF('Vade Sapması'!$D$3&gt;G596,"Açık · vadesi geçti","Açık · vadesi gelmedi")))</f>
        <v/>
      </c>
      <c r="O596" s="30" t="str">
        <f aca="false">IF(F596="","",IF(AND(H596="",'Vade Sapması'!$D$3&gt;G596),'Vade Sapması'!$D$3-G596,0))</f>
        <v/>
      </c>
      <c r="P596" s="33" t="str">
        <f aca="false">IF(F596="","",F596*J596)</f>
        <v/>
      </c>
      <c r="Q596" s="33" t="str">
        <f aca="false">IF(F596="","",F596*L596)</f>
        <v/>
      </c>
      <c r="R596" s="33" t="str">
        <f aca="false">IF(F596="","",IF(H596="",F596,0))</f>
        <v/>
      </c>
      <c r="S596" s="32" t="str">
        <f aca="false">IF(F596="","",IF(N(O596)=0,"",IF(O596&lt;=30,"1-30",IF(O596&lt;=60,"31-60",IF(O596&lt;=90,"61-90","90+")))))</f>
        <v/>
      </c>
      <c r="T596" s="32" t="str">
        <f aca="false">IF(F596="","",IF(E596="","Diğer",E596))</f>
        <v/>
      </c>
      <c r="U596" s="32" t="str">
        <f aca="false">IF(OR(F596="",C596=""),"",IF(COUNTIF($C$2:C596,C596)=1,MAX($U$1:U595)+1,""))</f>
        <v/>
      </c>
    </row>
    <row r="597" customFormat="false" ht="15" hidden="false" customHeight="false" outlineLevel="0" collapsed="false">
      <c r="A597" s="34"/>
      <c r="B597" s="9"/>
      <c r="C597" s="34"/>
      <c r="D597" s="34"/>
      <c r="E597" s="34"/>
      <c r="F597" s="35"/>
      <c r="G597" s="9"/>
      <c r="H597" s="9"/>
      <c r="I597" s="34"/>
      <c r="J597" s="30" t="str">
        <f aca="false">IF(F597="","",G597-B597)</f>
        <v/>
      </c>
      <c r="K597" s="31" t="str">
        <f aca="false">IF(F597="","",IF(H597&lt;&gt;"",H597,MAX('Vade Sapması'!$D$3,G597)))</f>
        <v/>
      </c>
      <c r="L597" s="30" t="str">
        <f aca="false">IF(F597="","",K597-B597)</f>
        <v/>
      </c>
      <c r="M597" s="30" t="str">
        <f aca="false">IF(F597="","",L597-J597)</f>
        <v/>
      </c>
      <c r="N597" s="32" t="str">
        <f aca="false">IF(F597="","",IF(H597&lt;&gt;"","Kapandı",IF('Vade Sapması'!$D$3&gt;G597,"Açık · vadesi geçti","Açık · vadesi gelmedi")))</f>
        <v/>
      </c>
      <c r="O597" s="30" t="str">
        <f aca="false">IF(F597="","",IF(AND(H597="",'Vade Sapması'!$D$3&gt;G597),'Vade Sapması'!$D$3-G597,0))</f>
        <v/>
      </c>
      <c r="P597" s="33" t="str">
        <f aca="false">IF(F597="","",F597*J597)</f>
        <v/>
      </c>
      <c r="Q597" s="33" t="str">
        <f aca="false">IF(F597="","",F597*L597)</f>
        <v/>
      </c>
      <c r="R597" s="33" t="str">
        <f aca="false">IF(F597="","",IF(H597="",F597,0))</f>
        <v/>
      </c>
      <c r="S597" s="32" t="str">
        <f aca="false">IF(F597="","",IF(N(O597)=0,"",IF(O597&lt;=30,"1-30",IF(O597&lt;=60,"31-60",IF(O597&lt;=90,"61-90","90+")))))</f>
        <v/>
      </c>
      <c r="T597" s="32" t="str">
        <f aca="false">IF(F597="","",IF(E597="","Diğer",E597))</f>
        <v/>
      </c>
      <c r="U597" s="32" t="str">
        <f aca="false">IF(OR(F597="",C597=""),"",IF(COUNTIF($C$2:C597,C597)=1,MAX($U$1:U596)+1,""))</f>
        <v/>
      </c>
    </row>
    <row r="598" customFormat="false" ht="15" hidden="false" customHeight="false" outlineLevel="0" collapsed="false">
      <c r="A598" s="34"/>
      <c r="B598" s="9"/>
      <c r="C598" s="34"/>
      <c r="D598" s="34"/>
      <c r="E598" s="34"/>
      <c r="F598" s="35"/>
      <c r="G598" s="9"/>
      <c r="H598" s="9"/>
      <c r="I598" s="34"/>
      <c r="J598" s="30" t="str">
        <f aca="false">IF(F598="","",G598-B598)</f>
        <v/>
      </c>
      <c r="K598" s="31" t="str">
        <f aca="false">IF(F598="","",IF(H598&lt;&gt;"",H598,MAX('Vade Sapması'!$D$3,G598)))</f>
        <v/>
      </c>
      <c r="L598" s="30" t="str">
        <f aca="false">IF(F598="","",K598-B598)</f>
        <v/>
      </c>
      <c r="M598" s="30" t="str">
        <f aca="false">IF(F598="","",L598-J598)</f>
        <v/>
      </c>
      <c r="N598" s="32" t="str">
        <f aca="false">IF(F598="","",IF(H598&lt;&gt;"","Kapandı",IF('Vade Sapması'!$D$3&gt;G598,"Açık · vadesi geçti","Açık · vadesi gelmedi")))</f>
        <v/>
      </c>
      <c r="O598" s="30" t="str">
        <f aca="false">IF(F598="","",IF(AND(H598="",'Vade Sapması'!$D$3&gt;G598),'Vade Sapması'!$D$3-G598,0))</f>
        <v/>
      </c>
      <c r="P598" s="33" t="str">
        <f aca="false">IF(F598="","",F598*J598)</f>
        <v/>
      </c>
      <c r="Q598" s="33" t="str">
        <f aca="false">IF(F598="","",F598*L598)</f>
        <v/>
      </c>
      <c r="R598" s="33" t="str">
        <f aca="false">IF(F598="","",IF(H598="",F598,0))</f>
        <v/>
      </c>
      <c r="S598" s="32" t="str">
        <f aca="false">IF(F598="","",IF(N(O598)=0,"",IF(O598&lt;=30,"1-30",IF(O598&lt;=60,"31-60",IF(O598&lt;=90,"61-90","90+")))))</f>
        <v/>
      </c>
      <c r="T598" s="32" t="str">
        <f aca="false">IF(F598="","",IF(E598="","Diğer",E598))</f>
        <v/>
      </c>
      <c r="U598" s="32" t="str">
        <f aca="false">IF(OR(F598="",C598=""),"",IF(COUNTIF($C$2:C598,C598)=1,MAX($U$1:U597)+1,""))</f>
        <v/>
      </c>
    </row>
    <row r="599" customFormat="false" ht="15" hidden="false" customHeight="false" outlineLevel="0" collapsed="false">
      <c r="A599" s="34"/>
      <c r="B599" s="9"/>
      <c r="C599" s="34"/>
      <c r="D599" s="34"/>
      <c r="E599" s="34"/>
      <c r="F599" s="35"/>
      <c r="G599" s="9"/>
      <c r="H599" s="9"/>
      <c r="I599" s="34"/>
      <c r="J599" s="30" t="str">
        <f aca="false">IF(F599="","",G599-B599)</f>
        <v/>
      </c>
      <c r="K599" s="31" t="str">
        <f aca="false">IF(F599="","",IF(H599&lt;&gt;"",H599,MAX('Vade Sapması'!$D$3,G599)))</f>
        <v/>
      </c>
      <c r="L599" s="30" t="str">
        <f aca="false">IF(F599="","",K599-B599)</f>
        <v/>
      </c>
      <c r="M599" s="30" t="str">
        <f aca="false">IF(F599="","",L599-J599)</f>
        <v/>
      </c>
      <c r="N599" s="32" t="str">
        <f aca="false">IF(F599="","",IF(H599&lt;&gt;"","Kapandı",IF('Vade Sapması'!$D$3&gt;G599,"Açık · vadesi geçti","Açık · vadesi gelmedi")))</f>
        <v/>
      </c>
      <c r="O599" s="30" t="str">
        <f aca="false">IF(F599="","",IF(AND(H599="",'Vade Sapması'!$D$3&gt;G599),'Vade Sapması'!$D$3-G599,0))</f>
        <v/>
      </c>
      <c r="P599" s="33" t="str">
        <f aca="false">IF(F599="","",F599*J599)</f>
        <v/>
      </c>
      <c r="Q599" s="33" t="str">
        <f aca="false">IF(F599="","",F599*L599)</f>
        <v/>
      </c>
      <c r="R599" s="33" t="str">
        <f aca="false">IF(F599="","",IF(H599="",F599,0))</f>
        <v/>
      </c>
      <c r="S599" s="32" t="str">
        <f aca="false">IF(F599="","",IF(N(O599)=0,"",IF(O599&lt;=30,"1-30",IF(O599&lt;=60,"31-60",IF(O599&lt;=90,"61-90","90+")))))</f>
        <v/>
      </c>
      <c r="T599" s="32" t="str">
        <f aca="false">IF(F599="","",IF(E599="","Diğer",E599))</f>
        <v/>
      </c>
      <c r="U599" s="32" t="str">
        <f aca="false">IF(OR(F599="",C599=""),"",IF(COUNTIF($C$2:C599,C599)=1,MAX($U$1:U598)+1,""))</f>
        <v/>
      </c>
    </row>
    <row r="600" customFormat="false" ht="15" hidden="false" customHeight="false" outlineLevel="0" collapsed="false">
      <c r="A600" s="34"/>
      <c r="B600" s="9"/>
      <c r="C600" s="34"/>
      <c r="D600" s="34"/>
      <c r="E600" s="34"/>
      <c r="F600" s="35"/>
      <c r="G600" s="9"/>
      <c r="H600" s="9"/>
      <c r="I600" s="34"/>
      <c r="J600" s="30" t="str">
        <f aca="false">IF(F600="","",G600-B600)</f>
        <v/>
      </c>
      <c r="K600" s="31" t="str">
        <f aca="false">IF(F600="","",IF(H600&lt;&gt;"",H600,MAX('Vade Sapması'!$D$3,G600)))</f>
        <v/>
      </c>
      <c r="L600" s="30" t="str">
        <f aca="false">IF(F600="","",K600-B600)</f>
        <v/>
      </c>
      <c r="M600" s="30" t="str">
        <f aca="false">IF(F600="","",L600-J600)</f>
        <v/>
      </c>
      <c r="N600" s="32" t="str">
        <f aca="false">IF(F600="","",IF(H600&lt;&gt;"","Kapandı",IF('Vade Sapması'!$D$3&gt;G600,"Açık · vadesi geçti","Açık · vadesi gelmedi")))</f>
        <v/>
      </c>
      <c r="O600" s="30" t="str">
        <f aca="false">IF(F600="","",IF(AND(H600="",'Vade Sapması'!$D$3&gt;G600),'Vade Sapması'!$D$3-G600,0))</f>
        <v/>
      </c>
      <c r="P600" s="33" t="str">
        <f aca="false">IF(F600="","",F600*J600)</f>
        <v/>
      </c>
      <c r="Q600" s="33" t="str">
        <f aca="false">IF(F600="","",F600*L600)</f>
        <v/>
      </c>
      <c r="R600" s="33" t="str">
        <f aca="false">IF(F600="","",IF(H600="",F600,0))</f>
        <v/>
      </c>
      <c r="S600" s="32" t="str">
        <f aca="false">IF(F600="","",IF(N(O600)=0,"",IF(O600&lt;=30,"1-30",IF(O600&lt;=60,"31-60",IF(O600&lt;=90,"61-90","90+")))))</f>
        <v/>
      </c>
      <c r="T600" s="32" t="str">
        <f aca="false">IF(F600="","",IF(E600="","Diğer",E600))</f>
        <v/>
      </c>
      <c r="U600" s="32" t="str">
        <f aca="false">IF(OR(F600="",C600=""),"",IF(COUNTIF($C$2:C600,C600)=1,MAX($U$1:U599)+1,""))</f>
        <v/>
      </c>
    </row>
    <row r="601" customFormat="false" ht="15" hidden="false" customHeight="false" outlineLevel="0" collapsed="false">
      <c r="A601" s="34"/>
      <c r="B601" s="9"/>
      <c r="C601" s="34"/>
      <c r="D601" s="34"/>
      <c r="E601" s="34"/>
      <c r="F601" s="35"/>
      <c r="G601" s="9"/>
      <c r="H601" s="9"/>
      <c r="I601" s="34"/>
      <c r="J601" s="30" t="str">
        <f aca="false">IF(F601="","",G601-B601)</f>
        <v/>
      </c>
      <c r="K601" s="31" t="str">
        <f aca="false">IF(F601="","",IF(H601&lt;&gt;"",H601,MAX('Vade Sapması'!$D$3,G601)))</f>
        <v/>
      </c>
      <c r="L601" s="30" t="str">
        <f aca="false">IF(F601="","",K601-B601)</f>
        <v/>
      </c>
      <c r="M601" s="30" t="str">
        <f aca="false">IF(F601="","",L601-J601)</f>
        <v/>
      </c>
      <c r="N601" s="32" t="str">
        <f aca="false">IF(F601="","",IF(H601&lt;&gt;"","Kapandı",IF('Vade Sapması'!$D$3&gt;G601,"Açık · vadesi geçti","Açık · vadesi gelmedi")))</f>
        <v/>
      </c>
      <c r="O601" s="30" t="str">
        <f aca="false">IF(F601="","",IF(AND(H601="",'Vade Sapması'!$D$3&gt;G601),'Vade Sapması'!$D$3-G601,0))</f>
        <v/>
      </c>
      <c r="P601" s="33" t="str">
        <f aca="false">IF(F601="","",F601*J601)</f>
        <v/>
      </c>
      <c r="Q601" s="33" t="str">
        <f aca="false">IF(F601="","",F601*L601)</f>
        <v/>
      </c>
      <c r="R601" s="33" t="str">
        <f aca="false">IF(F601="","",IF(H601="",F601,0))</f>
        <v/>
      </c>
      <c r="S601" s="32" t="str">
        <f aca="false">IF(F601="","",IF(N(O601)=0,"",IF(O601&lt;=30,"1-30",IF(O601&lt;=60,"31-60",IF(O601&lt;=90,"61-90","90+")))))</f>
        <v/>
      </c>
      <c r="T601" s="32" t="str">
        <f aca="false">IF(F601="","",IF(E601="","Diğer",E601))</f>
        <v/>
      </c>
      <c r="U601" s="32" t="str">
        <f aca="false">IF(OR(F601="",C601=""),"",IF(COUNTIF($C$2:C601,C601)=1,MAX($U$1:U600)+1,""))</f>
        <v/>
      </c>
    </row>
    <row r="602" customFormat="false" ht="15" hidden="false" customHeight="false" outlineLevel="0" collapsed="false">
      <c r="A602" s="34"/>
      <c r="B602" s="9"/>
      <c r="C602" s="34"/>
      <c r="D602" s="34"/>
      <c r="E602" s="34"/>
      <c r="F602" s="35"/>
      <c r="G602" s="9"/>
      <c r="H602" s="9"/>
      <c r="I602" s="34"/>
      <c r="J602" s="30" t="str">
        <f aca="false">IF(F602="","",G602-B602)</f>
        <v/>
      </c>
      <c r="K602" s="31" t="str">
        <f aca="false">IF(F602="","",IF(H602&lt;&gt;"",H602,MAX('Vade Sapması'!$D$3,G602)))</f>
        <v/>
      </c>
      <c r="L602" s="30" t="str">
        <f aca="false">IF(F602="","",K602-B602)</f>
        <v/>
      </c>
      <c r="M602" s="30" t="str">
        <f aca="false">IF(F602="","",L602-J602)</f>
        <v/>
      </c>
      <c r="N602" s="32" t="str">
        <f aca="false">IF(F602="","",IF(H602&lt;&gt;"","Kapandı",IF('Vade Sapması'!$D$3&gt;G602,"Açık · vadesi geçti","Açık · vadesi gelmedi")))</f>
        <v/>
      </c>
      <c r="O602" s="30" t="str">
        <f aca="false">IF(F602="","",IF(AND(H602="",'Vade Sapması'!$D$3&gt;G602),'Vade Sapması'!$D$3-G602,0))</f>
        <v/>
      </c>
      <c r="P602" s="33" t="str">
        <f aca="false">IF(F602="","",F602*J602)</f>
        <v/>
      </c>
      <c r="Q602" s="33" t="str">
        <f aca="false">IF(F602="","",F602*L602)</f>
        <v/>
      </c>
      <c r="R602" s="33" t="str">
        <f aca="false">IF(F602="","",IF(H602="",F602,0))</f>
        <v/>
      </c>
      <c r="S602" s="32" t="str">
        <f aca="false">IF(F602="","",IF(N(O602)=0,"",IF(O602&lt;=30,"1-30",IF(O602&lt;=60,"31-60",IF(O602&lt;=90,"61-90","90+")))))</f>
        <v/>
      </c>
      <c r="T602" s="32" t="str">
        <f aca="false">IF(F602="","",IF(E602="","Diğer",E602))</f>
        <v/>
      </c>
      <c r="U602" s="32" t="str">
        <f aca="false">IF(OR(F602="",C602=""),"",IF(COUNTIF($C$2:C602,C602)=1,MAX($U$1:U601)+1,""))</f>
        <v/>
      </c>
    </row>
    <row r="603" customFormat="false" ht="15" hidden="false" customHeight="false" outlineLevel="0" collapsed="false">
      <c r="A603" s="34"/>
      <c r="B603" s="9"/>
      <c r="C603" s="34"/>
      <c r="D603" s="34"/>
      <c r="E603" s="34"/>
      <c r="F603" s="35"/>
      <c r="G603" s="9"/>
      <c r="H603" s="9"/>
      <c r="I603" s="34"/>
      <c r="J603" s="30" t="str">
        <f aca="false">IF(F603="","",G603-B603)</f>
        <v/>
      </c>
      <c r="K603" s="31" t="str">
        <f aca="false">IF(F603="","",IF(H603&lt;&gt;"",H603,MAX('Vade Sapması'!$D$3,G603)))</f>
        <v/>
      </c>
      <c r="L603" s="30" t="str">
        <f aca="false">IF(F603="","",K603-B603)</f>
        <v/>
      </c>
      <c r="M603" s="30" t="str">
        <f aca="false">IF(F603="","",L603-J603)</f>
        <v/>
      </c>
      <c r="N603" s="32" t="str">
        <f aca="false">IF(F603="","",IF(H603&lt;&gt;"","Kapandı",IF('Vade Sapması'!$D$3&gt;G603,"Açık · vadesi geçti","Açık · vadesi gelmedi")))</f>
        <v/>
      </c>
      <c r="O603" s="30" t="str">
        <f aca="false">IF(F603="","",IF(AND(H603="",'Vade Sapması'!$D$3&gt;G603),'Vade Sapması'!$D$3-G603,0))</f>
        <v/>
      </c>
      <c r="P603" s="33" t="str">
        <f aca="false">IF(F603="","",F603*J603)</f>
        <v/>
      </c>
      <c r="Q603" s="33" t="str">
        <f aca="false">IF(F603="","",F603*L603)</f>
        <v/>
      </c>
      <c r="R603" s="33" t="str">
        <f aca="false">IF(F603="","",IF(H603="",F603,0))</f>
        <v/>
      </c>
      <c r="S603" s="32" t="str">
        <f aca="false">IF(F603="","",IF(N(O603)=0,"",IF(O603&lt;=30,"1-30",IF(O603&lt;=60,"31-60",IF(O603&lt;=90,"61-90","90+")))))</f>
        <v/>
      </c>
      <c r="T603" s="32" t="str">
        <f aca="false">IF(F603="","",IF(E603="","Diğer",E603))</f>
        <v/>
      </c>
      <c r="U603" s="32" t="str">
        <f aca="false">IF(OR(F603="",C603=""),"",IF(COUNTIF($C$2:C603,C603)=1,MAX($U$1:U602)+1,""))</f>
        <v/>
      </c>
    </row>
    <row r="604" customFormat="false" ht="15" hidden="false" customHeight="false" outlineLevel="0" collapsed="false">
      <c r="A604" s="34"/>
      <c r="B604" s="9"/>
      <c r="C604" s="34"/>
      <c r="D604" s="34"/>
      <c r="E604" s="34"/>
      <c r="F604" s="35"/>
      <c r="G604" s="9"/>
      <c r="H604" s="9"/>
      <c r="I604" s="34"/>
      <c r="J604" s="30" t="str">
        <f aca="false">IF(F604="","",G604-B604)</f>
        <v/>
      </c>
      <c r="K604" s="31" t="str">
        <f aca="false">IF(F604="","",IF(H604&lt;&gt;"",H604,MAX('Vade Sapması'!$D$3,G604)))</f>
        <v/>
      </c>
      <c r="L604" s="30" t="str">
        <f aca="false">IF(F604="","",K604-B604)</f>
        <v/>
      </c>
      <c r="M604" s="30" t="str">
        <f aca="false">IF(F604="","",L604-J604)</f>
        <v/>
      </c>
      <c r="N604" s="32" t="str">
        <f aca="false">IF(F604="","",IF(H604&lt;&gt;"","Kapandı",IF('Vade Sapması'!$D$3&gt;G604,"Açık · vadesi geçti","Açık · vadesi gelmedi")))</f>
        <v/>
      </c>
      <c r="O604" s="30" t="str">
        <f aca="false">IF(F604="","",IF(AND(H604="",'Vade Sapması'!$D$3&gt;G604),'Vade Sapması'!$D$3-G604,0))</f>
        <v/>
      </c>
      <c r="P604" s="33" t="str">
        <f aca="false">IF(F604="","",F604*J604)</f>
        <v/>
      </c>
      <c r="Q604" s="33" t="str">
        <f aca="false">IF(F604="","",F604*L604)</f>
        <v/>
      </c>
      <c r="R604" s="33" t="str">
        <f aca="false">IF(F604="","",IF(H604="",F604,0))</f>
        <v/>
      </c>
      <c r="S604" s="32" t="str">
        <f aca="false">IF(F604="","",IF(N(O604)=0,"",IF(O604&lt;=30,"1-30",IF(O604&lt;=60,"31-60",IF(O604&lt;=90,"61-90","90+")))))</f>
        <v/>
      </c>
      <c r="T604" s="32" t="str">
        <f aca="false">IF(F604="","",IF(E604="","Diğer",E604))</f>
        <v/>
      </c>
      <c r="U604" s="32" t="str">
        <f aca="false">IF(OR(F604="",C604=""),"",IF(COUNTIF($C$2:C604,C604)=1,MAX($U$1:U603)+1,""))</f>
        <v/>
      </c>
    </row>
    <row r="605" customFormat="false" ht="15" hidden="false" customHeight="false" outlineLevel="0" collapsed="false">
      <c r="A605" s="34"/>
      <c r="B605" s="9"/>
      <c r="C605" s="34"/>
      <c r="D605" s="34"/>
      <c r="E605" s="34"/>
      <c r="F605" s="35"/>
      <c r="G605" s="9"/>
      <c r="H605" s="9"/>
      <c r="I605" s="34"/>
      <c r="J605" s="30" t="str">
        <f aca="false">IF(F605="","",G605-B605)</f>
        <v/>
      </c>
      <c r="K605" s="31" t="str">
        <f aca="false">IF(F605="","",IF(H605&lt;&gt;"",H605,MAX('Vade Sapması'!$D$3,G605)))</f>
        <v/>
      </c>
      <c r="L605" s="30" t="str">
        <f aca="false">IF(F605="","",K605-B605)</f>
        <v/>
      </c>
      <c r="M605" s="30" t="str">
        <f aca="false">IF(F605="","",L605-J605)</f>
        <v/>
      </c>
      <c r="N605" s="32" t="str">
        <f aca="false">IF(F605="","",IF(H605&lt;&gt;"","Kapandı",IF('Vade Sapması'!$D$3&gt;G605,"Açık · vadesi geçti","Açık · vadesi gelmedi")))</f>
        <v/>
      </c>
      <c r="O605" s="30" t="str">
        <f aca="false">IF(F605="","",IF(AND(H605="",'Vade Sapması'!$D$3&gt;G605),'Vade Sapması'!$D$3-G605,0))</f>
        <v/>
      </c>
      <c r="P605" s="33" t="str">
        <f aca="false">IF(F605="","",F605*J605)</f>
        <v/>
      </c>
      <c r="Q605" s="33" t="str">
        <f aca="false">IF(F605="","",F605*L605)</f>
        <v/>
      </c>
      <c r="R605" s="33" t="str">
        <f aca="false">IF(F605="","",IF(H605="",F605,0))</f>
        <v/>
      </c>
      <c r="S605" s="32" t="str">
        <f aca="false">IF(F605="","",IF(N(O605)=0,"",IF(O605&lt;=30,"1-30",IF(O605&lt;=60,"31-60",IF(O605&lt;=90,"61-90","90+")))))</f>
        <v/>
      </c>
      <c r="T605" s="32" t="str">
        <f aca="false">IF(F605="","",IF(E605="","Diğer",E605))</f>
        <v/>
      </c>
      <c r="U605" s="32" t="str">
        <f aca="false">IF(OR(F605="",C605=""),"",IF(COUNTIF($C$2:C605,C605)=1,MAX($U$1:U604)+1,""))</f>
        <v/>
      </c>
    </row>
    <row r="606" customFormat="false" ht="15" hidden="false" customHeight="false" outlineLevel="0" collapsed="false">
      <c r="A606" s="34"/>
      <c r="B606" s="9"/>
      <c r="C606" s="34"/>
      <c r="D606" s="34"/>
      <c r="E606" s="34"/>
      <c r="F606" s="35"/>
      <c r="G606" s="9"/>
      <c r="H606" s="9"/>
      <c r="I606" s="34"/>
      <c r="J606" s="30" t="str">
        <f aca="false">IF(F606="","",G606-B606)</f>
        <v/>
      </c>
      <c r="K606" s="31" t="str">
        <f aca="false">IF(F606="","",IF(H606&lt;&gt;"",H606,MAX('Vade Sapması'!$D$3,G606)))</f>
        <v/>
      </c>
      <c r="L606" s="30" t="str">
        <f aca="false">IF(F606="","",K606-B606)</f>
        <v/>
      </c>
      <c r="M606" s="30" t="str">
        <f aca="false">IF(F606="","",L606-J606)</f>
        <v/>
      </c>
      <c r="N606" s="32" t="str">
        <f aca="false">IF(F606="","",IF(H606&lt;&gt;"","Kapandı",IF('Vade Sapması'!$D$3&gt;G606,"Açık · vadesi geçti","Açık · vadesi gelmedi")))</f>
        <v/>
      </c>
      <c r="O606" s="30" t="str">
        <f aca="false">IF(F606="","",IF(AND(H606="",'Vade Sapması'!$D$3&gt;G606),'Vade Sapması'!$D$3-G606,0))</f>
        <v/>
      </c>
      <c r="P606" s="33" t="str">
        <f aca="false">IF(F606="","",F606*J606)</f>
        <v/>
      </c>
      <c r="Q606" s="33" t="str">
        <f aca="false">IF(F606="","",F606*L606)</f>
        <v/>
      </c>
      <c r="R606" s="33" t="str">
        <f aca="false">IF(F606="","",IF(H606="",F606,0))</f>
        <v/>
      </c>
      <c r="S606" s="32" t="str">
        <f aca="false">IF(F606="","",IF(N(O606)=0,"",IF(O606&lt;=30,"1-30",IF(O606&lt;=60,"31-60",IF(O606&lt;=90,"61-90","90+")))))</f>
        <v/>
      </c>
      <c r="T606" s="32" t="str">
        <f aca="false">IF(F606="","",IF(E606="","Diğer",E606))</f>
        <v/>
      </c>
      <c r="U606" s="32" t="str">
        <f aca="false">IF(OR(F606="",C606=""),"",IF(COUNTIF($C$2:C606,C606)=1,MAX($U$1:U605)+1,""))</f>
        <v/>
      </c>
    </row>
    <row r="607" customFormat="false" ht="15" hidden="false" customHeight="false" outlineLevel="0" collapsed="false">
      <c r="A607" s="34"/>
      <c r="B607" s="9"/>
      <c r="C607" s="34"/>
      <c r="D607" s="34"/>
      <c r="E607" s="34"/>
      <c r="F607" s="35"/>
      <c r="G607" s="9"/>
      <c r="H607" s="9"/>
      <c r="I607" s="34"/>
      <c r="J607" s="30" t="str">
        <f aca="false">IF(F607="","",G607-B607)</f>
        <v/>
      </c>
      <c r="K607" s="31" t="str">
        <f aca="false">IF(F607="","",IF(H607&lt;&gt;"",H607,MAX('Vade Sapması'!$D$3,G607)))</f>
        <v/>
      </c>
      <c r="L607" s="30" t="str">
        <f aca="false">IF(F607="","",K607-B607)</f>
        <v/>
      </c>
      <c r="M607" s="30" t="str">
        <f aca="false">IF(F607="","",L607-J607)</f>
        <v/>
      </c>
      <c r="N607" s="32" t="str">
        <f aca="false">IF(F607="","",IF(H607&lt;&gt;"","Kapandı",IF('Vade Sapması'!$D$3&gt;G607,"Açık · vadesi geçti","Açık · vadesi gelmedi")))</f>
        <v/>
      </c>
      <c r="O607" s="30" t="str">
        <f aca="false">IF(F607="","",IF(AND(H607="",'Vade Sapması'!$D$3&gt;G607),'Vade Sapması'!$D$3-G607,0))</f>
        <v/>
      </c>
      <c r="P607" s="33" t="str">
        <f aca="false">IF(F607="","",F607*J607)</f>
        <v/>
      </c>
      <c r="Q607" s="33" t="str">
        <f aca="false">IF(F607="","",F607*L607)</f>
        <v/>
      </c>
      <c r="R607" s="33" t="str">
        <f aca="false">IF(F607="","",IF(H607="",F607,0))</f>
        <v/>
      </c>
      <c r="S607" s="32" t="str">
        <f aca="false">IF(F607="","",IF(N(O607)=0,"",IF(O607&lt;=30,"1-30",IF(O607&lt;=60,"31-60",IF(O607&lt;=90,"61-90","90+")))))</f>
        <v/>
      </c>
      <c r="T607" s="32" t="str">
        <f aca="false">IF(F607="","",IF(E607="","Diğer",E607))</f>
        <v/>
      </c>
      <c r="U607" s="32" t="str">
        <f aca="false">IF(OR(F607="",C607=""),"",IF(COUNTIF($C$2:C607,C607)=1,MAX($U$1:U606)+1,""))</f>
        <v/>
      </c>
    </row>
    <row r="608" customFormat="false" ht="15" hidden="false" customHeight="false" outlineLevel="0" collapsed="false">
      <c r="A608" s="34"/>
      <c r="B608" s="9"/>
      <c r="C608" s="34"/>
      <c r="D608" s="34"/>
      <c r="E608" s="34"/>
      <c r="F608" s="35"/>
      <c r="G608" s="9"/>
      <c r="H608" s="9"/>
      <c r="I608" s="34"/>
      <c r="J608" s="30" t="str">
        <f aca="false">IF(F608="","",G608-B608)</f>
        <v/>
      </c>
      <c r="K608" s="31" t="str">
        <f aca="false">IF(F608="","",IF(H608&lt;&gt;"",H608,MAX('Vade Sapması'!$D$3,G608)))</f>
        <v/>
      </c>
      <c r="L608" s="30" t="str">
        <f aca="false">IF(F608="","",K608-B608)</f>
        <v/>
      </c>
      <c r="M608" s="30" t="str">
        <f aca="false">IF(F608="","",L608-J608)</f>
        <v/>
      </c>
      <c r="N608" s="32" t="str">
        <f aca="false">IF(F608="","",IF(H608&lt;&gt;"","Kapandı",IF('Vade Sapması'!$D$3&gt;G608,"Açık · vadesi geçti","Açık · vadesi gelmedi")))</f>
        <v/>
      </c>
      <c r="O608" s="30" t="str">
        <f aca="false">IF(F608="","",IF(AND(H608="",'Vade Sapması'!$D$3&gt;G608),'Vade Sapması'!$D$3-G608,0))</f>
        <v/>
      </c>
      <c r="P608" s="33" t="str">
        <f aca="false">IF(F608="","",F608*J608)</f>
        <v/>
      </c>
      <c r="Q608" s="33" t="str">
        <f aca="false">IF(F608="","",F608*L608)</f>
        <v/>
      </c>
      <c r="R608" s="33" t="str">
        <f aca="false">IF(F608="","",IF(H608="",F608,0))</f>
        <v/>
      </c>
      <c r="S608" s="32" t="str">
        <f aca="false">IF(F608="","",IF(N(O608)=0,"",IF(O608&lt;=30,"1-30",IF(O608&lt;=60,"31-60",IF(O608&lt;=90,"61-90","90+")))))</f>
        <v/>
      </c>
      <c r="T608" s="32" t="str">
        <f aca="false">IF(F608="","",IF(E608="","Diğer",E608))</f>
        <v/>
      </c>
      <c r="U608" s="32" t="str">
        <f aca="false">IF(OR(F608="",C608=""),"",IF(COUNTIF($C$2:C608,C608)=1,MAX($U$1:U607)+1,""))</f>
        <v/>
      </c>
    </row>
    <row r="609" customFormat="false" ht="15" hidden="false" customHeight="false" outlineLevel="0" collapsed="false">
      <c r="A609" s="34"/>
      <c r="B609" s="9"/>
      <c r="C609" s="34"/>
      <c r="D609" s="34"/>
      <c r="E609" s="34"/>
      <c r="F609" s="35"/>
      <c r="G609" s="9"/>
      <c r="H609" s="9"/>
      <c r="I609" s="34"/>
      <c r="J609" s="30" t="str">
        <f aca="false">IF(F609="","",G609-B609)</f>
        <v/>
      </c>
      <c r="K609" s="31" t="str">
        <f aca="false">IF(F609="","",IF(H609&lt;&gt;"",H609,MAX('Vade Sapması'!$D$3,G609)))</f>
        <v/>
      </c>
      <c r="L609" s="30" t="str">
        <f aca="false">IF(F609="","",K609-B609)</f>
        <v/>
      </c>
      <c r="M609" s="30" t="str">
        <f aca="false">IF(F609="","",L609-J609)</f>
        <v/>
      </c>
      <c r="N609" s="32" t="str">
        <f aca="false">IF(F609="","",IF(H609&lt;&gt;"","Kapandı",IF('Vade Sapması'!$D$3&gt;G609,"Açık · vadesi geçti","Açık · vadesi gelmedi")))</f>
        <v/>
      </c>
      <c r="O609" s="30" t="str">
        <f aca="false">IF(F609="","",IF(AND(H609="",'Vade Sapması'!$D$3&gt;G609),'Vade Sapması'!$D$3-G609,0))</f>
        <v/>
      </c>
      <c r="P609" s="33" t="str">
        <f aca="false">IF(F609="","",F609*J609)</f>
        <v/>
      </c>
      <c r="Q609" s="33" t="str">
        <f aca="false">IF(F609="","",F609*L609)</f>
        <v/>
      </c>
      <c r="R609" s="33" t="str">
        <f aca="false">IF(F609="","",IF(H609="",F609,0))</f>
        <v/>
      </c>
      <c r="S609" s="32" t="str">
        <f aca="false">IF(F609="","",IF(N(O609)=0,"",IF(O609&lt;=30,"1-30",IF(O609&lt;=60,"31-60",IF(O609&lt;=90,"61-90","90+")))))</f>
        <v/>
      </c>
      <c r="T609" s="32" t="str">
        <f aca="false">IF(F609="","",IF(E609="","Diğer",E609))</f>
        <v/>
      </c>
      <c r="U609" s="32" t="str">
        <f aca="false">IF(OR(F609="",C609=""),"",IF(COUNTIF($C$2:C609,C609)=1,MAX($U$1:U608)+1,""))</f>
        <v/>
      </c>
    </row>
    <row r="610" customFormat="false" ht="15" hidden="false" customHeight="false" outlineLevel="0" collapsed="false">
      <c r="A610" s="34"/>
      <c r="B610" s="9"/>
      <c r="C610" s="34"/>
      <c r="D610" s="34"/>
      <c r="E610" s="34"/>
      <c r="F610" s="35"/>
      <c r="G610" s="9"/>
      <c r="H610" s="9"/>
      <c r="I610" s="34"/>
      <c r="J610" s="30" t="str">
        <f aca="false">IF(F610="","",G610-B610)</f>
        <v/>
      </c>
      <c r="K610" s="31" t="str">
        <f aca="false">IF(F610="","",IF(H610&lt;&gt;"",H610,MAX('Vade Sapması'!$D$3,G610)))</f>
        <v/>
      </c>
      <c r="L610" s="30" t="str">
        <f aca="false">IF(F610="","",K610-B610)</f>
        <v/>
      </c>
      <c r="M610" s="30" t="str">
        <f aca="false">IF(F610="","",L610-J610)</f>
        <v/>
      </c>
      <c r="N610" s="32" t="str">
        <f aca="false">IF(F610="","",IF(H610&lt;&gt;"","Kapandı",IF('Vade Sapması'!$D$3&gt;G610,"Açık · vadesi geçti","Açık · vadesi gelmedi")))</f>
        <v/>
      </c>
      <c r="O610" s="30" t="str">
        <f aca="false">IF(F610="","",IF(AND(H610="",'Vade Sapması'!$D$3&gt;G610),'Vade Sapması'!$D$3-G610,0))</f>
        <v/>
      </c>
      <c r="P610" s="33" t="str">
        <f aca="false">IF(F610="","",F610*J610)</f>
        <v/>
      </c>
      <c r="Q610" s="33" t="str">
        <f aca="false">IF(F610="","",F610*L610)</f>
        <v/>
      </c>
      <c r="R610" s="33" t="str">
        <f aca="false">IF(F610="","",IF(H610="",F610,0))</f>
        <v/>
      </c>
      <c r="S610" s="32" t="str">
        <f aca="false">IF(F610="","",IF(N(O610)=0,"",IF(O610&lt;=30,"1-30",IF(O610&lt;=60,"31-60",IF(O610&lt;=90,"61-90","90+")))))</f>
        <v/>
      </c>
      <c r="T610" s="32" t="str">
        <f aca="false">IF(F610="","",IF(E610="","Diğer",E610))</f>
        <v/>
      </c>
      <c r="U610" s="32" t="str">
        <f aca="false">IF(OR(F610="",C610=""),"",IF(COUNTIF($C$2:C610,C610)=1,MAX($U$1:U609)+1,""))</f>
        <v/>
      </c>
    </row>
    <row r="611" customFormat="false" ht="15" hidden="false" customHeight="false" outlineLevel="0" collapsed="false">
      <c r="A611" s="34"/>
      <c r="B611" s="9"/>
      <c r="C611" s="34"/>
      <c r="D611" s="34"/>
      <c r="E611" s="34"/>
      <c r="F611" s="35"/>
      <c r="G611" s="9"/>
      <c r="H611" s="9"/>
      <c r="I611" s="34"/>
      <c r="J611" s="30" t="str">
        <f aca="false">IF(F611="","",G611-B611)</f>
        <v/>
      </c>
      <c r="K611" s="31" t="str">
        <f aca="false">IF(F611="","",IF(H611&lt;&gt;"",H611,MAX('Vade Sapması'!$D$3,G611)))</f>
        <v/>
      </c>
      <c r="L611" s="30" t="str">
        <f aca="false">IF(F611="","",K611-B611)</f>
        <v/>
      </c>
      <c r="M611" s="30" t="str">
        <f aca="false">IF(F611="","",L611-J611)</f>
        <v/>
      </c>
      <c r="N611" s="32" t="str">
        <f aca="false">IF(F611="","",IF(H611&lt;&gt;"","Kapandı",IF('Vade Sapması'!$D$3&gt;G611,"Açık · vadesi geçti","Açık · vadesi gelmedi")))</f>
        <v/>
      </c>
      <c r="O611" s="30" t="str">
        <f aca="false">IF(F611="","",IF(AND(H611="",'Vade Sapması'!$D$3&gt;G611),'Vade Sapması'!$D$3-G611,0))</f>
        <v/>
      </c>
      <c r="P611" s="33" t="str">
        <f aca="false">IF(F611="","",F611*J611)</f>
        <v/>
      </c>
      <c r="Q611" s="33" t="str">
        <f aca="false">IF(F611="","",F611*L611)</f>
        <v/>
      </c>
      <c r="R611" s="33" t="str">
        <f aca="false">IF(F611="","",IF(H611="",F611,0))</f>
        <v/>
      </c>
      <c r="S611" s="32" t="str">
        <f aca="false">IF(F611="","",IF(N(O611)=0,"",IF(O611&lt;=30,"1-30",IF(O611&lt;=60,"31-60",IF(O611&lt;=90,"61-90","90+")))))</f>
        <v/>
      </c>
      <c r="T611" s="32" t="str">
        <f aca="false">IF(F611="","",IF(E611="","Diğer",E611))</f>
        <v/>
      </c>
      <c r="U611" s="32" t="str">
        <f aca="false">IF(OR(F611="",C611=""),"",IF(COUNTIF($C$2:C611,C611)=1,MAX($U$1:U610)+1,""))</f>
        <v/>
      </c>
    </row>
    <row r="612" customFormat="false" ht="15" hidden="false" customHeight="false" outlineLevel="0" collapsed="false">
      <c r="A612" s="34"/>
      <c r="B612" s="9"/>
      <c r="C612" s="34"/>
      <c r="D612" s="34"/>
      <c r="E612" s="34"/>
      <c r="F612" s="35"/>
      <c r="G612" s="9"/>
      <c r="H612" s="9"/>
      <c r="I612" s="34"/>
      <c r="J612" s="30" t="str">
        <f aca="false">IF(F612="","",G612-B612)</f>
        <v/>
      </c>
      <c r="K612" s="31" t="str">
        <f aca="false">IF(F612="","",IF(H612&lt;&gt;"",H612,MAX('Vade Sapması'!$D$3,G612)))</f>
        <v/>
      </c>
      <c r="L612" s="30" t="str">
        <f aca="false">IF(F612="","",K612-B612)</f>
        <v/>
      </c>
      <c r="M612" s="30" t="str">
        <f aca="false">IF(F612="","",L612-J612)</f>
        <v/>
      </c>
      <c r="N612" s="32" t="str">
        <f aca="false">IF(F612="","",IF(H612&lt;&gt;"","Kapandı",IF('Vade Sapması'!$D$3&gt;G612,"Açık · vadesi geçti","Açık · vadesi gelmedi")))</f>
        <v/>
      </c>
      <c r="O612" s="30" t="str">
        <f aca="false">IF(F612="","",IF(AND(H612="",'Vade Sapması'!$D$3&gt;G612),'Vade Sapması'!$D$3-G612,0))</f>
        <v/>
      </c>
      <c r="P612" s="33" t="str">
        <f aca="false">IF(F612="","",F612*J612)</f>
        <v/>
      </c>
      <c r="Q612" s="33" t="str">
        <f aca="false">IF(F612="","",F612*L612)</f>
        <v/>
      </c>
      <c r="R612" s="33" t="str">
        <f aca="false">IF(F612="","",IF(H612="",F612,0))</f>
        <v/>
      </c>
      <c r="S612" s="32" t="str">
        <f aca="false">IF(F612="","",IF(N(O612)=0,"",IF(O612&lt;=30,"1-30",IF(O612&lt;=60,"31-60",IF(O612&lt;=90,"61-90","90+")))))</f>
        <v/>
      </c>
      <c r="T612" s="32" t="str">
        <f aca="false">IF(F612="","",IF(E612="","Diğer",E612))</f>
        <v/>
      </c>
      <c r="U612" s="32" t="str">
        <f aca="false">IF(OR(F612="",C612=""),"",IF(COUNTIF($C$2:C612,C612)=1,MAX($U$1:U611)+1,""))</f>
        <v/>
      </c>
    </row>
    <row r="613" customFormat="false" ht="15" hidden="false" customHeight="false" outlineLevel="0" collapsed="false">
      <c r="A613" s="34"/>
      <c r="B613" s="9"/>
      <c r="C613" s="34"/>
      <c r="D613" s="34"/>
      <c r="E613" s="34"/>
      <c r="F613" s="35"/>
      <c r="G613" s="9"/>
      <c r="H613" s="9"/>
      <c r="I613" s="34"/>
      <c r="J613" s="30" t="str">
        <f aca="false">IF(F613="","",G613-B613)</f>
        <v/>
      </c>
      <c r="K613" s="31" t="str">
        <f aca="false">IF(F613="","",IF(H613&lt;&gt;"",H613,MAX('Vade Sapması'!$D$3,G613)))</f>
        <v/>
      </c>
      <c r="L613" s="30" t="str">
        <f aca="false">IF(F613="","",K613-B613)</f>
        <v/>
      </c>
      <c r="M613" s="30" t="str">
        <f aca="false">IF(F613="","",L613-J613)</f>
        <v/>
      </c>
      <c r="N613" s="32" t="str">
        <f aca="false">IF(F613="","",IF(H613&lt;&gt;"","Kapandı",IF('Vade Sapması'!$D$3&gt;G613,"Açık · vadesi geçti","Açık · vadesi gelmedi")))</f>
        <v/>
      </c>
      <c r="O613" s="30" t="str">
        <f aca="false">IF(F613="","",IF(AND(H613="",'Vade Sapması'!$D$3&gt;G613),'Vade Sapması'!$D$3-G613,0))</f>
        <v/>
      </c>
      <c r="P613" s="33" t="str">
        <f aca="false">IF(F613="","",F613*J613)</f>
        <v/>
      </c>
      <c r="Q613" s="33" t="str">
        <f aca="false">IF(F613="","",F613*L613)</f>
        <v/>
      </c>
      <c r="R613" s="33" t="str">
        <f aca="false">IF(F613="","",IF(H613="",F613,0))</f>
        <v/>
      </c>
      <c r="S613" s="32" t="str">
        <f aca="false">IF(F613="","",IF(N(O613)=0,"",IF(O613&lt;=30,"1-30",IF(O613&lt;=60,"31-60",IF(O613&lt;=90,"61-90","90+")))))</f>
        <v/>
      </c>
      <c r="T613" s="32" t="str">
        <f aca="false">IF(F613="","",IF(E613="","Diğer",E613))</f>
        <v/>
      </c>
      <c r="U613" s="32" t="str">
        <f aca="false">IF(OR(F613="",C613=""),"",IF(COUNTIF($C$2:C613,C613)=1,MAX($U$1:U612)+1,""))</f>
        <v/>
      </c>
    </row>
    <row r="614" customFormat="false" ht="15" hidden="false" customHeight="false" outlineLevel="0" collapsed="false">
      <c r="A614" s="34"/>
      <c r="B614" s="9"/>
      <c r="C614" s="34"/>
      <c r="D614" s="34"/>
      <c r="E614" s="34"/>
      <c r="F614" s="35"/>
      <c r="G614" s="9"/>
      <c r="H614" s="9"/>
      <c r="I614" s="34"/>
      <c r="J614" s="30" t="str">
        <f aca="false">IF(F614="","",G614-B614)</f>
        <v/>
      </c>
      <c r="K614" s="31" t="str">
        <f aca="false">IF(F614="","",IF(H614&lt;&gt;"",H614,MAX('Vade Sapması'!$D$3,G614)))</f>
        <v/>
      </c>
      <c r="L614" s="30" t="str">
        <f aca="false">IF(F614="","",K614-B614)</f>
        <v/>
      </c>
      <c r="M614" s="30" t="str">
        <f aca="false">IF(F614="","",L614-J614)</f>
        <v/>
      </c>
      <c r="N614" s="32" t="str">
        <f aca="false">IF(F614="","",IF(H614&lt;&gt;"","Kapandı",IF('Vade Sapması'!$D$3&gt;G614,"Açık · vadesi geçti","Açık · vadesi gelmedi")))</f>
        <v/>
      </c>
      <c r="O614" s="30" t="str">
        <f aca="false">IF(F614="","",IF(AND(H614="",'Vade Sapması'!$D$3&gt;G614),'Vade Sapması'!$D$3-G614,0))</f>
        <v/>
      </c>
      <c r="P614" s="33" t="str">
        <f aca="false">IF(F614="","",F614*J614)</f>
        <v/>
      </c>
      <c r="Q614" s="33" t="str">
        <f aca="false">IF(F614="","",F614*L614)</f>
        <v/>
      </c>
      <c r="R614" s="33" t="str">
        <f aca="false">IF(F614="","",IF(H614="",F614,0))</f>
        <v/>
      </c>
      <c r="S614" s="32" t="str">
        <f aca="false">IF(F614="","",IF(N(O614)=0,"",IF(O614&lt;=30,"1-30",IF(O614&lt;=60,"31-60",IF(O614&lt;=90,"61-90","90+")))))</f>
        <v/>
      </c>
      <c r="T614" s="32" t="str">
        <f aca="false">IF(F614="","",IF(E614="","Diğer",E614))</f>
        <v/>
      </c>
      <c r="U614" s="32" t="str">
        <f aca="false">IF(OR(F614="",C614=""),"",IF(COUNTIF($C$2:C614,C614)=1,MAX($U$1:U613)+1,""))</f>
        <v/>
      </c>
    </row>
    <row r="615" customFormat="false" ht="15" hidden="false" customHeight="false" outlineLevel="0" collapsed="false">
      <c r="A615" s="34"/>
      <c r="B615" s="9"/>
      <c r="C615" s="34"/>
      <c r="D615" s="34"/>
      <c r="E615" s="34"/>
      <c r="F615" s="35"/>
      <c r="G615" s="9"/>
      <c r="H615" s="9"/>
      <c r="I615" s="34"/>
      <c r="J615" s="30" t="str">
        <f aca="false">IF(F615="","",G615-B615)</f>
        <v/>
      </c>
      <c r="K615" s="31" t="str">
        <f aca="false">IF(F615="","",IF(H615&lt;&gt;"",H615,MAX('Vade Sapması'!$D$3,G615)))</f>
        <v/>
      </c>
      <c r="L615" s="30" t="str">
        <f aca="false">IF(F615="","",K615-B615)</f>
        <v/>
      </c>
      <c r="M615" s="30" t="str">
        <f aca="false">IF(F615="","",L615-J615)</f>
        <v/>
      </c>
      <c r="N615" s="32" t="str">
        <f aca="false">IF(F615="","",IF(H615&lt;&gt;"","Kapandı",IF('Vade Sapması'!$D$3&gt;G615,"Açık · vadesi geçti","Açık · vadesi gelmedi")))</f>
        <v/>
      </c>
      <c r="O615" s="30" t="str">
        <f aca="false">IF(F615="","",IF(AND(H615="",'Vade Sapması'!$D$3&gt;G615),'Vade Sapması'!$D$3-G615,0))</f>
        <v/>
      </c>
      <c r="P615" s="33" t="str">
        <f aca="false">IF(F615="","",F615*J615)</f>
        <v/>
      </c>
      <c r="Q615" s="33" t="str">
        <f aca="false">IF(F615="","",F615*L615)</f>
        <v/>
      </c>
      <c r="R615" s="33" t="str">
        <f aca="false">IF(F615="","",IF(H615="",F615,0))</f>
        <v/>
      </c>
      <c r="S615" s="32" t="str">
        <f aca="false">IF(F615="","",IF(N(O615)=0,"",IF(O615&lt;=30,"1-30",IF(O615&lt;=60,"31-60",IF(O615&lt;=90,"61-90","90+")))))</f>
        <v/>
      </c>
      <c r="T615" s="32" t="str">
        <f aca="false">IF(F615="","",IF(E615="","Diğer",E615))</f>
        <v/>
      </c>
      <c r="U615" s="32" t="str">
        <f aca="false">IF(OR(F615="",C615=""),"",IF(COUNTIF($C$2:C615,C615)=1,MAX($U$1:U614)+1,""))</f>
        <v/>
      </c>
    </row>
    <row r="616" customFormat="false" ht="15" hidden="false" customHeight="false" outlineLevel="0" collapsed="false">
      <c r="A616" s="34"/>
      <c r="B616" s="9"/>
      <c r="C616" s="34"/>
      <c r="D616" s="34"/>
      <c r="E616" s="34"/>
      <c r="F616" s="35"/>
      <c r="G616" s="9"/>
      <c r="H616" s="9"/>
      <c r="I616" s="34"/>
      <c r="J616" s="30" t="str">
        <f aca="false">IF(F616="","",G616-B616)</f>
        <v/>
      </c>
      <c r="K616" s="31" t="str">
        <f aca="false">IF(F616="","",IF(H616&lt;&gt;"",H616,MAX('Vade Sapması'!$D$3,G616)))</f>
        <v/>
      </c>
      <c r="L616" s="30" t="str">
        <f aca="false">IF(F616="","",K616-B616)</f>
        <v/>
      </c>
      <c r="M616" s="30" t="str">
        <f aca="false">IF(F616="","",L616-J616)</f>
        <v/>
      </c>
      <c r="N616" s="32" t="str">
        <f aca="false">IF(F616="","",IF(H616&lt;&gt;"","Kapandı",IF('Vade Sapması'!$D$3&gt;G616,"Açık · vadesi geçti","Açık · vadesi gelmedi")))</f>
        <v/>
      </c>
      <c r="O616" s="30" t="str">
        <f aca="false">IF(F616="","",IF(AND(H616="",'Vade Sapması'!$D$3&gt;G616),'Vade Sapması'!$D$3-G616,0))</f>
        <v/>
      </c>
      <c r="P616" s="33" t="str">
        <f aca="false">IF(F616="","",F616*J616)</f>
        <v/>
      </c>
      <c r="Q616" s="33" t="str">
        <f aca="false">IF(F616="","",F616*L616)</f>
        <v/>
      </c>
      <c r="R616" s="33" t="str">
        <f aca="false">IF(F616="","",IF(H616="",F616,0))</f>
        <v/>
      </c>
      <c r="S616" s="32" t="str">
        <f aca="false">IF(F616="","",IF(N(O616)=0,"",IF(O616&lt;=30,"1-30",IF(O616&lt;=60,"31-60",IF(O616&lt;=90,"61-90","90+")))))</f>
        <v/>
      </c>
      <c r="T616" s="32" t="str">
        <f aca="false">IF(F616="","",IF(E616="","Diğer",E616))</f>
        <v/>
      </c>
      <c r="U616" s="32" t="str">
        <f aca="false">IF(OR(F616="",C616=""),"",IF(COUNTIF($C$2:C616,C616)=1,MAX($U$1:U615)+1,""))</f>
        <v/>
      </c>
    </row>
    <row r="617" customFormat="false" ht="15" hidden="false" customHeight="false" outlineLevel="0" collapsed="false">
      <c r="A617" s="34"/>
      <c r="B617" s="9"/>
      <c r="C617" s="34"/>
      <c r="D617" s="34"/>
      <c r="E617" s="34"/>
      <c r="F617" s="35"/>
      <c r="G617" s="9"/>
      <c r="H617" s="9"/>
      <c r="I617" s="34"/>
      <c r="J617" s="30" t="str">
        <f aca="false">IF(F617="","",G617-B617)</f>
        <v/>
      </c>
      <c r="K617" s="31" t="str">
        <f aca="false">IF(F617="","",IF(H617&lt;&gt;"",H617,MAX('Vade Sapması'!$D$3,G617)))</f>
        <v/>
      </c>
      <c r="L617" s="30" t="str">
        <f aca="false">IF(F617="","",K617-B617)</f>
        <v/>
      </c>
      <c r="M617" s="30" t="str">
        <f aca="false">IF(F617="","",L617-J617)</f>
        <v/>
      </c>
      <c r="N617" s="32" t="str">
        <f aca="false">IF(F617="","",IF(H617&lt;&gt;"","Kapandı",IF('Vade Sapması'!$D$3&gt;G617,"Açık · vadesi geçti","Açık · vadesi gelmedi")))</f>
        <v/>
      </c>
      <c r="O617" s="30" t="str">
        <f aca="false">IF(F617="","",IF(AND(H617="",'Vade Sapması'!$D$3&gt;G617),'Vade Sapması'!$D$3-G617,0))</f>
        <v/>
      </c>
      <c r="P617" s="33" t="str">
        <f aca="false">IF(F617="","",F617*J617)</f>
        <v/>
      </c>
      <c r="Q617" s="33" t="str">
        <f aca="false">IF(F617="","",F617*L617)</f>
        <v/>
      </c>
      <c r="R617" s="33" t="str">
        <f aca="false">IF(F617="","",IF(H617="",F617,0))</f>
        <v/>
      </c>
      <c r="S617" s="32" t="str">
        <f aca="false">IF(F617="","",IF(N(O617)=0,"",IF(O617&lt;=30,"1-30",IF(O617&lt;=60,"31-60",IF(O617&lt;=90,"61-90","90+")))))</f>
        <v/>
      </c>
      <c r="T617" s="32" t="str">
        <f aca="false">IF(F617="","",IF(E617="","Diğer",E617))</f>
        <v/>
      </c>
      <c r="U617" s="32" t="str">
        <f aca="false">IF(OR(F617="",C617=""),"",IF(COUNTIF($C$2:C617,C617)=1,MAX($U$1:U616)+1,""))</f>
        <v/>
      </c>
    </row>
    <row r="618" customFormat="false" ht="15" hidden="false" customHeight="false" outlineLevel="0" collapsed="false">
      <c r="A618" s="34"/>
      <c r="B618" s="9"/>
      <c r="C618" s="34"/>
      <c r="D618" s="34"/>
      <c r="E618" s="34"/>
      <c r="F618" s="35"/>
      <c r="G618" s="9"/>
      <c r="H618" s="9"/>
      <c r="I618" s="34"/>
      <c r="J618" s="30" t="str">
        <f aca="false">IF(F618="","",G618-B618)</f>
        <v/>
      </c>
      <c r="K618" s="31" t="str">
        <f aca="false">IF(F618="","",IF(H618&lt;&gt;"",H618,MAX('Vade Sapması'!$D$3,G618)))</f>
        <v/>
      </c>
      <c r="L618" s="30" t="str">
        <f aca="false">IF(F618="","",K618-B618)</f>
        <v/>
      </c>
      <c r="M618" s="30" t="str">
        <f aca="false">IF(F618="","",L618-J618)</f>
        <v/>
      </c>
      <c r="N618" s="32" t="str">
        <f aca="false">IF(F618="","",IF(H618&lt;&gt;"","Kapandı",IF('Vade Sapması'!$D$3&gt;G618,"Açık · vadesi geçti","Açık · vadesi gelmedi")))</f>
        <v/>
      </c>
      <c r="O618" s="30" t="str">
        <f aca="false">IF(F618="","",IF(AND(H618="",'Vade Sapması'!$D$3&gt;G618),'Vade Sapması'!$D$3-G618,0))</f>
        <v/>
      </c>
      <c r="P618" s="33" t="str">
        <f aca="false">IF(F618="","",F618*J618)</f>
        <v/>
      </c>
      <c r="Q618" s="33" t="str">
        <f aca="false">IF(F618="","",F618*L618)</f>
        <v/>
      </c>
      <c r="R618" s="33" t="str">
        <f aca="false">IF(F618="","",IF(H618="",F618,0))</f>
        <v/>
      </c>
      <c r="S618" s="32" t="str">
        <f aca="false">IF(F618="","",IF(N(O618)=0,"",IF(O618&lt;=30,"1-30",IF(O618&lt;=60,"31-60",IF(O618&lt;=90,"61-90","90+")))))</f>
        <v/>
      </c>
      <c r="T618" s="32" t="str">
        <f aca="false">IF(F618="","",IF(E618="","Diğer",E618))</f>
        <v/>
      </c>
      <c r="U618" s="32" t="str">
        <f aca="false">IF(OR(F618="",C618=""),"",IF(COUNTIF($C$2:C618,C618)=1,MAX($U$1:U617)+1,""))</f>
        <v/>
      </c>
    </row>
    <row r="619" customFormat="false" ht="15" hidden="false" customHeight="false" outlineLevel="0" collapsed="false">
      <c r="A619" s="34"/>
      <c r="B619" s="9"/>
      <c r="C619" s="34"/>
      <c r="D619" s="34"/>
      <c r="E619" s="34"/>
      <c r="F619" s="35"/>
      <c r="G619" s="9"/>
      <c r="H619" s="9"/>
      <c r="I619" s="34"/>
      <c r="J619" s="30" t="str">
        <f aca="false">IF(F619="","",G619-B619)</f>
        <v/>
      </c>
      <c r="K619" s="31" t="str">
        <f aca="false">IF(F619="","",IF(H619&lt;&gt;"",H619,MAX('Vade Sapması'!$D$3,G619)))</f>
        <v/>
      </c>
      <c r="L619" s="30" t="str">
        <f aca="false">IF(F619="","",K619-B619)</f>
        <v/>
      </c>
      <c r="M619" s="30" t="str">
        <f aca="false">IF(F619="","",L619-J619)</f>
        <v/>
      </c>
      <c r="N619" s="32" t="str">
        <f aca="false">IF(F619="","",IF(H619&lt;&gt;"","Kapandı",IF('Vade Sapması'!$D$3&gt;G619,"Açık · vadesi geçti","Açık · vadesi gelmedi")))</f>
        <v/>
      </c>
      <c r="O619" s="30" t="str">
        <f aca="false">IF(F619="","",IF(AND(H619="",'Vade Sapması'!$D$3&gt;G619),'Vade Sapması'!$D$3-G619,0))</f>
        <v/>
      </c>
      <c r="P619" s="33" t="str">
        <f aca="false">IF(F619="","",F619*J619)</f>
        <v/>
      </c>
      <c r="Q619" s="33" t="str">
        <f aca="false">IF(F619="","",F619*L619)</f>
        <v/>
      </c>
      <c r="R619" s="33" t="str">
        <f aca="false">IF(F619="","",IF(H619="",F619,0))</f>
        <v/>
      </c>
      <c r="S619" s="32" t="str">
        <f aca="false">IF(F619="","",IF(N(O619)=0,"",IF(O619&lt;=30,"1-30",IF(O619&lt;=60,"31-60",IF(O619&lt;=90,"61-90","90+")))))</f>
        <v/>
      </c>
      <c r="T619" s="32" t="str">
        <f aca="false">IF(F619="","",IF(E619="","Diğer",E619))</f>
        <v/>
      </c>
      <c r="U619" s="32" t="str">
        <f aca="false">IF(OR(F619="",C619=""),"",IF(COUNTIF($C$2:C619,C619)=1,MAX($U$1:U618)+1,""))</f>
        <v/>
      </c>
    </row>
    <row r="620" customFormat="false" ht="15" hidden="false" customHeight="false" outlineLevel="0" collapsed="false">
      <c r="A620" s="34"/>
      <c r="B620" s="9"/>
      <c r="C620" s="34"/>
      <c r="D620" s="34"/>
      <c r="E620" s="34"/>
      <c r="F620" s="35"/>
      <c r="G620" s="9"/>
      <c r="H620" s="9"/>
      <c r="I620" s="34"/>
      <c r="J620" s="30" t="str">
        <f aca="false">IF(F620="","",G620-B620)</f>
        <v/>
      </c>
      <c r="K620" s="31" t="str">
        <f aca="false">IF(F620="","",IF(H620&lt;&gt;"",H620,MAX('Vade Sapması'!$D$3,G620)))</f>
        <v/>
      </c>
      <c r="L620" s="30" t="str">
        <f aca="false">IF(F620="","",K620-B620)</f>
        <v/>
      </c>
      <c r="M620" s="30" t="str">
        <f aca="false">IF(F620="","",L620-J620)</f>
        <v/>
      </c>
      <c r="N620" s="32" t="str">
        <f aca="false">IF(F620="","",IF(H620&lt;&gt;"","Kapandı",IF('Vade Sapması'!$D$3&gt;G620,"Açık · vadesi geçti","Açık · vadesi gelmedi")))</f>
        <v/>
      </c>
      <c r="O620" s="30" t="str">
        <f aca="false">IF(F620="","",IF(AND(H620="",'Vade Sapması'!$D$3&gt;G620),'Vade Sapması'!$D$3-G620,0))</f>
        <v/>
      </c>
      <c r="P620" s="33" t="str">
        <f aca="false">IF(F620="","",F620*J620)</f>
        <v/>
      </c>
      <c r="Q620" s="33" t="str">
        <f aca="false">IF(F620="","",F620*L620)</f>
        <v/>
      </c>
      <c r="R620" s="33" t="str">
        <f aca="false">IF(F620="","",IF(H620="",F620,0))</f>
        <v/>
      </c>
      <c r="S620" s="32" t="str">
        <f aca="false">IF(F620="","",IF(N(O620)=0,"",IF(O620&lt;=30,"1-30",IF(O620&lt;=60,"31-60",IF(O620&lt;=90,"61-90","90+")))))</f>
        <v/>
      </c>
      <c r="T620" s="32" t="str">
        <f aca="false">IF(F620="","",IF(E620="","Diğer",E620))</f>
        <v/>
      </c>
      <c r="U620" s="32" t="str">
        <f aca="false">IF(OR(F620="",C620=""),"",IF(COUNTIF($C$2:C620,C620)=1,MAX($U$1:U619)+1,""))</f>
        <v/>
      </c>
    </row>
    <row r="621" customFormat="false" ht="15" hidden="false" customHeight="false" outlineLevel="0" collapsed="false">
      <c r="A621" s="34"/>
      <c r="B621" s="9"/>
      <c r="C621" s="34"/>
      <c r="D621" s="34"/>
      <c r="E621" s="34"/>
      <c r="F621" s="35"/>
      <c r="G621" s="9"/>
      <c r="H621" s="9"/>
      <c r="I621" s="34"/>
      <c r="J621" s="30" t="str">
        <f aca="false">IF(F621="","",G621-B621)</f>
        <v/>
      </c>
      <c r="K621" s="31" t="str">
        <f aca="false">IF(F621="","",IF(H621&lt;&gt;"",H621,MAX('Vade Sapması'!$D$3,G621)))</f>
        <v/>
      </c>
      <c r="L621" s="30" t="str">
        <f aca="false">IF(F621="","",K621-B621)</f>
        <v/>
      </c>
      <c r="M621" s="30" t="str">
        <f aca="false">IF(F621="","",L621-J621)</f>
        <v/>
      </c>
      <c r="N621" s="32" t="str">
        <f aca="false">IF(F621="","",IF(H621&lt;&gt;"","Kapandı",IF('Vade Sapması'!$D$3&gt;G621,"Açık · vadesi geçti","Açık · vadesi gelmedi")))</f>
        <v/>
      </c>
      <c r="O621" s="30" t="str">
        <f aca="false">IF(F621="","",IF(AND(H621="",'Vade Sapması'!$D$3&gt;G621),'Vade Sapması'!$D$3-G621,0))</f>
        <v/>
      </c>
      <c r="P621" s="33" t="str">
        <f aca="false">IF(F621="","",F621*J621)</f>
        <v/>
      </c>
      <c r="Q621" s="33" t="str">
        <f aca="false">IF(F621="","",F621*L621)</f>
        <v/>
      </c>
      <c r="R621" s="33" t="str">
        <f aca="false">IF(F621="","",IF(H621="",F621,0))</f>
        <v/>
      </c>
      <c r="S621" s="32" t="str">
        <f aca="false">IF(F621="","",IF(N(O621)=0,"",IF(O621&lt;=30,"1-30",IF(O621&lt;=60,"31-60",IF(O621&lt;=90,"61-90","90+")))))</f>
        <v/>
      </c>
      <c r="T621" s="32" t="str">
        <f aca="false">IF(F621="","",IF(E621="","Diğer",E621))</f>
        <v/>
      </c>
      <c r="U621" s="32" t="str">
        <f aca="false">IF(OR(F621="",C621=""),"",IF(COUNTIF($C$2:C621,C621)=1,MAX($U$1:U620)+1,""))</f>
        <v/>
      </c>
    </row>
    <row r="622" customFormat="false" ht="15" hidden="false" customHeight="false" outlineLevel="0" collapsed="false">
      <c r="A622" s="34"/>
      <c r="B622" s="9"/>
      <c r="C622" s="34"/>
      <c r="D622" s="34"/>
      <c r="E622" s="34"/>
      <c r="F622" s="35"/>
      <c r="G622" s="9"/>
      <c r="H622" s="9"/>
      <c r="I622" s="34"/>
      <c r="J622" s="30" t="str">
        <f aca="false">IF(F622="","",G622-B622)</f>
        <v/>
      </c>
      <c r="K622" s="31" t="str">
        <f aca="false">IF(F622="","",IF(H622&lt;&gt;"",H622,MAX('Vade Sapması'!$D$3,G622)))</f>
        <v/>
      </c>
      <c r="L622" s="30" t="str">
        <f aca="false">IF(F622="","",K622-B622)</f>
        <v/>
      </c>
      <c r="M622" s="30" t="str">
        <f aca="false">IF(F622="","",L622-J622)</f>
        <v/>
      </c>
      <c r="N622" s="32" t="str">
        <f aca="false">IF(F622="","",IF(H622&lt;&gt;"","Kapandı",IF('Vade Sapması'!$D$3&gt;G622,"Açık · vadesi geçti","Açık · vadesi gelmedi")))</f>
        <v/>
      </c>
      <c r="O622" s="30" t="str">
        <f aca="false">IF(F622="","",IF(AND(H622="",'Vade Sapması'!$D$3&gt;G622),'Vade Sapması'!$D$3-G622,0))</f>
        <v/>
      </c>
      <c r="P622" s="33" t="str">
        <f aca="false">IF(F622="","",F622*J622)</f>
        <v/>
      </c>
      <c r="Q622" s="33" t="str">
        <f aca="false">IF(F622="","",F622*L622)</f>
        <v/>
      </c>
      <c r="R622" s="33" t="str">
        <f aca="false">IF(F622="","",IF(H622="",F622,0))</f>
        <v/>
      </c>
      <c r="S622" s="32" t="str">
        <f aca="false">IF(F622="","",IF(N(O622)=0,"",IF(O622&lt;=30,"1-30",IF(O622&lt;=60,"31-60",IF(O622&lt;=90,"61-90","90+")))))</f>
        <v/>
      </c>
      <c r="T622" s="32" t="str">
        <f aca="false">IF(F622="","",IF(E622="","Diğer",E622))</f>
        <v/>
      </c>
      <c r="U622" s="32" t="str">
        <f aca="false">IF(OR(F622="",C622=""),"",IF(COUNTIF($C$2:C622,C622)=1,MAX($U$1:U621)+1,""))</f>
        <v/>
      </c>
    </row>
    <row r="623" customFormat="false" ht="15" hidden="false" customHeight="false" outlineLevel="0" collapsed="false">
      <c r="A623" s="34"/>
      <c r="B623" s="9"/>
      <c r="C623" s="34"/>
      <c r="D623" s="34"/>
      <c r="E623" s="34"/>
      <c r="F623" s="35"/>
      <c r="G623" s="9"/>
      <c r="H623" s="9"/>
      <c r="I623" s="34"/>
      <c r="J623" s="30" t="str">
        <f aca="false">IF(F623="","",G623-B623)</f>
        <v/>
      </c>
      <c r="K623" s="31" t="str">
        <f aca="false">IF(F623="","",IF(H623&lt;&gt;"",H623,MAX('Vade Sapması'!$D$3,G623)))</f>
        <v/>
      </c>
      <c r="L623" s="30" t="str">
        <f aca="false">IF(F623="","",K623-B623)</f>
        <v/>
      </c>
      <c r="M623" s="30" t="str">
        <f aca="false">IF(F623="","",L623-J623)</f>
        <v/>
      </c>
      <c r="N623" s="32" t="str">
        <f aca="false">IF(F623="","",IF(H623&lt;&gt;"","Kapandı",IF('Vade Sapması'!$D$3&gt;G623,"Açık · vadesi geçti","Açık · vadesi gelmedi")))</f>
        <v/>
      </c>
      <c r="O623" s="30" t="str">
        <f aca="false">IF(F623="","",IF(AND(H623="",'Vade Sapması'!$D$3&gt;G623),'Vade Sapması'!$D$3-G623,0))</f>
        <v/>
      </c>
      <c r="P623" s="33" t="str">
        <f aca="false">IF(F623="","",F623*J623)</f>
        <v/>
      </c>
      <c r="Q623" s="33" t="str">
        <f aca="false">IF(F623="","",F623*L623)</f>
        <v/>
      </c>
      <c r="R623" s="33" t="str">
        <f aca="false">IF(F623="","",IF(H623="",F623,0))</f>
        <v/>
      </c>
      <c r="S623" s="32" t="str">
        <f aca="false">IF(F623="","",IF(N(O623)=0,"",IF(O623&lt;=30,"1-30",IF(O623&lt;=60,"31-60",IF(O623&lt;=90,"61-90","90+")))))</f>
        <v/>
      </c>
      <c r="T623" s="32" t="str">
        <f aca="false">IF(F623="","",IF(E623="","Diğer",E623))</f>
        <v/>
      </c>
      <c r="U623" s="32" t="str">
        <f aca="false">IF(OR(F623="",C623=""),"",IF(COUNTIF($C$2:C623,C623)=1,MAX($U$1:U622)+1,""))</f>
        <v/>
      </c>
    </row>
    <row r="624" customFormat="false" ht="15" hidden="false" customHeight="false" outlineLevel="0" collapsed="false">
      <c r="A624" s="34"/>
      <c r="B624" s="9"/>
      <c r="C624" s="34"/>
      <c r="D624" s="34"/>
      <c r="E624" s="34"/>
      <c r="F624" s="35"/>
      <c r="G624" s="9"/>
      <c r="H624" s="9"/>
      <c r="I624" s="34"/>
      <c r="J624" s="30" t="str">
        <f aca="false">IF(F624="","",G624-B624)</f>
        <v/>
      </c>
      <c r="K624" s="31" t="str">
        <f aca="false">IF(F624="","",IF(H624&lt;&gt;"",H624,MAX('Vade Sapması'!$D$3,G624)))</f>
        <v/>
      </c>
      <c r="L624" s="30" t="str">
        <f aca="false">IF(F624="","",K624-B624)</f>
        <v/>
      </c>
      <c r="M624" s="30" t="str">
        <f aca="false">IF(F624="","",L624-J624)</f>
        <v/>
      </c>
      <c r="N624" s="32" t="str">
        <f aca="false">IF(F624="","",IF(H624&lt;&gt;"","Kapandı",IF('Vade Sapması'!$D$3&gt;G624,"Açık · vadesi geçti","Açık · vadesi gelmedi")))</f>
        <v/>
      </c>
      <c r="O624" s="30" t="str">
        <f aca="false">IF(F624="","",IF(AND(H624="",'Vade Sapması'!$D$3&gt;G624),'Vade Sapması'!$D$3-G624,0))</f>
        <v/>
      </c>
      <c r="P624" s="33" t="str">
        <f aca="false">IF(F624="","",F624*J624)</f>
        <v/>
      </c>
      <c r="Q624" s="33" t="str">
        <f aca="false">IF(F624="","",F624*L624)</f>
        <v/>
      </c>
      <c r="R624" s="33" t="str">
        <f aca="false">IF(F624="","",IF(H624="",F624,0))</f>
        <v/>
      </c>
      <c r="S624" s="32" t="str">
        <f aca="false">IF(F624="","",IF(N(O624)=0,"",IF(O624&lt;=30,"1-30",IF(O624&lt;=60,"31-60",IF(O624&lt;=90,"61-90","90+")))))</f>
        <v/>
      </c>
      <c r="T624" s="32" t="str">
        <f aca="false">IF(F624="","",IF(E624="","Diğer",E624))</f>
        <v/>
      </c>
      <c r="U624" s="32" t="str">
        <f aca="false">IF(OR(F624="",C624=""),"",IF(COUNTIF($C$2:C624,C624)=1,MAX($U$1:U623)+1,""))</f>
        <v/>
      </c>
    </row>
    <row r="625" customFormat="false" ht="15" hidden="false" customHeight="false" outlineLevel="0" collapsed="false">
      <c r="A625" s="34"/>
      <c r="B625" s="9"/>
      <c r="C625" s="34"/>
      <c r="D625" s="34"/>
      <c r="E625" s="34"/>
      <c r="F625" s="35"/>
      <c r="G625" s="9"/>
      <c r="H625" s="9"/>
      <c r="I625" s="34"/>
      <c r="J625" s="30" t="str">
        <f aca="false">IF(F625="","",G625-B625)</f>
        <v/>
      </c>
      <c r="K625" s="31" t="str">
        <f aca="false">IF(F625="","",IF(H625&lt;&gt;"",H625,MAX('Vade Sapması'!$D$3,G625)))</f>
        <v/>
      </c>
      <c r="L625" s="30" t="str">
        <f aca="false">IF(F625="","",K625-B625)</f>
        <v/>
      </c>
      <c r="M625" s="30" t="str">
        <f aca="false">IF(F625="","",L625-J625)</f>
        <v/>
      </c>
      <c r="N625" s="32" t="str">
        <f aca="false">IF(F625="","",IF(H625&lt;&gt;"","Kapandı",IF('Vade Sapması'!$D$3&gt;G625,"Açık · vadesi geçti","Açık · vadesi gelmedi")))</f>
        <v/>
      </c>
      <c r="O625" s="30" t="str">
        <f aca="false">IF(F625="","",IF(AND(H625="",'Vade Sapması'!$D$3&gt;G625),'Vade Sapması'!$D$3-G625,0))</f>
        <v/>
      </c>
      <c r="P625" s="33" t="str">
        <f aca="false">IF(F625="","",F625*J625)</f>
        <v/>
      </c>
      <c r="Q625" s="33" t="str">
        <f aca="false">IF(F625="","",F625*L625)</f>
        <v/>
      </c>
      <c r="R625" s="33" t="str">
        <f aca="false">IF(F625="","",IF(H625="",F625,0))</f>
        <v/>
      </c>
      <c r="S625" s="32" t="str">
        <f aca="false">IF(F625="","",IF(N(O625)=0,"",IF(O625&lt;=30,"1-30",IF(O625&lt;=60,"31-60",IF(O625&lt;=90,"61-90","90+")))))</f>
        <v/>
      </c>
      <c r="T625" s="32" t="str">
        <f aca="false">IF(F625="","",IF(E625="","Diğer",E625))</f>
        <v/>
      </c>
      <c r="U625" s="32" t="str">
        <f aca="false">IF(OR(F625="",C625=""),"",IF(COUNTIF($C$2:C625,C625)=1,MAX($U$1:U624)+1,""))</f>
        <v/>
      </c>
    </row>
    <row r="626" customFormat="false" ht="15" hidden="false" customHeight="false" outlineLevel="0" collapsed="false">
      <c r="A626" s="34"/>
      <c r="B626" s="9"/>
      <c r="C626" s="34"/>
      <c r="D626" s="34"/>
      <c r="E626" s="34"/>
      <c r="F626" s="35"/>
      <c r="G626" s="9"/>
      <c r="H626" s="9"/>
      <c r="I626" s="34"/>
      <c r="J626" s="30" t="str">
        <f aca="false">IF(F626="","",G626-B626)</f>
        <v/>
      </c>
      <c r="K626" s="31" t="str">
        <f aca="false">IF(F626="","",IF(H626&lt;&gt;"",H626,MAX('Vade Sapması'!$D$3,G626)))</f>
        <v/>
      </c>
      <c r="L626" s="30" t="str">
        <f aca="false">IF(F626="","",K626-B626)</f>
        <v/>
      </c>
      <c r="M626" s="30" t="str">
        <f aca="false">IF(F626="","",L626-J626)</f>
        <v/>
      </c>
      <c r="N626" s="32" t="str">
        <f aca="false">IF(F626="","",IF(H626&lt;&gt;"","Kapandı",IF('Vade Sapması'!$D$3&gt;G626,"Açık · vadesi geçti","Açık · vadesi gelmedi")))</f>
        <v/>
      </c>
      <c r="O626" s="30" t="str">
        <f aca="false">IF(F626="","",IF(AND(H626="",'Vade Sapması'!$D$3&gt;G626),'Vade Sapması'!$D$3-G626,0))</f>
        <v/>
      </c>
      <c r="P626" s="33" t="str">
        <f aca="false">IF(F626="","",F626*J626)</f>
        <v/>
      </c>
      <c r="Q626" s="33" t="str">
        <f aca="false">IF(F626="","",F626*L626)</f>
        <v/>
      </c>
      <c r="R626" s="33" t="str">
        <f aca="false">IF(F626="","",IF(H626="",F626,0))</f>
        <v/>
      </c>
      <c r="S626" s="32" t="str">
        <f aca="false">IF(F626="","",IF(N(O626)=0,"",IF(O626&lt;=30,"1-30",IF(O626&lt;=60,"31-60",IF(O626&lt;=90,"61-90","90+")))))</f>
        <v/>
      </c>
      <c r="T626" s="32" t="str">
        <f aca="false">IF(F626="","",IF(E626="","Diğer",E626))</f>
        <v/>
      </c>
      <c r="U626" s="32" t="str">
        <f aca="false">IF(OR(F626="",C626=""),"",IF(COUNTIF($C$2:C626,C626)=1,MAX($U$1:U625)+1,""))</f>
        <v/>
      </c>
    </row>
    <row r="627" customFormat="false" ht="15" hidden="false" customHeight="false" outlineLevel="0" collapsed="false">
      <c r="A627" s="34"/>
      <c r="B627" s="9"/>
      <c r="C627" s="34"/>
      <c r="D627" s="34"/>
      <c r="E627" s="34"/>
      <c r="F627" s="35"/>
      <c r="G627" s="9"/>
      <c r="H627" s="9"/>
      <c r="I627" s="34"/>
      <c r="J627" s="30" t="str">
        <f aca="false">IF(F627="","",G627-B627)</f>
        <v/>
      </c>
      <c r="K627" s="31" t="str">
        <f aca="false">IF(F627="","",IF(H627&lt;&gt;"",H627,MAX('Vade Sapması'!$D$3,G627)))</f>
        <v/>
      </c>
      <c r="L627" s="30" t="str">
        <f aca="false">IF(F627="","",K627-B627)</f>
        <v/>
      </c>
      <c r="M627" s="30" t="str">
        <f aca="false">IF(F627="","",L627-J627)</f>
        <v/>
      </c>
      <c r="N627" s="32" t="str">
        <f aca="false">IF(F627="","",IF(H627&lt;&gt;"","Kapandı",IF('Vade Sapması'!$D$3&gt;G627,"Açık · vadesi geçti","Açık · vadesi gelmedi")))</f>
        <v/>
      </c>
      <c r="O627" s="30" t="str">
        <f aca="false">IF(F627="","",IF(AND(H627="",'Vade Sapması'!$D$3&gt;G627),'Vade Sapması'!$D$3-G627,0))</f>
        <v/>
      </c>
      <c r="P627" s="33" t="str">
        <f aca="false">IF(F627="","",F627*J627)</f>
        <v/>
      </c>
      <c r="Q627" s="33" t="str">
        <f aca="false">IF(F627="","",F627*L627)</f>
        <v/>
      </c>
      <c r="R627" s="33" t="str">
        <f aca="false">IF(F627="","",IF(H627="",F627,0))</f>
        <v/>
      </c>
      <c r="S627" s="32" t="str">
        <f aca="false">IF(F627="","",IF(N(O627)=0,"",IF(O627&lt;=30,"1-30",IF(O627&lt;=60,"31-60",IF(O627&lt;=90,"61-90","90+")))))</f>
        <v/>
      </c>
      <c r="T627" s="32" t="str">
        <f aca="false">IF(F627="","",IF(E627="","Diğer",E627))</f>
        <v/>
      </c>
      <c r="U627" s="32" t="str">
        <f aca="false">IF(OR(F627="",C627=""),"",IF(COUNTIF($C$2:C627,C627)=1,MAX($U$1:U626)+1,""))</f>
        <v/>
      </c>
    </row>
    <row r="628" customFormat="false" ht="15" hidden="false" customHeight="false" outlineLevel="0" collapsed="false">
      <c r="A628" s="34"/>
      <c r="B628" s="9"/>
      <c r="C628" s="34"/>
      <c r="D628" s="34"/>
      <c r="E628" s="34"/>
      <c r="F628" s="35"/>
      <c r="G628" s="9"/>
      <c r="H628" s="9"/>
      <c r="I628" s="34"/>
      <c r="J628" s="30" t="str">
        <f aca="false">IF(F628="","",G628-B628)</f>
        <v/>
      </c>
      <c r="K628" s="31" t="str">
        <f aca="false">IF(F628="","",IF(H628&lt;&gt;"",H628,MAX('Vade Sapması'!$D$3,G628)))</f>
        <v/>
      </c>
      <c r="L628" s="30" t="str">
        <f aca="false">IF(F628="","",K628-B628)</f>
        <v/>
      </c>
      <c r="M628" s="30" t="str">
        <f aca="false">IF(F628="","",L628-J628)</f>
        <v/>
      </c>
      <c r="N628" s="32" t="str">
        <f aca="false">IF(F628="","",IF(H628&lt;&gt;"","Kapandı",IF('Vade Sapması'!$D$3&gt;G628,"Açık · vadesi geçti","Açık · vadesi gelmedi")))</f>
        <v/>
      </c>
      <c r="O628" s="30" t="str">
        <f aca="false">IF(F628="","",IF(AND(H628="",'Vade Sapması'!$D$3&gt;G628),'Vade Sapması'!$D$3-G628,0))</f>
        <v/>
      </c>
      <c r="P628" s="33" t="str">
        <f aca="false">IF(F628="","",F628*J628)</f>
        <v/>
      </c>
      <c r="Q628" s="33" t="str">
        <f aca="false">IF(F628="","",F628*L628)</f>
        <v/>
      </c>
      <c r="R628" s="33" t="str">
        <f aca="false">IF(F628="","",IF(H628="",F628,0))</f>
        <v/>
      </c>
      <c r="S628" s="32" t="str">
        <f aca="false">IF(F628="","",IF(N(O628)=0,"",IF(O628&lt;=30,"1-30",IF(O628&lt;=60,"31-60",IF(O628&lt;=90,"61-90","90+")))))</f>
        <v/>
      </c>
      <c r="T628" s="32" t="str">
        <f aca="false">IF(F628="","",IF(E628="","Diğer",E628))</f>
        <v/>
      </c>
      <c r="U628" s="32" t="str">
        <f aca="false">IF(OR(F628="",C628=""),"",IF(COUNTIF($C$2:C628,C628)=1,MAX($U$1:U627)+1,""))</f>
        <v/>
      </c>
    </row>
    <row r="629" customFormat="false" ht="15" hidden="false" customHeight="false" outlineLevel="0" collapsed="false">
      <c r="A629" s="34"/>
      <c r="B629" s="9"/>
      <c r="C629" s="34"/>
      <c r="D629" s="34"/>
      <c r="E629" s="34"/>
      <c r="F629" s="35"/>
      <c r="G629" s="9"/>
      <c r="H629" s="9"/>
      <c r="I629" s="34"/>
      <c r="J629" s="30" t="str">
        <f aca="false">IF(F629="","",G629-B629)</f>
        <v/>
      </c>
      <c r="K629" s="31" t="str">
        <f aca="false">IF(F629="","",IF(H629&lt;&gt;"",H629,MAX('Vade Sapması'!$D$3,G629)))</f>
        <v/>
      </c>
      <c r="L629" s="30" t="str">
        <f aca="false">IF(F629="","",K629-B629)</f>
        <v/>
      </c>
      <c r="M629" s="30" t="str">
        <f aca="false">IF(F629="","",L629-J629)</f>
        <v/>
      </c>
      <c r="N629" s="32" t="str">
        <f aca="false">IF(F629="","",IF(H629&lt;&gt;"","Kapandı",IF('Vade Sapması'!$D$3&gt;G629,"Açık · vadesi geçti","Açık · vadesi gelmedi")))</f>
        <v/>
      </c>
      <c r="O629" s="30" t="str">
        <f aca="false">IF(F629="","",IF(AND(H629="",'Vade Sapması'!$D$3&gt;G629),'Vade Sapması'!$D$3-G629,0))</f>
        <v/>
      </c>
      <c r="P629" s="33" t="str">
        <f aca="false">IF(F629="","",F629*J629)</f>
        <v/>
      </c>
      <c r="Q629" s="33" t="str">
        <f aca="false">IF(F629="","",F629*L629)</f>
        <v/>
      </c>
      <c r="R629" s="33" t="str">
        <f aca="false">IF(F629="","",IF(H629="",F629,0))</f>
        <v/>
      </c>
      <c r="S629" s="32" t="str">
        <f aca="false">IF(F629="","",IF(N(O629)=0,"",IF(O629&lt;=30,"1-30",IF(O629&lt;=60,"31-60",IF(O629&lt;=90,"61-90","90+")))))</f>
        <v/>
      </c>
      <c r="T629" s="32" t="str">
        <f aca="false">IF(F629="","",IF(E629="","Diğer",E629))</f>
        <v/>
      </c>
      <c r="U629" s="32" t="str">
        <f aca="false">IF(OR(F629="",C629=""),"",IF(COUNTIF($C$2:C629,C629)=1,MAX($U$1:U628)+1,""))</f>
        <v/>
      </c>
    </row>
    <row r="630" customFormat="false" ht="15" hidden="false" customHeight="false" outlineLevel="0" collapsed="false">
      <c r="A630" s="34"/>
      <c r="B630" s="9"/>
      <c r="C630" s="34"/>
      <c r="D630" s="34"/>
      <c r="E630" s="34"/>
      <c r="F630" s="35"/>
      <c r="G630" s="9"/>
      <c r="H630" s="9"/>
      <c r="I630" s="34"/>
      <c r="J630" s="30" t="str">
        <f aca="false">IF(F630="","",G630-B630)</f>
        <v/>
      </c>
      <c r="K630" s="31" t="str">
        <f aca="false">IF(F630="","",IF(H630&lt;&gt;"",H630,MAX('Vade Sapması'!$D$3,G630)))</f>
        <v/>
      </c>
      <c r="L630" s="30" t="str">
        <f aca="false">IF(F630="","",K630-B630)</f>
        <v/>
      </c>
      <c r="M630" s="30" t="str">
        <f aca="false">IF(F630="","",L630-J630)</f>
        <v/>
      </c>
      <c r="N630" s="32" t="str">
        <f aca="false">IF(F630="","",IF(H630&lt;&gt;"","Kapandı",IF('Vade Sapması'!$D$3&gt;G630,"Açık · vadesi geçti","Açık · vadesi gelmedi")))</f>
        <v/>
      </c>
      <c r="O630" s="30" t="str">
        <f aca="false">IF(F630="","",IF(AND(H630="",'Vade Sapması'!$D$3&gt;G630),'Vade Sapması'!$D$3-G630,0))</f>
        <v/>
      </c>
      <c r="P630" s="33" t="str">
        <f aca="false">IF(F630="","",F630*J630)</f>
        <v/>
      </c>
      <c r="Q630" s="33" t="str">
        <f aca="false">IF(F630="","",F630*L630)</f>
        <v/>
      </c>
      <c r="R630" s="33" t="str">
        <f aca="false">IF(F630="","",IF(H630="",F630,0))</f>
        <v/>
      </c>
      <c r="S630" s="32" t="str">
        <f aca="false">IF(F630="","",IF(N(O630)=0,"",IF(O630&lt;=30,"1-30",IF(O630&lt;=60,"31-60",IF(O630&lt;=90,"61-90","90+")))))</f>
        <v/>
      </c>
      <c r="T630" s="32" t="str">
        <f aca="false">IF(F630="","",IF(E630="","Diğer",E630))</f>
        <v/>
      </c>
      <c r="U630" s="32" t="str">
        <f aca="false">IF(OR(F630="",C630=""),"",IF(COUNTIF($C$2:C630,C630)=1,MAX($U$1:U629)+1,""))</f>
        <v/>
      </c>
    </row>
    <row r="631" customFormat="false" ht="15" hidden="false" customHeight="false" outlineLevel="0" collapsed="false">
      <c r="A631" s="34"/>
      <c r="B631" s="9"/>
      <c r="C631" s="34"/>
      <c r="D631" s="34"/>
      <c r="E631" s="34"/>
      <c r="F631" s="35"/>
      <c r="G631" s="9"/>
      <c r="H631" s="9"/>
      <c r="I631" s="34"/>
      <c r="J631" s="30" t="str">
        <f aca="false">IF(F631="","",G631-B631)</f>
        <v/>
      </c>
      <c r="K631" s="31" t="str">
        <f aca="false">IF(F631="","",IF(H631&lt;&gt;"",H631,MAX('Vade Sapması'!$D$3,G631)))</f>
        <v/>
      </c>
      <c r="L631" s="30" t="str">
        <f aca="false">IF(F631="","",K631-B631)</f>
        <v/>
      </c>
      <c r="M631" s="30" t="str">
        <f aca="false">IF(F631="","",L631-J631)</f>
        <v/>
      </c>
      <c r="N631" s="32" t="str">
        <f aca="false">IF(F631="","",IF(H631&lt;&gt;"","Kapandı",IF('Vade Sapması'!$D$3&gt;G631,"Açık · vadesi geçti","Açık · vadesi gelmedi")))</f>
        <v/>
      </c>
      <c r="O631" s="30" t="str">
        <f aca="false">IF(F631="","",IF(AND(H631="",'Vade Sapması'!$D$3&gt;G631),'Vade Sapması'!$D$3-G631,0))</f>
        <v/>
      </c>
      <c r="P631" s="33" t="str">
        <f aca="false">IF(F631="","",F631*J631)</f>
        <v/>
      </c>
      <c r="Q631" s="33" t="str">
        <f aca="false">IF(F631="","",F631*L631)</f>
        <v/>
      </c>
      <c r="R631" s="33" t="str">
        <f aca="false">IF(F631="","",IF(H631="",F631,0))</f>
        <v/>
      </c>
      <c r="S631" s="32" t="str">
        <f aca="false">IF(F631="","",IF(N(O631)=0,"",IF(O631&lt;=30,"1-30",IF(O631&lt;=60,"31-60",IF(O631&lt;=90,"61-90","90+")))))</f>
        <v/>
      </c>
      <c r="T631" s="32" t="str">
        <f aca="false">IF(F631="","",IF(E631="","Diğer",E631))</f>
        <v/>
      </c>
      <c r="U631" s="32" t="str">
        <f aca="false">IF(OR(F631="",C631=""),"",IF(COUNTIF($C$2:C631,C631)=1,MAX($U$1:U630)+1,""))</f>
        <v/>
      </c>
    </row>
    <row r="632" customFormat="false" ht="15" hidden="false" customHeight="false" outlineLevel="0" collapsed="false">
      <c r="A632" s="34"/>
      <c r="B632" s="9"/>
      <c r="C632" s="34"/>
      <c r="D632" s="34"/>
      <c r="E632" s="34"/>
      <c r="F632" s="35"/>
      <c r="G632" s="9"/>
      <c r="H632" s="9"/>
      <c r="I632" s="34"/>
      <c r="J632" s="30" t="str">
        <f aca="false">IF(F632="","",G632-B632)</f>
        <v/>
      </c>
      <c r="K632" s="31" t="str">
        <f aca="false">IF(F632="","",IF(H632&lt;&gt;"",H632,MAX('Vade Sapması'!$D$3,G632)))</f>
        <v/>
      </c>
      <c r="L632" s="30" t="str">
        <f aca="false">IF(F632="","",K632-B632)</f>
        <v/>
      </c>
      <c r="M632" s="30" t="str">
        <f aca="false">IF(F632="","",L632-J632)</f>
        <v/>
      </c>
      <c r="N632" s="32" t="str">
        <f aca="false">IF(F632="","",IF(H632&lt;&gt;"","Kapandı",IF('Vade Sapması'!$D$3&gt;G632,"Açık · vadesi geçti","Açık · vadesi gelmedi")))</f>
        <v/>
      </c>
      <c r="O632" s="30" t="str">
        <f aca="false">IF(F632="","",IF(AND(H632="",'Vade Sapması'!$D$3&gt;G632),'Vade Sapması'!$D$3-G632,0))</f>
        <v/>
      </c>
      <c r="P632" s="33" t="str">
        <f aca="false">IF(F632="","",F632*J632)</f>
        <v/>
      </c>
      <c r="Q632" s="33" t="str">
        <f aca="false">IF(F632="","",F632*L632)</f>
        <v/>
      </c>
      <c r="R632" s="33" t="str">
        <f aca="false">IF(F632="","",IF(H632="",F632,0))</f>
        <v/>
      </c>
      <c r="S632" s="32" t="str">
        <f aca="false">IF(F632="","",IF(N(O632)=0,"",IF(O632&lt;=30,"1-30",IF(O632&lt;=60,"31-60",IF(O632&lt;=90,"61-90","90+")))))</f>
        <v/>
      </c>
      <c r="T632" s="32" t="str">
        <f aca="false">IF(F632="","",IF(E632="","Diğer",E632))</f>
        <v/>
      </c>
      <c r="U632" s="32" t="str">
        <f aca="false">IF(OR(F632="",C632=""),"",IF(COUNTIF($C$2:C632,C632)=1,MAX($U$1:U631)+1,""))</f>
        <v/>
      </c>
    </row>
    <row r="633" customFormat="false" ht="15" hidden="false" customHeight="false" outlineLevel="0" collapsed="false">
      <c r="A633" s="34"/>
      <c r="B633" s="9"/>
      <c r="C633" s="34"/>
      <c r="D633" s="34"/>
      <c r="E633" s="34"/>
      <c r="F633" s="35"/>
      <c r="G633" s="9"/>
      <c r="H633" s="9"/>
      <c r="I633" s="34"/>
      <c r="J633" s="30" t="str">
        <f aca="false">IF(F633="","",G633-B633)</f>
        <v/>
      </c>
      <c r="K633" s="31" t="str">
        <f aca="false">IF(F633="","",IF(H633&lt;&gt;"",H633,MAX('Vade Sapması'!$D$3,G633)))</f>
        <v/>
      </c>
      <c r="L633" s="30" t="str">
        <f aca="false">IF(F633="","",K633-B633)</f>
        <v/>
      </c>
      <c r="M633" s="30" t="str">
        <f aca="false">IF(F633="","",L633-J633)</f>
        <v/>
      </c>
      <c r="N633" s="32" t="str">
        <f aca="false">IF(F633="","",IF(H633&lt;&gt;"","Kapandı",IF('Vade Sapması'!$D$3&gt;G633,"Açık · vadesi geçti","Açık · vadesi gelmedi")))</f>
        <v/>
      </c>
      <c r="O633" s="30" t="str">
        <f aca="false">IF(F633="","",IF(AND(H633="",'Vade Sapması'!$D$3&gt;G633),'Vade Sapması'!$D$3-G633,0))</f>
        <v/>
      </c>
      <c r="P633" s="33" t="str">
        <f aca="false">IF(F633="","",F633*J633)</f>
        <v/>
      </c>
      <c r="Q633" s="33" t="str">
        <f aca="false">IF(F633="","",F633*L633)</f>
        <v/>
      </c>
      <c r="R633" s="33" t="str">
        <f aca="false">IF(F633="","",IF(H633="",F633,0))</f>
        <v/>
      </c>
      <c r="S633" s="32" t="str">
        <f aca="false">IF(F633="","",IF(N(O633)=0,"",IF(O633&lt;=30,"1-30",IF(O633&lt;=60,"31-60",IF(O633&lt;=90,"61-90","90+")))))</f>
        <v/>
      </c>
      <c r="T633" s="32" t="str">
        <f aca="false">IF(F633="","",IF(E633="","Diğer",E633))</f>
        <v/>
      </c>
      <c r="U633" s="32" t="str">
        <f aca="false">IF(OR(F633="",C633=""),"",IF(COUNTIF($C$2:C633,C633)=1,MAX($U$1:U632)+1,""))</f>
        <v/>
      </c>
    </row>
    <row r="634" customFormat="false" ht="15" hidden="false" customHeight="false" outlineLevel="0" collapsed="false">
      <c r="A634" s="34"/>
      <c r="B634" s="9"/>
      <c r="C634" s="34"/>
      <c r="D634" s="34"/>
      <c r="E634" s="34"/>
      <c r="F634" s="35"/>
      <c r="G634" s="9"/>
      <c r="H634" s="9"/>
      <c r="I634" s="34"/>
      <c r="J634" s="30" t="str">
        <f aca="false">IF(F634="","",G634-B634)</f>
        <v/>
      </c>
      <c r="K634" s="31" t="str">
        <f aca="false">IF(F634="","",IF(H634&lt;&gt;"",H634,MAX('Vade Sapması'!$D$3,G634)))</f>
        <v/>
      </c>
      <c r="L634" s="30" t="str">
        <f aca="false">IF(F634="","",K634-B634)</f>
        <v/>
      </c>
      <c r="M634" s="30" t="str">
        <f aca="false">IF(F634="","",L634-J634)</f>
        <v/>
      </c>
      <c r="N634" s="32" t="str">
        <f aca="false">IF(F634="","",IF(H634&lt;&gt;"","Kapandı",IF('Vade Sapması'!$D$3&gt;G634,"Açık · vadesi geçti","Açık · vadesi gelmedi")))</f>
        <v/>
      </c>
      <c r="O634" s="30" t="str">
        <f aca="false">IF(F634="","",IF(AND(H634="",'Vade Sapması'!$D$3&gt;G634),'Vade Sapması'!$D$3-G634,0))</f>
        <v/>
      </c>
      <c r="P634" s="33" t="str">
        <f aca="false">IF(F634="","",F634*J634)</f>
        <v/>
      </c>
      <c r="Q634" s="33" t="str">
        <f aca="false">IF(F634="","",F634*L634)</f>
        <v/>
      </c>
      <c r="R634" s="33" t="str">
        <f aca="false">IF(F634="","",IF(H634="",F634,0))</f>
        <v/>
      </c>
      <c r="S634" s="32" t="str">
        <f aca="false">IF(F634="","",IF(N(O634)=0,"",IF(O634&lt;=30,"1-30",IF(O634&lt;=60,"31-60",IF(O634&lt;=90,"61-90","90+")))))</f>
        <v/>
      </c>
      <c r="T634" s="32" t="str">
        <f aca="false">IF(F634="","",IF(E634="","Diğer",E634))</f>
        <v/>
      </c>
      <c r="U634" s="32" t="str">
        <f aca="false">IF(OR(F634="",C634=""),"",IF(COUNTIF($C$2:C634,C634)=1,MAX($U$1:U633)+1,""))</f>
        <v/>
      </c>
    </row>
    <row r="635" customFormat="false" ht="15" hidden="false" customHeight="false" outlineLevel="0" collapsed="false">
      <c r="A635" s="34"/>
      <c r="B635" s="9"/>
      <c r="C635" s="34"/>
      <c r="D635" s="34"/>
      <c r="E635" s="34"/>
      <c r="F635" s="35"/>
      <c r="G635" s="9"/>
      <c r="H635" s="9"/>
      <c r="I635" s="34"/>
      <c r="J635" s="30" t="str">
        <f aca="false">IF(F635="","",G635-B635)</f>
        <v/>
      </c>
      <c r="K635" s="31" t="str">
        <f aca="false">IF(F635="","",IF(H635&lt;&gt;"",H635,MAX('Vade Sapması'!$D$3,G635)))</f>
        <v/>
      </c>
      <c r="L635" s="30" t="str">
        <f aca="false">IF(F635="","",K635-B635)</f>
        <v/>
      </c>
      <c r="M635" s="30" t="str">
        <f aca="false">IF(F635="","",L635-J635)</f>
        <v/>
      </c>
      <c r="N635" s="32" t="str">
        <f aca="false">IF(F635="","",IF(H635&lt;&gt;"","Kapandı",IF('Vade Sapması'!$D$3&gt;G635,"Açık · vadesi geçti","Açık · vadesi gelmedi")))</f>
        <v/>
      </c>
      <c r="O635" s="30" t="str">
        <f aca="false">IF(F635="","",IF(AND(H635="",'Vade Sapması'!$D$3&gt;G635),'Vade Sapması'!$D$3-G635,0))</f>
        <v/>
      </c>
      <c r="P635" s="33" t="str">
        <f aca="false">IF(F635="","",F635*J635)</f>
        <v/>
      </c>
      <c r="Q635" s="33" t="str">
        <f aca="false">IF(F635="","",F635*L635)</f>
        <v/>
      </c>
      <c r="R635" s="33" t="str">
        <f aca="false">IF(F635="","",IF(H635="",F635,0))</f>
        <v/>
      </c>
      <c r="S635" s="32" t="str">
        <f aca="false">IF(F635="","",IF(N(O635)=0,"",IF(O635&lt;=30,"1-30",IF(O635&lt;=60,"31-60",IF(O635&lt;=90,"61-90","90+")))))</f>
        <v/>
      </c>
      <c r="T635" s="32" t="str">
        <f aca="false">IF(F635="","",IF(E635="","Diğer",E635))</f>
        <v/>
      </c>
      <c r="U635" s="32" t="str">
        <f aca="false">IF(OR(F635="",C635=""),"",IF(COUNTIF($C$2:C635,C635)=1,MAX($U$1:U634)+1,""))</f>
        <v/>
      </c>
    </row>
    <row r="636" customFormat="false" ht="15" hidden="false" customHeight="false" outlineLevel="0" collapsed="false">
      <c r="A636" s="34"/>
      <c r="B636" s="9"/>
      <c r="C636" s="34"/>
      <c r="D636" s="34"/>
      <c r="E636" s="34"/>
      <c r="F636" s="35"/>
      <c r="G636" s="9"/>
      <c r="H636" s="9"/>
      <c r="I636" s="34"/>
      <c r="J636" s="30" t="str">
        <f aca="false">IF(F636="","",G636-B636)</f>
        <v/>
      </c>
      <c r="K636" s="31" t="str">
        <f aca="false">IF(F636="","",IF(H636&lt;&gt;"",H636,MAX('Vade Sapması'!$D$3,G636)))</f>
        <v/>
      </c>
      <c r="L636" s="30" t="str">
        <f aca="false">IF(F636="","",K636-B636)</f>
        <v/>
      </c>
      <c r="M636" s="30" t="str">
        <f aca="false">IF(F636="","",L636-J636)</f>
        <v/>
      </c>
      <c r="N636" s="32" t="str">
        <f aca="false">IF(F636="","",IF(H636&lt;&gt;"","Kapandı",IF('Vade Sapması'!$D$3&gt;G636,"Açık · vadesi geçti","Açık · vadesi gelmedi")))</f>
        <v/>
      </c>
      <c r="O636" s="30" t="str">
        <f aca="false">IF(F636="","",IF(AND(H636="",'Vade Sapması'!$D$3&gt;G636),'Vade Sapması'!$D$3-G636,0))</f>
        <v/>
      </c>
      <c r="P636" s="33" t="str">
        <f aca="false">IF(F636="","",F636*J636)</f>
        <v/>
      </c>
      <c r="Q636" s="33" t="str">
        <f aca="false">IF(F636="","",F636*L636)</f>
        <v/>
      </c>
      <c r="R636" s="33" t="str">
        <f aca="false">IF(F636="","",IF(H636="",F636,0))</f>
        <v/>
      </c>
      <c r="S636" s="32" t="str">
        <f aca="false">IF(F636="","",IF(N(O636)=0,"",IF(O636&lt;=30,"1-30",IF(O636&lt;=60,"31-60",IF(O636&lt;=90,"61-90","90+")))))</f>
        <v/>
      </c>
      <c r="T636" s="32" t="str">
        <f aca="false">IF(F636="","",IF(E636="","Diğer",E636))</f>
        <v/>
      </c>
      <c r="U636" s="32" t="str">
        <f aca="false">IF(OR(F636="",C636=""),"",IF(COUNTIF($C$2:C636,C636)=1,MAX($U$1:U635)+1,""))</f>
        <v/>
      </c>
    </row>
    <row r="637" customFormat="false" ht="15" hidden="false" customHeight="false" outlineLevel="0" collapsed="false">
      <c r="A637" s="34"/>
      <c r="B637" s="9"/>
      <c r="C637" s="34"/>
      <c r="D637" s="34"/>
      <c r="E637" s="34"/>
      <c r="F637" s="35"/>
      <c r="G637" s="9"/>
      <c r="H637" s="9"/>
      <c r="I637" s="34"/>
      <c r="J637" s="30" t="str">
        <f aca="false">IF(F637="","",G637-B637)</f>
        <v/>
      </c>
      <c r="K637" s="31" t="str">
        <f aca="false">IF(F637="","",IF(H637&lt;&gt;"",H637,MAX('Vade Sapması'!$D$3,G637)))</f>
        <v/>
      </c>
      <c r="L637" s="30" t="str">
        <f aca="false">IF(F637="","",K637-B637)</f>
        <v/>
      </c>
      <c r="M637" s="30" t="str">
        <f aca="false">IF(F637="","",L637-J637)</f>
        <v/>
      </c>
      <c r="N637" s="32" t="str">
        <f aca="false">IF(F637="","",IF(H637&lt;&gt;"","Kapandı",IF('Vade Sapması'!$D$3&gt;G637,"Açık · vadesi geçti","Açık · vadesi gelmedi")))</f>
        <v/>
      </c>
      <c r="O637" s="30" t="str">
        <f aca="false">IF(F637="","",IF(AND(H637="",'Vade Sapması'!$D$3&gt;G637),'Vade Sapması'!$D$3-G637,0))</f>
        <v/>
      </c>
      <c r="P637" s="33" t="str">
        <f aca="false">IF(F637="","",F637*J637)</f>
        <v/>
      </c>
      <c r="Q637" s="33" t="str">
        <f aca="false">IF(F637="","",F637*L637)</f>
        <v/>
      </c>
      <c r="R637" s="33" t="str">
        <f aca="false">IF(F637="","",IF(H637="",F637,0))</f>
        <v/>
      </c>
      <c r="S637" s="32" t="str">
        <f aca="false">IF(F637="","",IF(N(O637)=0,"",IF(O637&lt;=30,"1-30",IF(O637&lt;=60,"31-60",IF(O637&lt;=90,"61-90","90+")))))</f>
        <v/>
      </c>
      <c r="T637" s="32" t="str">
        <f aca="false">IF(F637="","",IF(E637="","Diğer",E637))</f>
        <v/>
      </c>
      <c r="U637" s="32" t="str">
        <f aca="false">IF(OR(F637="",C637=""),"",IF(COUNTIF($C$2:C637,C637)=1,MAX($U$1:U636)+1,""))</f>
        <v/>
      </c>
    </row>
    <row r="638" customFormat="false" ht="15" hidden="false" customHeight="false" outlineLevel="0" collapsed="false">
      <c r="A638" s="34"/>
      <c r="B638" s="9"/>
      <c r="C638" s="34"/>
      <c r="D638" s="34"/>
      <c r="E638" s="34"/>
      <c r="F638" s="35"/>
      <c r="G638" s="9"/>
      <c r="H638" s="9"/>
      <c r="I638" s="34"/>
      <c r="J638" s="30" t="str">
        <f aca="false">IF(F638="","",G638-B638)</f>
        <v/>
      </c>
      <c r="K638" s="31" t="str">
        <f aca="false">IF(F638="","",IF(H638&lt;&gt;"",H638,MAX('Vade Sapması'!$D$3,G638)))</f>
        <v/>
      </c>
      <c r="L638" s="30" t="str">
        <f aca="false">IF(F638="","",K638-B638)</f>
        <v/>
      </c>
      <c r="M638" s="30" t="str">
        <f aca="false">IF(F638="","",L638-J638)</f>
        <v/>
      </c>
      <c r="N638" s="32" t="str">
        <f aca="false">IF(F638="","",IF(H638&lt;&gt;"","Kapandı",IF('Vade Sapması'!$D$3&gt;G638,"Açık · vadesi geçti","Açık · vadesi gelmedi")))</f>
        <v/>
      </c>
      <c r="O638" s="30" t="str">
        <f aca="false">IF(F638="","",IF(AND(H638="",'Vade Sapması'!$D$3&gt;G638),'Vade Sapması'!$D$3-G638,0))</f>
        <v/>
      </c>
      <c r="P638" s="33" t="str">
        <f aca="false">IF(F638="","",F638*J638)</f>
        <v/>
      </c>
      <c r="Q638" s="33" t="str">
        <f aca="false">IF(F638="","",F638*L638)</f>
        <v/>
      </c>
      <c r="R638" s="33" t="str">
        <f aca="false">IF(F638="","",IF(H638="",F638,0))</f>
        <v/>
      </c>
      <c r="S638" s="32" t="str">
        <f aca="false">IF(F638="","",IF(N(O638)=0,"",IF(O638&lt;=30,"1-30",IF(O638&lt;=60,"31-60",IF(O638&lt;=90,"61-90","90+")))))</f>
        <v/>
      </c>
      <c r="T638" s="32" t="str">
        <f aca="false">IF(F638="","",IF(E638="","Diğer",E638))</f>
        <v/>
      </c>
      <c r="U638" s="32" t="str">
        <f aca="false">IF(OR(F638="",C638=""),"",IF(COUNTIF($C$2:C638,C638)=1,MAX($U$1:U637)+1,""))</f>
        <v/>
      </c>
    </row>
    <row r="639" customFormat="false" ht="15" hidden="false" customHeight="false" outlineLevel="0" collapsed="false">
      <c r="A639" s="34"/>
      <c r="B639" s="9"/>
      <c r="C639" s="34"/>
      <c r="D639" s="34"/>
      <c r="E639" s="34"/>
      <c r="F639" s="35"/>
      <c r="G639" s="9"/>
      <c r="H639" s="9"/>
      <c r="I639" s="34"/>
      <c r="J639" s="30" t="str">
        <f aca="false">IF(F639="","",G639-B639)</f>
        <v/>
      </c>
      <c r="K639" s="31" t="str">
        <f aca="false">IF(F639="","",IF(H639&lt;&gt;"",H639,MAX('Vade Sapması'!$D$3,G639)))</f>
        <v/>
      </c>
      <c r="L639" s="30" t="str">
        <f aca="false">IF(F639="","",K639-B639)</f>
        <v/>
      </c>
      <c r="M639" s="30" t="str">
        <f aca="false">IF(F639="","",L639-J639)</f>
        <v/>
      </c>
      <c r="N639" s="32" t="str">
        <f aca="false">IF(F639="","",IF(H639&lt;&gt;"","Kapandı",IF('Vade Sapması'!$D$3&gt;G639,"Açık · vadesi geçti","Açık · vadesi gelmedi")))</f>
        <v/>
      </c>
      <c r="O639" s="30" t="str">
        <f aca="false">IF(F639="","",IF(AND(H639="",'Vade Sapması'!$D$3&gt;G639),'Vade Sapması'!$D$3-G639,0))</f>
        <v/>
      </c>
      <c r="P639" s="33" t="str">
        <f aca="false">IF(F639="","",F639*J639)</f>
        <v/>
      </c>
      <c r="Q639" s="33" t="str">
        <f aca="false">IF(F639="","",F639*L639)</f>
        <v/>
      </c>
      <c r="R639" s="33" t="str">
        <f aca="false">IF(F639="","",IF(H639="",F639,0))</f>
        <v/>
      </c>
      <c r="S639" s="32" t="str">
        <f aca="false">IF(F639="","",IF(N(O639)=0,"",IF(O639&lt;=30,"1-30",IF(O639&lt;=60,"31-60",IF(O639&lt;=90,"61-90","90+")))))</f>
        <v/>
      </c>
      <c r="T639" s="32" t="str">
        <f aca="false">IF(F639="","",IF(E639="","Diğer",E639))</f>
        <v/>
      </c>
      <c r="U639" s="32" t="str">
        <f aca="false">IF(OR(F639="",C639=""),"",IF(COUNTIF($C$2:C639,C639)=1,MAX($U$1:U638)+1,""))</f>
        <v/>
      </c>
    </row>
    <row r="640" customFormat="false" ht="15" hidden="false" customHeight="false" outlineLevel="0" collapsed="false">
      <c r="A640" s="34"/>
      <c r="B640" s="9"/>
      <c r="C640" s="34"/>
      <c r="D640" s="34"/>
      <c r="E640" s="34"/>
      <c r="F640" s="35"/>
      <c r="G640" s="9"/>
      <c r="H640" s="9"/>
      <c r="I640" s="34"/>
      <c r="J640" s="30" t="str">
        <f aca="false">IF(F640="","",G640-B640)</f>
        <v/>
      </c>
      <c r="K640" s="31" t="str">
        <f aca="false">IF(F640="","",IF(H640&lt;&gt;"",H640,MAX('Vade Sapması'!$D$3,G640)))</f>
        <v/>
      </c>
      <c r="L640" s="30" t="str">
        <f aca="false">IF(F640="","",K640-B640)</f>
        <v/>
      </c>
      <c r="M640" s="30" t="str">
        <f aca="false">IF(F640="","",L640-J640)</f>
        <v/>
      </c>
      <c r="N640" s="32" t="str">
        <f aca="false">IF(F640="","",IF(H640&lt;&gt;"","Kapandı",IF('Vade Sapması'!$D$3&gt;G640,"Açık · vadesi geçti","Açık · vadesi gelmedi")))</f>
        <v/>
      </c>
      <c r="O640" s="30" t="str">
        <f aca="false">IF(F640="","",IF(AND(H640="",'Vade Sapması'!$D$3&gt;G640),'Vade Sapması'!$D$3-G640,0))</f>
        <v/>
      </c>
      <c r="P640" s="33" t="str">
        <f aca="false">IF(F640="","",F640*J640)</f>
        <v/>
      </c>
      <c r="Q640" s="33" t="str">
        <f aca="false">IF(F640="","",F640*L640)</f>
        <v/>
      </c>
      <c r="R640" s="33" t="str">
        <f aca="false">IF(F640="","",IF(H640="",F640,0))</f>
        <v/>
      </c>
      <c r="S640" s="32" t="str">
        <f aca="false">IF(F640="","",IF(N(O640)=0,"",IF(O640&lt;=30,"1-30",IF(O640&lt;=60,"31-60",IF(O640&lt;=90,"61-90","90+")))))</f>
        <v/>
      </c>
      <c r="T640" s="32" t="str">
        <f aca="false">IF(F640="","",IF(E640="","Diğer",E640))</f>
        <v/>
      </c>
      <c r="U640" s="32" t="str">
        <f aca="false">IF(OR(F640="",C640=""),"",IF(COUNTIF($C$2:C640,C640)=1,MAX($U$1:U639)+1,""))</f>
        <v/>
      </c>
    </row>
    <row r="641" customFormat="false" ht="15" hidden="false" customHeight="false" outlineLevel="0" collapsed="false">
      <c r="A641" s="34"/>
      <c r="B641" s="9"/>
      <c r="C641" s="34"/>
      <c r="D641" s="34"/>
      <c r="E641" s="34"/>
      <c r="F641" s="35"/>
      <c r="G641" s="9"/>
      <c r="H641" s="9"/>
      <c r="I641" s="34"/>
      <c r="J641" s="30" t="str">
        <f aca="false">IF(F641="","",G641-B641)</f>
        <v/>
      </c>
      <c r="K641" s="31" t="str">
        <f aca="false">IF(F641="","",IF(H641&lt;&gt;"",H641,MAX('Vade Sapması'!$D$3,G641)))</f>
        <v/>
      </c>
      <c r="L641" s="30" t="str">
        <f aca="false">IF(F641="","",K641-B641)</f>
        <v/>
      </c>
      <c r="M641" s="30" t="str">
        <f aca="false">IF(F641="","",L641-J641)</f>
        <v/>
      </c>
      <c r="N641" s="32" t="str">
        <f aca="false">IF(F641="","",IF(H641&lt;&gt;"","Kapandı",IF('Vade Sapması'!$D$3&gt;G641,"Açık · vadesi geçti","Açık · vadesi gelmedi")))</f>
        <v/>
      </c>
      <c r="O641" s="30" t="str">
        <f aca="false">IF(F641="","",IF(AND(H641="",'Vade Sapması'!$D$3&gt;G641),'Vade Sapması'!$D$3-G641,0))</f>
        <v/>
      </c>
      <c r="P641" s="33" t="str">
        <f aca="false">IF(F641="","",F641*J641)</f>
        <v/>
      </c>
      <c r="Q641" s="33" t="str">
        <f aca="false">IF(F641="","",F641*L641)</f>
        <v/>
      </c>
      <c r="R641" s="33" t="str">
        <f aca="false">IF(F641="","",IF(H641="",F641,0))</f>
        <v/>
      </c>
      <c r="S641" s="32" t="str">
        <f aca="false">IF(F641="","",IF(N(O641)=0,"",IF(O641&lt;=30,"1-30",IF(O641&lt;=60,"31-60",IF(O641&lt;=90,"61-90","90+")))))</f>
        <v/>
      </c>
      <c r="T641" s="32" t="str">
        <f aca="false">IF(F641="","",IF(E641="","Diğer",E641))</f>
        <v/>
      </c>
      <c r="U641" s="32" t="str">
        <f aca="false">IF(OR(F641="",C641=""),"",IF(COUNTIF($C$2:C641,C641)=1,MAX($U$1:U640)+1,""))</f>
        <v/>
      </c>
    </row>
    <row r="642" customFormat="false" ht="15" hidden="false" customHeight="false" outlineLevel="0" collapsed="false">
      <c r="A642" s="34"/>
      <c r="B642" s="9"/>
      <c r="C642" s="34"/>
      <c r="D642" s="34"/>
      <c r="E642" s="34"/>
      <c r="F642" s="35"/>
      <c r="G642" s="9"/>
      <c r="H642" s="9"/>
      <c r="I642" s="34"/>
      <c r="J642" s="30" t="str">
        <f aca="false">IF(F642="","",G642-B642)</f>
        <v/>
      </c>
      <c r="K642" s="31" t="str">
        <f aca="false">IF(F642="","",IF(H642&lt;&gt;"",H642,MAX('Vade Sapması'!$D$3,G642)))</f>
        <v/>
      </c>
      <c r="L642" s="30" t="str">
        <f aca="false">IF(F642="","",K642-B642)</f>
        <v/>
      </c>
      <c r="M642" s="30" t="str">
        <f aca="false">IF(F642="","",L642-J642)</f>
        <v/>
      </c>
      <c r="N642" s="32" t="str">
        <f aca="false">IF(F642="","",IF(H642&lt;&gt;"","Kapandı",IF('Vade Sapması'!$D$3&gt;G642,"Açık · vadesi geçti","Açık · vadesi gelmedi")))</f>
        <v/>
      </c>
      <c r="O642" s="30" t="str">
        <f aca="false">IF(F642="","",IF(AND(H642="",'Vade Sapması'!$D$3&gt;G642),'Vade Sapması'!$D$3-G642,0))</f>
        <v/>
      </c>
      <c r="P642" s="33" t="str">
        <f aca="false">IF(F642="","",F642*J642)</f>
        <v/>
      </c>
      <c r="Q642" s="33" t="str">
        <f aca="false">IF(F642="","",F642*L642)</f>
        <v/>
      </c>
      <c r="R642" s="33" t="str">
        <f aca="false">IF(F642="","",IF(H642="",F642,0))</f>
        <v/>
      </c>
      <c r="S642" s="32" t="str">
        <f aca="false">IF(F642="","",IF(N(O642)=0,"",IF(O642&lt;=30,"1-30",IF(O642&lt;=60,"31-60",IF(O642&lt;=90,"61-90","90+")))))</f>
        <v/>
      </c>
      <c r="T642" s="32" t="str">
        <f aca="false">IF(F642="","",IF(E642="","Diğer",E642))</f>
        <v/>
      </c>
      <c r="U642" s="32" t="str">
        <f aca="false">IF(OR(F642="",C642=""),"",IF(COUNTIF($C$2:C642,C642)=1,MAX($U$1:U641)+1,""))</f>
        <v/>
      </c>
    </row>
    <row r="643" customFormat="false" ht="15" hidden="false" customHeight="false" outlineLevel="0" collapsed="false">
      <c r="A643" s="34"/>
      <c r="B643" s="9"/>
      <c r="C643" s="34"/>
      <c r="D643" s="34"/>
      <c r="E643" s="34"/>
      <c r="F643" s="35"/>
      <c r="G643" s="9"/>
      <c r="H643" s="9"/>
      <c r="I643" s="34"/>
      <c r="J643" s="30" t="str">
        <f aca="false">IF(F643="","",G643-B643)</f>
        <v/>
      </c>
      <c r="K643" s="31" t="str">
        <f aca="false">IF(F643="","",IF(H643&lt;&gt;"",H643,MAX('Vade Sapması'!$D$3,G643)))</f>
        <v/>
      </c>
      <c r="L643" s="30" t="str">
        <f aca="false">IF(F643="","",K643-B643)</f>
        <v/>
      </c>
      <c r="M643" s="30" t="str">
        <f aca="false">IF(F643="","",L643-J643)</f>
        <v/>
      </c>
      <c r="N643" s="32" t="str">
        <f aca="false">IF(F643="","",IF(H643&lt;&gt;"","Kapandı",IF('Vade Sapması'!$D$3&gt;G643,"Açık · vadesi geçti","Açık · vadesi gelmedi")))</f>
        <v/>
      </c>
      <c r="O643" s="30" t="str">
        <f aca="false">IF(F643="","",IF(AND(H643="",'Vade Sapması'!$D$3&gt;G643),'Vade Sapması'!$D$3-G643,0))</f>
        <v/>
      </c>
      <c r="P643" s="33" t="str">
        <f aca="false">IF(F643="","",F643*J643)</f>
        <v/>
      </c>
      <c r="Q643" s="33" t="str">
        <f aca="false">IF(F643="","",F643*L643)</f>
        <v/>
      </c>
      <c r="R643" s="33" t="str">
        <f aca="false">IF(F643="","",IF(H643="",F643,0))</f>
        <v/>
      </c>
      <c r="S643" s="32" t="str">
        <f aca="false">IF(F643="","",IF(N(O643)=0,"",IF(O643&lt;=30,"1-30",IF(O643&lt;=60,"31-60",IF(O643&lt;=90,"61-90","90+")))))</f>
        <v/>
      </c>
      <c r="T643" s="32" t="str">
        <f aca="false">IF(F643="","",IF(E643="","Diğer",E643))</f>
        <v/>
      </c>
      <c r="U643" s="32" t="str">
        <f aca="false">IF(OR(F643="",C643=""),"",IF(COUNTIF($C$2:C643,C643)=1,MAX($U$1:U642)+1,""))</f>
        <v/>
      </c>
    </row>
    <row r="644" customFormat="false" ht="15" hidden="false" customHeight="false" outlineLevel="0" collapsed="false">
      <c r="A644" s="34"/>
      <c r="B644" s="9"/>
      <c r="C644" s="34"/>
      <c r="D644" s="34"/>
      <c r="E644" s="34"/>
      <c r="F644" s="35"/>
      <c r="G644" s="9"/>
      <c r="H644" s="9"/>
      <c r="I644" s="34"/>
      <c r="J644" s="30" t="str">
        <f aca="false">IF(F644="","",G644-B644)</f>
        <v/>
      </c>
      <c r="K644" s="31" t="str">
        <f aca="false">IF(F644="","",IF(H644&lt;&gt;"",H644,MAX('Vade Sapması'!$D$3,G644)))</f>
        <v/>
      </c>
      <c r="L644" s="30" t="str">
        <f aca="false">IF(F644="","",K644-B644)</f>
        <v/>
      </c>
      <c r="M644" s="30" t="str">
        <f aca="false">IF(F644="","",L644-J644)</f>
        <v/>
      </c>
      <c r="N644" s="32" t="str">
        <f aca="false">IF(F644="","",IF(H644&lt;&gt;"","Kapandı",IF('Vade Sapması'!$D$3&gt;G644,"Açık · vadesi geçti","Açık · vadesi gelmedi")))</f>
        <v/>
      </c>
      <c r="O644" s="30" t="str">
        <f aca="false">IF(F644="","",IF(AND(H644="",'Vade Sapması'!$D$3&gt;G644),'Vade Sapması'!$D$3-G644,0))</f>
        <v/>
      </c>
      <c r="P644" s="33" t="str">
        <f aca="false">IF(F644="","",F644*J644)</f>
        <v/>
      </c>
      <c r="Q644" s="33" t="str">
        <f aca="false">IF(F644="","",F644*L644)</f>
        <v/>
      </c>
      <c r="R644" s="33" t="str">
        <f aca="false">IF(F644="","",IF(H644="",F644,0))</f>
        <v/>
      </c>
      <c r="S644" s="32" t="str">
        <f aca="false">IF(F644="","",IF(N(O644)=0,"",IF(O644&lt;=30,"1-30",IF(O644&lt;=60,"31-60",IF(O644&lt;=90,"61-90","90+")))))</f>
        <v/>
      </c>
      <c r="T644" s="32" t="str">
        <f aca="false">IF(F644="","",IF(E644="","Diğer",E644))</f>
        <v/>
      </c>
      <c r="U644" s="32" t="str">
        <f aca="false">IF(OR(F644="",C644=""),"",IF(COUNTIF($C$2:C644,C644)=1,MAX($U$1:U643)+1,""))</f>
        <v/>
      </c>
    </row>
    <row r="645" customFormat="false" ht="15" hidden="false" customHeight="false" outlineLevel="0" collapsed="false">
      <c r="A645" s="34"/>
      <c r="B645" s="9"/>
      <c r="C645" s="34"/>
      <c r="D645" s="34"/>
      <c r="E645" s="34"/>
      <c r="F645" s="35"/>
      <c r="G645" s="9"/>
      <c r="H645" s="9"/>
      <c r="I645" s="34"/>
      <c r="J645" s="30" t="str">
        <f aca="false">IF(F645="","",G645-B645)</f>
        <v/>
      </c>
      <c r="K645" s="31" t="str">
        <f aca="false">IF(F645="","",IF(H645&lt;&gt;"",H645,MAX('Vade Sapması'!$D$3,G645)))</f>
        <v/>
      </c>
      <c r="L645" s="30" t="str">
        <f aca="false">IF(F645="","",K645-B645)</f>
        <v/>
      </c>
      <c r="M645" s="30" t="str">
        <f aca="false">IF(F645="","",L645-J645)</f>
        <v/>
      </c>
      <c r="N645" s="32" t="str">
        <f aca="false">IF(F645="","",IF(H645&lt;&gt;"","Kapandı",IF('Vade Sapması'!$D$3&gt;G645,"Açık · vadesi geçti","Açık · vadesi gelmedi")))</f>
        <v/>
      </c>
      <c r="O645" s="30" t="str">
        <f aca="false">IF(F645="","",IF(AND(H645="",'Vade Sapması'!$D$3&gt;G645),'Vade Sapması'!$D$3-G645,0))</f>
        <v/>
      </c>
      <c r="P645" s="33" t="str">
        <f aca="false">IF(F645="","",F645*J645)</f>
        <v/>
      </c>
      <c r="Q645" s="33" t="str">
        <f aca="false">IF(F645="","",F645*L645)</f>
        <v/>
      </c>
      <c r="R645" s="33" t="str">
        <f aca="false">IF(F645="","",IF(H645="",F645,0))</f>
        <v/>
      </c>
      <c r="S645" s="32" t="str">
        <f aca="false">IF(F645="","",IF(N(O645)=0,"",IF(O645&lt;=30,"1-30",IF(O645&lt;=60,"31-60",IF(O645&lt;=90,"61-90","90+")))))</f>
        <v/>
      </c>
      <c r="T645" s="32" t="str">
        <f aca="false">IF(F645="","",IF(E645="","Diğer",E645))</f>
        <v/>
      </c>
      <c r="U645" s="32" t="str">
        <f aca="false">IF(OR(F645="",C645=""),"",IF(COUNTIF($C$2:C645,C645)=1,MAX($U$1:U644)+1,""))</f>
        <v/>
      </c>
    </row>
    <row r="646" customFormat="false" ht="15" hidden="false" customHeight="false" outlineLevel="0" collapsed="false">
      <c r="A646" s="34"/>
      <c r="B646" s="9"/>
      <c r="C646" s="34"/>
      <c r="D646" s="34"/>
      <c r="E646" s="34"/>
      <c r="F646" s="35"/>
      <c r="G646" s="9"/>
      <c r="H646" s="9"/>
      <c r="I646" s="34"/>
      <c r="J646" s="30" t="str">
        <f aca="false">IF(F646="","",G646-B646)</f>
        <v/>
      </c>
      <c r="K646" s="31" t="str">
        <f aca="false">IF(F646="","",IF(H646&lt;&gt;"",H646,MAX('Vade Sapması'!$D$3,G646)))</f>
        <v/>
      </c>
      <c r="L646" s="30" t="str">
        <f aca="false">IF(F646="","",K646-B646)</f>
        <v/>
      </c>
      <c r="M646" s="30" t="str">
        <f aca="false">IF(F646="","",L646-J646)</f>
        <v/>
      </c>
      <c r="N646" s="32" t="str">
        <f aca="false">IF(F646="","",IF(H646&lt;&gt;"","Kapandı",IF('Vade Sapması'!$D$3&gt;G646,"Açık · vadesi geçti","Açık · vadesi gelmedi")))</f>
        <v/>
      </c>
      <c r="O646" s="30" t="str">
        <f aca="false">IF(F646="","",IF(AND(H646="",'Vade Sapması'!$D$3&gt;G646),'Vade Sapması'!$D$3-G646,0))</f>
        <v/>
      </c>
      <c r="P646" s="33" t="str">
        <f aca="false">IF(F646="","",F646*J646)</f>
        <v/>
      </c>
      <c r="Q646" s="33" t="str">
        <f aca="false">IF(F646="","",F646*L646)</f>
        <v/>
      </c>
      <c r="R646" s="33" t="str">
        <f aca="false">IF(F646="","",IF(H646="",F646,0))</f>
        <v/>
      </c>
      <c r="S646" s="32" t="str">
        <f aca="false">IF(F646="","",IF(N(O646)=0,"",IF(O646&lt;=30,"1-30",IF(O646&lt;=60,"31-60",IF(O646&lt;=90,"61-90","90+")))))</f>
        <v/>
      </c>
      <c r="T646" s="32" t="str">
        <f aca="false">IF(F646="","",IF(E646="","Diğer",E646))</f>
        <v/>
      </c>
      <c r="U646" s="32" t="str">
        <f aca="false">IF(OR(F646="",C646=""),"",IF(COUNTIF($C$2:C646,C646)=1,MAX($U$1:U645)+1,""))</f>
        <v/>
      </c>
    </row>
    <row r="647" customFormat="false" ht="15" hidden="false" customHeight="false" outlineLevel="0" collapsed="false">
      <c r="A647" s="34"/>
      <c r="B647" s="9"/>
      <c r="C647" s="34"/>
      <c r="D647" s="34"/>
      <c r="E647" s="34"/>
      <c r="F647" s="35"/>
      <c r="G647" s="9"/>
      <c r="H647" s="9"/>
      <c r="I647" s="34"/>
      <c r="J647" s="30" t="str">
        <f aca="false">IF(F647="","",G647-B647)</f>
        <v/>
      </c>
      <c r="K647" s="31" t="str">
        <f aca="false">IF(F647="","",IF(H647&lt;&gt;"",H647,MAX('Vade Sapması'!$D$3,G647)))</f>
        <v/>
      </c>
      <c r="L647" s="30" t="str">
        <f aca="false">IF(F647="","",K647-B647)</f>
        <v/>
      </c>
      <c r="M647" s="30" t="str">
        <f aca="false">IF(F647="","",L647-J647)</f>
        <v/>
      </c>
      <c r="N647" s="32" t="str">
        <f aca="false">IF(F647="","",IF(H647&lt;&gt;"","Kapandı",IF('Vade Sapması'!$D$3&gt;G647,"Açık · vadesi geçti","Açık · vadesi gelmedi")))</f>
        <v/>
      </c>
      <c r="O647" s="30" t="str">
        <f aca="false">IF(F647="","",IF(AND(H647="",'Vade Sapması'!$D$3&gt;G647),'Vade Sapması'!$D$3-G647,0))</f>
        <v/>
      </c>
      <c r="P647" s="33" t="str">
        <f aca="false">IF(F647="","",F647*J647)</f>
        <v/>
      </c>
      <c r="Q647" s="33" t="str">
        <f aca="false">IF(F647="","",F647*L647)</f>
        <v/>
      </c>
      <c r="R647" s="33" t="str">
        <f aca="false">IF(F647="","",IF(H647="",F647,0))</f>
        <v/>
      </c>
      <c r="S647" s="32" t="str">
        <f aca="false">IF(F647="","",IF(N(O647)=0,"",IF(O647&lt;=30,"1-30",IF(O647&lt;=60,"31-60",IF(O647&lt;=90,"61-90","90+")))))</f>
        <v/>
      </c>
      <c r="T647" s="32" t="str">
        <f aca="false">IF(F647="","",IF(E647="","Diğer",E647))</f>
        <v/>
      </c>
      <c r="U647" s="32" t="str">
        <f aca="false">IF(OR(F647="",C647=""),"",IF(COUNTIF($C$2:C647,C647)=1,MAX($U$1:U646)+1,""))</f>
        <v/>
      </c>
    </row>
    <row r="648" customFormat="false" ht="15" hidden="false" customHeight="false" outlineLevel="0" collapsed="false">
      <c r="A648" s="34"/>
      <c r="B648" s="9"/>
      <c r="C648" s="34"/>
      <c r="D648" s="34"/>
      <c r="E648" s="34"/>
      <c r="F648" s="35"/>
      <c r="G648" s="9"/>
      <c r="H648" s="9"/>
      <c r="I648" s="34"/>
      <c r="J648" s="30" t="str">
        <f aca="false">IF(F648="","",G648-B648)</f>
        <v/>
      </c>
      <c r="K648" s="31" t="str">
        <f aca="false">IF(F648="","",IF(H648&lt;&gt;"",H648,MAX('Vade Sapması'!$D$3,G648)))</f>
        <v/>
      </c>
      <c r="L648" s="30" t="str">
        <f aca="false">IF(F648="","",K648-B648)</f>
        <v/>
      </c>
      <c r="M648" s="30" t="str">
        <f aca="false">IF(F648="","",L648-J648)</f>
        <v/>
      </c>
      <c r="N648" s="32" t="str">
        <f aca="false">IF(F648="","",IF(H648&lt;&gt;"","Kapandı",IF('Vade Sapması'!$D$3&gt;G648,"Açık · vadesi geçti","Açık · vadesi gelmedi")))</f>
        <v/>
      </c>
      <c r="O648" s="30" t="str">
        <f aca="false">IF(F648="","",IF(AND(H648="",'Vade Sapması'!$D$3&gt;G648),'Vade Sapması'!$D$3-G648,0))</f>
        <v/>
      </c>
      <c r="P648" s="33" t="str">
        <f aca="false">IF(F648="","",F648*J648)</f>
        <v/>
      </c>
      <c r="Q648" s="33" t="str">
        <f aca="false">IF(F648="","",F648*L648)</f>
        <v/>
      </c>
      <c r="R648" s="33" t="str">
        <f aca="false">IF(F648="","",IF(H648="",F648,0))</f>
        <v/>
      </c>
      <c r="S648" s="32" t="str">
        <f aca="false">IF(F648="","",IF(N(O648)=0,"",IF(O648&lt;=30,"1-30",IF(O648&lt;=60,"31-60",IF(O648&lt;=90,"61-90","90+")))))</f>
        <v/>
      </c>
      <c r="T648" s="32" t="str">
        <f aca="false">IF(F648="","",IF(E648="","Diğer",E648))</f>
        <v/>
      </c>
      <c r="U648" s="32" t="str">
        <f aca="false">IF(OR(F648="",C648=""),"",IF(COUNTIF($C$2:C648,C648)=1,MAX($U$1:U647)+1,""))</f>
        <v/>
      </c>
    </row>
    <row r="649" customFormat="false" ht="15" hidden="false" customHeight="false" outlineLevel="0" collapsed="false">
      <c r="A649" s="34"/>
      <c r="B649" s="9"/>
      <c r="C649" s="34"/>
      <c r="D649" s="34"/>
      <c r="E649" s="34"/>
      <c r="F649" s="35"/>
      <c r="G649" s="9"/>
      <c r="H649" s="9"/>
      <c r="I649" s="34"/>
      <c r="J649" s="30" t="str">
        <f aca="false">IF(F649="","",G649-B649)</f>
        <v/>
      </c>
      <c r="K649" s="31" t="str">
        <f aca="false">IF(F649="","",IF(H649&lt;&gt;"",H649,MAX('Vade Sapması'!$D$3,G649)))</f>
        <v/>
      </c>
      <c r="L649" s="30" t="str">
        <f aca="false">IF(F649="","",K649-B649)</f>
        <v/>
      </c>
      <c r="M649" s="30" t="str">
        <f aca="false">IF(F649="","",L649-J649)</f>
        <v/>
      </c>
      <c r="N649" s="32" t="str">
        <f aca="false">IF(F649="","",IF(H649&lt;&gt;"","Kapandı",IF('Vade Sapması'!$D$3&gt;G649,"Açık · vadesi geçti","Açık · vadesi gelmedi")))</f>
        <v/>
      </c>
      <c r="O649" s="30" t="str">
        <f aca="false">IF(F649="","",IF(AND(H649="",'Vade Sapması'!$D$3&gt;G649),'Vade Sapması'!$D$3-G649,0))</f>
        <v/>
      </c>
      <c r="P649" s="33" t="str">
        <f aca="false">IF(F649="","",F649*J649)</f>
        <v/>
      </c>
      <c r="Q649" s="33" t="str">
        <f aca="false">IF(F649="","",F649*L649)</f>
        <v/>
      </c>
      <c r="R649" s="33" t="str">
        <f aca="false">IF(F649="","",IF(H649="",F649,0))</f>
        <v/>
      </c>
      <c r="S649" s="32" t="str">
        <f aca="false">IF(F649="","",IF(N(O649)=0,"",IF(O649&lt;=30,"1-30",IF(O649&lt;=60,"31-60",IF(O649&lt;=90,"61-90","90+")))))</f>
        <v/>
      </c>
      <c r="T649" s="32" t="str">
        <f aca="false">IF(F649="","",IF(E649="","Diğer",E649))</f>
        <v/>
      </c>
      <c r="U649" s="32" t="str">
        <f aca="false">IF(OR(F649="",C649=""),"",IF(COUNTIF($C$2:C649,C649)=1,MAX($U$1:U648)+1,""))</f>
        <v/>
      </c>
    </row>
    <row r="650" customFormat="false" ht="15" hidden="false" customHeight="false" outlineLevel="0" collapsed="false">
      <c r="A650" s="34"/>
      <c r="B650" s="9"/>
      <c r="C650" s="34"/>
      <c r="D650" s="34"/>
      <c r="E650" s="34"/>
      <c r="F650" s="35"/>
      <c r="G650" s="9"/>
      <c r="H650" s="9"/>
      <c r="I650" s="34"/>
      <c r="J650" s="30" t="str">
        <f aca="false">IF(F650="","",G650-B650)</f>
        <v/>
      </c>
      <c r="K650" s="31" t="str">
        <f aca="false">IF(F650="","",IF(H650&lt;&gt;"",H650,MAX('Vade Sapması'!$D$3,G650)))</f>
        <v/>
      </c>
      <c r="L650" s="30" t="str">
        <f aca="false">IF(F650="","",K650-B650)</f>
        <v/>
      </c>
      <c r="M650" s="30" t="str">
        <f aca="false">IF(F650="","",L650-J650)</f>
        <v/>
      </c>
      <c r="N650" s="32" t="str">
        <f aca="false">IF(F650="","",IF(H650&lt;&gt;"","Kapandı",IF('Vade Sapması'!$D$3&gt;G650,"Açık · vadesi geçti","Açık · vadesi gelmedi")))</f>
        <v/>
      </c>
      <c r="O650" s="30" t="str">
        <f aca="false">IF(F650="","",IF(AND(H650="",'Vade Sapması'!$D$3&gt;G650),'Vade Sapması'!$D$3-G650,0))</f>
        <v/>
      </c>
      <c r="P650" s="33" t="str">
        <f aca="false">IF(F650="","",F650*J650)</f>
        <v/>
      </c>
      <c r="Q650" s="33" t="str">
        <f aca="false">IF(F650="","",F650*L650)</f>
        <v/>
      </c>
      <c r="R650" s="33" t="str">
        <f aca="false">IF(F650="","",IF(H650="",F650,0))</f>
        <v/>
      </c>
      <c r="S650" s="32" t="str">
        <f aca="false">IF(F650="","",IF(N(O650)=0,"",IF(O650&lt;=30,"1-30",IF(O650&lt;=60,"31-60",IF(O650&lt;=90,"61-90","90+")))))</f>
        <v/>
      </c>
      <c r="T650" s="32" t="str">
        <f aca="false">IF(F650="","",IF(E650="","Diğer",E650))</f>
        <v/>
      </c>
      <c r="U650" s="32" t="str">
        <f aca="false">IF(OR(F650="",C650=""),"",IF(COUNTIF($C$2:C650,C650)=1,MAX($U$1:U649)+1,""))</f>
        <v/>
      </c>
    </row>
    <row r="651" customFormat="false" ht="15" hidden="false" customHeight="false" outlineLevel="0" collapsed="false">
      <c r="A651" s="34"/>
      <c r="B651" s="9"/>
      <c r="C651" s="34"/>
      <c r="D651" s="34"/>
      <c r="E651" s="34"/>
      <c r="F651" s="35"/>
      <c r="G651" s="9"/>
      <c r="H651" s="9"/>
      <c r="I651" s="34"/>
      <c r="J651" s="30" t="str">
        <f aca="false">IF(F651="","",G651-B651)</f>
        <v/>
      </c>
      <c r="K651" s="31" t="str">
        <f aca="false">IF(F651="","",IF(H651&lt;&gt;"",H651,MAX('Vade Sapması'!$D$3,G651)))</f>
        <v/>
      </c>
      <c r="L651" s="30" t="str">
        <f aca="false">IF(F651="","",K651-B651)</f>
        <v/>
      </c>
      <c r="M651" s="30" t="str">
        <f aca="false">IF(F651="","",L651-J651)</f>
        <v/>
      </c>
      <c r="N651" s="32" t="str">
        <f aca="false">IF(F651="","",IF(H651&lt;&gt;"","Kapandı",IF('Vade Sapması'!$D$3&gt;G651,"Açık · vadesi geçti","Açık · vadesi gelmedi")))</f>
        <v/>
      </c>
      <c r="O651" s="30" t="str">
        <f aca="false">IF(F651="","",IF(AND(H651="",'Vade Sapması'!$D$3&gt;G651),'Vade Sapması'!$D$3-G651,0))</f>
        <v/>
      </c>
      <c r="P651" s="33" t="str">
        <f aca="false">IF(F651="","",F651*J651)</f>
        <v/>
      </c>
      <c r="Q651" s="33" t="str">
        <f aca="false">IF(F651="","",F651*L651)</f>
        <v/>
      </c>
      <c r="R651" s="33" t="str">
        <f aca="false">IF(F651="","",IF(H651="",F651,0))</f>
        <v/>
      </c>
      <c r="S651" s="32" t="str">
        <f aca="false">IF(F651="","",IF(N(O651)=0,"",IF(O651&lt;=30,"1-30",IF(O651&lt;=60,"31-60",IF(O651&lt;=90,"61-90","90+")))))</f>
        <v/>
      </c>
      <c r="T651" s="32" t="str">
        <f aca="false">IF(F651="","",IF(E651="","Diğer",E651))</f>
        <v/>
      </c>
      <c r="U651" s="32" t="str">
        <f aca="false">IF(OR(F651="",C651=""),"",IF(COUNTIF($C$2:C651,C651)=1,MAX($U$1:U650)+1,""))</f>
        <v/>
      </c>
    </row>
    <row r="652" customFormat="false" ht="15" hidden="false" customHeight="false" outlineLevel="0" collapsed="false">
      <c r="A652" s="34"/>
      <c r="B652" s="9"/>
      <c r="C652" s="34"/>
      <c r="D652" s="34"/>
      <c r="E652" s="34"/>
      <c r="F652" s="35"/>
      <c r="G652" s="9"/>
      <c r="H652" s="9"/>
      <c r="I652" s="34"/>
      <c r="J652" s="30" t="str">
        <f aca="false">IF(F652="","",G652-B652)</f>
        <v/>
      </c>
      <c r="K652" s="31" t="str">
        <f aca="false">IF(F652="","",IF(H652&lt;&gt;"",H652,MAX('Vade Sapması'!$D$3,G652)))</f>
        <v/>
      </c>
      <c r="L652" s="30" t="str">
        <f aca="false">IF(F652="","",K652-B652)</f>
        <v/>
      </c>
      <c r="M652" s="30" t="str">
        <f aca="false">IF(F652="","",L652-J652)</f>
        <v/>
      </c>
      <c r="N652" s="32" t="str">
        <f aca="false">IF(F652="","",IF(H652&lt;&gt;"","Kapandı",IF('Vade Sapması'!$D$3&gt;G652,"Açık · vadesi geçti","Açık · vadesi gelmedi")))</f>
        <v/>
      </c>
      <c r="O652" s="30" t="str">
        <f aca="false">IF(F652="","",IF(AND(H652="",'Vade Sapması'!$D$3&gt;G652),'Vade Sapması'!$D$3-G652,0))</f>
        <v/>
      </c>
      <c r="P652" s="33" t="str">
        <f aca="false">IF(F652="","",F652*J652)</f>
        <v/>
      </c>
      <c r="Q652" s="33" t="str">
        <f aca="false">IF(F652="","",F652*L652)</f>
        <v/>
      </c>
      <c r="R652" s="33" t="str">
        <f aca="false">IF(F652="","",IF(H652="",F652,0))</f>
        <v/>
      </c>
      <c r="S652" s="32" t="str">
        <f aca="false">IF(F652="","",IF(N(O652)=0,"",IF(O652&lt;=30,"1-30",IF(O652&lt;=60,"31-60",IF(O652&lt;=90,"61-90","90+")))))</f>
        <v/>
      </c>
      <c r="T652" s="32" t="str">
        <f aca="false">IF(F652="","",IF(E652="","Diğer",E652))</f>
        <v/>
      </c>
      <c r="U652" s="32" t="str">
        <f aca="false">IF(OR(F652="",C652=""),"",IF(COUNTIF($C$2:C652,C652)=1,MAX($U$1:U651)+1,""))</f>
        <v/>
      </c>
    </row>
    <row r="653" customFormat="false" ht="15" hidden="false" customHeight="false" outlineLevel="0" collapsed="false">
      <c r="A653" s="34"/>
      <c r="B653" s="9"/>
      <c r="C653" s="34"/>
      <c r="D653" s="34"/>
      <c r="E653" s="34"/>
      <c r="F653" s="35"/>
      <c r="G653" s="9"/>
      <c r="H653" s="9"/>
      <c r="I653" s="34"/>
      <c r="J653" s="30" t="str">
        <f aca="false">IF(F653="","",G653-B653)</f>
        <v/>
      </c>
      <c r="K653" s="31" t="str">
        <f aca="false">IF(F653="","",IF(H653&lt;&gt;"",H653,MAX('Vade Sapması'!$D$3,G653)))</f>
        <v/>
      </c>
      <c r="L653" s="30" t="str">
        <f aca="false">IF(F653="","",K653-B653)</f>
        <v/>
      </c>
      <c r="M653" s="30" t="str">
        <f aca="false">IF(F653="","",L653-J653)</f>
        <v/>
      </c>
      <c r="N653" s="32" t="str">
        <f aca="false">IF(F653="","",IF(H653&lt;&gt;"","Kapandı",IF('Vade Sapması'!$D$3&gt;G653,"Açık · vadesi geçti","Açık · vadesi gelmedi")))</f>
        <v/>
      </c>
      <c r="O653" s="30" t="str">
        <f aca="false">IF(F653="","",IF(AND(H653="",'Vade Sapması'!$D$3&gt;G653),'Vade Sapması'!$D$3-G653,0))</f>
        <v/>
      </c>
      <c r="P653" s="33" t="str">
        <f aca="false">IF(F653="","",F653*J653)</f>
        <v/>
      </c>
      <c r="Q653" s="33" t="str">
        <f aca="false">IF(F653="","",F653*L653)</f>
        <v/>
      </c>
      <c r="R653" s="33" t="str">
        <f aca="false">IF(F653="","",IF(H653="",F653,0))</f>
        <v/>
      </c>
      <c r="S653" s="32" t="str">
        <f aca="false">IF(F653="","",IF(N(O653)=0,"",IF(O653&lt;=30,"1-30",IF(O653&lt;=60,"31-60",IF(O653&lt;=90,"61-90","90+")))))</f>
        <v/>
      </c>
      <c r="T653" s="32" t="str">
        <f aca="false">IF(F653="","",IF(E653="","Diğer",E653))</f>
        <v/>
      </c>
      <c r="U653" s="32" t="str">
        <f aca="false">IF(OR(F653="",C653=""),"",IF(COUNTIF($C$2:C653,C653)=1,MAX($U$1:U652)+1,""))</f>
        <v/>
      </c>
    </row>
    <row r="654" customFormat="false" ht="15" hidden="false" customHeight="false" outlineLevel="0" collapsed="false">
      <c r="A654" s="34"/>
      <c r="B654" s="9"/>
      <c r="C654" s="34"/>
      <c r="D654" s="34"/>
      <c r="E654" s="34"/>
      <c r="F654" s="35"/>
      <c r="G654" s="9"/>
      <c r="H654" s="9"/>
      <c r="I654" s="34"/>
      <c r="J654" s="30" t="str">
        <f aca="false">IF(F654="","",G654-B654)</f>
        <v/>
      </c>
      <c r="K654" s="31" t="str">
        <f aca="false">IF(F654="","",IF(H654&lt;&gt;"",H654,MAX('Vade Sapması'!$D$3,G654)))</f>
        <v/>
      </c>
      <c r="L654" s="30" t="str">
        <f aca="false">IF(F654="","",K654-B654)</f>
        <v/>
      </c>
      <c r="M654" s="30" t="str">
        <f aca="false">IF(F654="","",L654-J654)</f>
        <v/>
      </c>
      <c r="N654" s="32" t="str">
        <f aca="false">IF(F654="","",IF(H654&lt;&gt;"","Kapandı",IF('Vade Sapması'!$D$3&gt;G654,"Açık · vadesi geçti","Açık · vadesi gelmedi")))</f>
        <v/>
      </c>
      <c r="O654" s="30" t="str">
        <f aca="false">IF(F654="","",IF(AND(H654="",'Vade Sapması'!$D$3&gt;G654),'Vade Sapması'!$D$3-G654,0))</f>
        <v/>
      </c>
      <c r="P654" s="33" t="str">
        <f aca="false">IF(F654="","",F654*J654)</f>
        <v/>
      </c>
      <c r="Q654" s="33" t="str">
        <f aca="false">IF(F654="","",F654*L654)</f>
        <v/>
      </c>
      <c r="R654" s="33" t="str">
        <f aca="false">IF(F654="","",IF(H654="",F654,0))</f>
        <v/>
      </c>
      <c r="S654" s="32" t="str">
        <f aca="false">IF(F654="","",IF(N(O654)=0,"",IF(O654&lt;=30,"1-30",IF(O654&lt;=60,"31-60",IF(O654&lt;=90,"61-90","90+")))))</f>
        <v/>
      </c>
      <c r="T654" s="32" t="str">
        <f aca="false">IF(F654="","",IF(E654="","Diğer",E654))</f>
        <v/>
      </c>
      <c r="U654" s="32" t="str">
        <f aca="false">IF(OR(F654="",C654=""),"",IF(COUNTIF($C$2:C654,C654)=1,MAX($U$1:U653)+1,""))</f>
        <v/>
      </c>
    </row>
    <row r="655" customFormat="false" ht="15" hidden="false" customHeight="false" outlineLevel="0" collapsed="false">
      <c r="A655" s="34"/>
      <c r="B655" s="9"/>
      <c r="C655" s="34"/>
      <c r="D655" s="34"/>
      <c r="E655" s="34"/>
      <c r="F655" s="35"/>
      <c r="G655" s="9"/>
      <c r="H655" s="9"/>
      <c r="I655" s="34"/>
      <c r="J655" s="30" t="str">
        <f aca="false">IF(F655="","",G655-B655)</f>
        <v/>
      </c>
      <c r="K655" s="31" t="str">
        <f aca="false">IF(F655="","",IF(H655&lt;&gt;"",H655,MAX('Vade Sapması'!$D$3,G655)))</f>
        <v/>
      </c>
      <c r="L655" s="30" t="str">
        <f aca="false">IF(F655="","",K655-B655)</f>
        <v/>
      </c>
      <c r="M655" s="30" t="str">
        <f aca="false">IF(F655="","",L655-J655)</f>
        <v/>
      </c>
      <c r="N655" s="32" t="str">
        <f aca="false">IF(F655="","",IF(H655&lt;&gt;"","Kapandı",IF('Vade Sapması'!$D$3&gt;G655,"Açık · vadesi geçti","Açık · vadesi gelmedi")))</f>
        <v/>
      </c>
      <c r="O655" s="30" t="str">
        <f aca="false">IF(F655="","",IF(AND(H655="",'Vade Sapması'!$D$3&gt;G655),'Vade Sapması'!$D$3-G655,0))</f>
        <v/>
      </c>
      <c r="P655" s="33" t="str">
        <f aca="false">IF(F655="","",F655*J655)</f>
        <v/>
      </c>
      <c r="Q655" s="33" t="str">
        <f aca="false">IF(F655="","",F655*L655)</f>
        <v/>
      </c>
      <c r="R655" s="33" t="str">
        <f aca="false">IF(F655="","",IF(H655="",F655,0))</f>
        <v/>
      </c>
      <c r="S655" s="32" t="str">
        <f aca="false">IF(F655="","",IF(N(O655)=0,"",IF(O655&lt;=30,"1-30",IF(O655&lt;=60,"31-60",IF(O655&lt;=90,"61-90","90+")))))</f>
        <v/>
      </c>
      <c r="T655" s="32" t="str">
        <f aca="false">IF(F655="","",IF(E655="","Diğer",E655))</f>
        <v/>
      </c>
      <c r="U655" s="32" t="str">
        <f aca="false">IF(OR(F655="",C655=""),"",IF(COUNTIF($C$2:C655,C655)=1,MAX($U$1:U654)+1,""))</f>
        <v/>
      </c>
    </row>
    <row r="656" customFormat="false" ht="15" hidden="false" customHeight="false" outlineLevel="0" collapsed="false">
      <c r="A656" s="34"/>
      <c r="B656" s="9"/>
      <c r="C656" s="34"/>
      <c r="D656" s="34"/>
      <c r="E656" s="34"/>
      <c r="F656" s="35"/>
      <c r="G656" s="9"/>
      <c r="H656" s="9"/>
      <c r="I656" s="34"/>
      <c r="J656" s="30" t="str">
        <f aca="false">IF(F656="","",G656-B656)</f>
        <v/>
      </c>
      <c r="K656" s="31" t="str">
        <f aca="false">IF(F656="","",IF(H656&lt;&gt;"",H656,MAX('Vade Sapması'!$D$3,G656)))</f>
        <v/>
      </c>
      <c r="L656" s="30" t="str">
        <f aca="false">IF(F656="","",K656-B656)</f>
        <v/>
      </c>
      <c r="M656" s="30" t="str">
        <f aca="false">IF(F656="","",L656-J656)</f>
        <v/>
      </c>
      <c r="N656" s="32" t="str">
        <f aca="false">IF(F656="","",IF(H656&lt;&gt;"","Kapandı",IF('Vade Sapması'!$D$3&gt;G656,"Açık · vadesi geçti","Açık · vadesi gelmedi")))</f>
        <v/>
      </c>
      <c r="O656" s="30" t="str">
        <f aca="false">IF(F656="","",IF(AND(H656="",'Vade Sapması'!$D$3&gt;G656),'Vade Sapması'!$D$3-G656,0))</f>
        <v/>
      </c>
      <c r="P656" s="33" t="str">
        <f aca="false">IF(F656="","",F656*J656)</f>
        <v/>
      </c>
      <c r="Q656" s="33" t="str">
        <f aca="false">IF(F656="","",F656*L656)</f>
        <v/>
      </c>
      <c r="R656" s="33" t="str">
        <f aca="false">IF(F656="","",IF(H656="",F656,0))</f>
        <v/>
      </c>
      <c r="S656" s="32" t="str">
        <f aca="false">IF(F656="","",IF(N(O656)=0,"",IF(O656&lt;=30,"1-30",IF(O656&lt;=60,"31-60",IF(O656&lt;=90,"61-90","90+")))))</f>
        <v/>
      </c>
      <c r="T656" s="32" t="str">
        <f aca="false">IF(F656="","",IF(E656="","Diğer",E656))</f>
        <v/>
      </c>
      <c r="U656" s="32" t="str">
        <f aca="false">IF(OR(F656="",C656=""),"",IF(COUNTIF($C$2:C656,C656)=1,MAX($U$1:U655)+1,""))</f>
        <v/>
      </c>
    </row>
    <row r="657" customFormat="false" ht="15" hidden="false" customHeight="false" outlineLevel="0" collapsed="false">
      <c r="A657" s="34"/>
      <c r="B657" s="9"/>
      <c r="C657" s="34"/>
      <c r="D657" s="34"/>
      <c r="E657" s="34"/>
      <c r="F657" s="35"/>
      <c r="G657" s="9"/>
      <c r="H657" s="9"/>
      <c r="I657" s="34"/>
      <c r="J657" s="30" t="str">
        <f aca="false">IF(F657="","",G657-B657)</f>
        <v/>
      </c>
      <c r="K657" s="31" t="str">
        <f aca="false">IF(F657="","",IF(H657&lt;&gt;"",H657,MAX('Vade Sapması'!$D$3,G657)))</f>
        <v/>
      </c>
      <c r="L657" s="30" t="str">
        <f aca="false">IF(F657="","",K657-B657)</f>
        <v/>
      </c>
      <c r="M657" s="30" t="str">
        <f aca="false">IF(F657="","",L657-J657)</f>
        <v/>
      </c>
      <c r="N657" s="32" t="str">
        <f aca="false">IF(F657="","",IF(H657&lt;&gt;"","Kapandı",IF('Vade Sapması'!$D$3&gt;G657,"Açık · vadesi geçti","Açık · vadesi gelmedi")))</f>
        <v/>
      </c>
      <c r="O657" s="30" t="str">
        <f aca="false">IF(F657="","",IF(AND(H657="",'Vade Sapması'!$D$3&gt;G657),'Vade Sapması'!$D$3-G657,0))</f>
        <v/>
      </c>
      <c r="P657" s="33" t="str">
        <f aca="false">IF(F657="","",F657*J657)</f>
        <v/>
      </c>
      <c r="Q657" s="33" t="str">
        <f aca="false">IF(F657="","",F657*L657)</f>
        <v/>
      </c>
      <c r="R657" s="33" t="str">
        <f aca="false">IF(F657="","",IF(H657="",F657,0))</f>
        <v/>
      </c>
      <c r="S657" s="32" t="str">
        <f aca="false">IF(F657="","",IF(N(O657)=0,"",IF(O657&lt;=30,"1-30",IF(O657&lt;=60,"31-60",IF(O657&lt;=90,"61-90","90+")))))</f>
        <v/>
      </c>
      <c r="T657" s="32" t="str">
        <f aca="false">IF(F657="","",IF(E657="","Diğer",E657))</f>
        <v/>
      </c>
      <c r="U657" s="32" t="str">
        <f aca="false">IF(OR(F657="",C657=""),"",IF(COUNTIF($C$2:C657,C657)=1,MAX($U$1:U656)+1,""))</f>
        <v/>
      </c>
    </row>
    <row r="658" customFormat="false" ht="15" hidden="false" customHeight="false" outlineLevel="0" collapsed="false">
      <c r="A658" s="34"/>
      <c r="B658" s="9"/>
      <c r="C658" s="34"/>
      <c r="D658" s="34"/>
      <c r="E658" s="34"/>
      <c r="F658" s="35"/>
      <c r="G658" s="9"/>
      <c r="H658" s="9"/>
      <c r="I658" s="34"/>
      <c r="J658" s="30" t="str">
        <f aca="false">IF(F658="","",G658-B658)</f>
        <v/>
      </c>
      <c r="K658" s="31" t="str">
        <f aca="false">IF(F658="","",IF(H658&lt;&gt;"",H658,MAX('Vade Sapması'!$D$3,G658)))</f>
        <v/>
      </c>
      <c r="L658" s="30" t="str">
        <f aca="false">IF(F658="","",K658-B658)</f>
        <v/>
      </c>
      <c r="M658" s="30" t="str">
        <f aca="false">IF(F658="","",L658-J658)</f>
        <v/>
      </c>
      <c r="N658" s="32" t="str">
        <f aca="false">IF(F658="","",IF(H658&lt;&gt;"","Kapandı",IF('Vade Sapması'!$D$3&gt;G658,"Açık · vadesi geçti","Açık · vadesi gelmedi")))</f>
        <v/>
      </c>
      <c r="O658" s="30" t="str">
        <f aca="false">IF(F658="","",IF(AND(H658="",'Vade Sapması'!$D$3&gt;G658),'Vade Sapması'!$D$3-G658,0))</f>
        <v/>
      </c>
      <c r="P658" s="33" t="str">
        <f aca="false">IF(F658="","",F658*J658)</f>
        <v/>
      </c>
      <c r="Q658" s="33" t="str">
        <f aca="false">IF(F658="","",F658*L658)</f>
        <v/>
      </c>
      <c r="R658" s="33" t="str">
        <f aca="false">IF(F658="","",IF(H658="",F658,0))</f>
        <v/>
      </c>
      <c r="S658" s="32" t="str">
        <f aca="false">IF(F658="","",IF(N(O658)=0,"",IF(O658&lt;=30,"1-30",IF(O658&lt;=60,"31-60",IF(O658&lt;=90,"61-90","90+")))))</f>
        <v/>
      </c>
      <c r="T658" s="32" t="str">
        <f aca="false">IF(F658="","",IF(E658="","Diğer",E658))</f>
        <v/>
      </c>
      <c r="U658" s="32" t="str">
        <f aca="false">IF(OR(F658="",C658=""),"",IF(COUNTIF($C$2:C658,C658)=1,MAX($U$1:U657)+1,""))</f>
        <v/>
      </c>
    </row>
    <row r="659" customFormat="false" ht="15" hidden="false" customHeight="false" outlineLevel="0" collapsed="false">
      <c r="A659" s="34"/>
      <c r="B659" s="9"/>
      <c r="C659" s="34"/>
      <c r="D659" s="34"/>
      <c r="E659" s="34"/>
      <c r="F659" s="35"/>
      <c r="G659" s="9"/>
      <c r="H659" s="9"/>
      <c r="I659" s="34"/>
      <c r="J659" s="30" t="str">
        <f aca="false">IF(F659="","",G659-B659)</f>
        <v/>
      </c>
      <c r="K659" s="31" t="str">
        <f aca="false">IF(F659="","",IF(H659&lt;&gt;"",H659,MAX('Vade Sapması'!$D$3,G659)))</f>
        <v/>
      </c>
      <c r="L659" s="30" t="str">
        <f aca="false">IF(F659="","",K659-B659)</f>
        <v/>
      </c>
      <c r="M659" s="30" t="str">
        <f aca="false">IF(F659="","",L659-J659)</f>
        <v/>
      </c>
      <c r="N659" s="32" t="str">
        <f aca="false">IF(F659="","",IF(H659&lt;&gt;"","Kapandı",IF('Vade Sapması'!$D$3&gt;G659,"Açık · vadesi geçti","Açık · vadesi gelmedi")))</f>
        <v/>
      </c>
      <c r="O659" s="30" t="str">
        <f aca="false">IF(F659="","",IF(AND(H659="",'Vade Sapması'!$D$3&gt;G659),'Vade Sapması'!$D$3-G659,0))</f>
        <v/>
      </c>
      <c r="P659" s="33" t="str">
        <f aca="false">IF(F659="","",F659*J659)</f>
        <v/>
      </c>
      <c r="Q659" s="33" t="str">
        <f aca="false">IF(F659="","",F659*L659)</f>
        <v/>
      </c>
      <c r="R659" s="33" t="str">
        <f aca="false">IF(F659="","",IF(H659="",F659,0))</f>
        <v/>
      </c>
      <c r="S659" s="32" t="str">
        <f aca="false">IF(F659="","",IF(N(O659)=0,"",IF(O659&lt;=30,"1-30",IF(O659&lt;=60,"31-60",IF(O659&lt;=90,"61-90","90+")))))</f>
        <v/>
      </c>
      <c r="T659" s="32" t="str">
        <f aca="false">IF(F659="","",IF(E659="","Diğer",E659))</f>
        <v/>
      </c>
      <c r="U659" s="32" t="str">
        <f aca="false">IF(OR(F659="",C659=""),"",IF(COUNTIF($C$2:C659,C659)=1,MAX($U$1:U658)+1,""))</f>
        <v/>
      </c>
    </row>
    <row r="660" customFormat="false" ht="15" hidden="false" customHeight="false" outlineLevel="0" collapsed="false">
      <c r="A660" s="34"/>
      <c r="B660" s="9"/>
      <c r="C660" s="34"/>
      <c r="D660" s="34"/>
      <c r="E660" s="34"/>
      <c r="F660" s="35"/>
      <c r="G660" s="9"/>
      <c r="H660" s="9"/>
      <c r="I660" s="34"/>
      <c r="J660" s="30" t="str">
        <f aca="false">IF(F660="","",G660-B660)</f>
        <v/>
      </c>
      <c r="K660" s="31" t="str">
        <f aca="false">IF(F660="","",IF(H660&lt;&gt;"",H660,MAX('Vade Sapması'!$D$3,G660)))</f>
        <v/>
      </c>
      <c r="L660" s="30" t="str">
        <f aca="false">IF(F660="","",K660-B660)</f>
        <v/>
      </c>
      <c r="M660" s="30" t="str">
        <f aca="false">IF(F660="","",L660-J660)</f>
        <v/>
      </c>
      <c r="N660" s="32" t="str">
        <f aca="false">IF(F660="","",IF(H660&lt;&gt;"","Kapandı",IF('Vade Sapması'!$D$3&gt;G660,"Açık · vadesi geçti","Açık · vadesi gelmedi")))</f>
        <v/>
      </c>
      <c r="O660" s="30" t="str">
        <f aca="false">IF(F660="","",IF(AND(H660="",'Vade Sapması'!$D$3&gt;G660),'Vade Sapması'!$D$3-G660,0))</f>
        <v/>
      </c>
      <c r="P660" s="33" t="str">
        <f aca="false">IF(F660="","",F660*J660)</f>
        <v/>
      </c>
      <c r="Q660" s="33" t="str">
        <f aca="false">IF(F660="","",F660*L660)</f>
        <v/>
      </c>
      <c r="R660" s="33" t="str">
        <f aca="false">IF(F660="","",IF(H660="",F660,0))</f>
        <v/>
      </c>
      <c r="S660" s="32" t="str">
        <f aca="false">IF(F660="","",IF(N(O660)=0,"",IF(O660&lt;=30,"1-30",IF(O660&lt;=60,"31-60",IF(O660&lt;=90,"61-90","90+")))))</f>
        <v/>
      </c>
      <c r="T660" s="32" t="str">
        <f aca="false">IF(F660="","",IF(E660="","Diğer",E660))</f>
        <v/>
      </c>
      <c r="U660" s="32" t="str">
        <f aca="false">IF(OR(F660="",C660=""),"",IF(COUNTIF($C$2:C660,C660)=1,MAX($U$1:U659)+1,""))</f>
        <v/>
      </c>
    </row>
    <row r="661" customFormat="false" ht="15" hidden="false" customHeight="false" outlineLevel="0" collapsed="false">
      <c r="A661" s="34"/>
      <c r="B661" s="9"/>
      <c r="C661" s="34"/>
      <c r="D661" s="34"/>
      <c r="E661" s="34"/>
      <c r="F661" s="35"/>
      <c r="G661" s="9"/>
      <c r="H661" s="9"/>
      <c r="I661" s="34"/>
      <c r="J661" s="30" t="str">
        <f aca="false">IF(F661="","",G661-B661)</f>
        <v/>
      </c>
      <c r="K661" s="31" t="str">
        <f aca="false">IF(F661="","",IF(H661&lt;&gt;"",H661,MAX('Vade Sapması'!$D$3,G661)))</f>
        <v/>
      </c>
      <c r="L661" s="30" t="str">
        <f aca="false">IF(F661="","",K661-B661)</f>
        <v/>
      </c>
      <c r="M661" s="30" t="str">
        <f aca="false">IF(F661="","",L661-J661)</f>
        <v/>
      </c>
      <c r="N661" s="32" t="str">
        <f aca="false">IF(F661="","",IF(H661&lt;&gt;"","Kapandı",IF('Vade Sapması'!$D$3&gt;G661,"Açık · vadesi geçti","Açık · vadesi gelmedi")))</f>
        <v/>
      </c>
      <c r="O661" s="30" t="str">
        <f aca="false">IF(F661="","",IF(AND(H661="",'Vade Sapması'!$D$3&gt;G661),'Vade Sapması'!$D$3-G661,0))</f>
        <v/>
      </c>
      <c r="P661" s="33" t="str">
        <f aca="false">IF(F661="","",F661*J661)</f>
        <v/>
      </c>
      <c r="Q661" s="33" t="str">
        <f aca="false">IF(F661="","",F661*L661)</f>
        <v/>
      </c>
      <c r="R661" s="33" t="str">
        <f aca="false">IF(F661="","",IF(H661="",F661,0))</f>
        <v/>
      </c>
      <c r="S661" s="32" t="str">
        <f aca="false">IF(F661="","",IF(N(O661)=0,"",IF(O661&lt;=30,"1-30",IF(O661&lt;=60,"31-60",IF(O661&lt;=90,"61-90","90+")))))</f>
        <v/>
      </c>
      <c r="T661" s="32" t="str">
        <f aca="false">IF(F661="","",IF(E661="","Diğer",E661))</f>
        <v/>
      </c>
      <c r="U661" s="32" t="str">
        <f aca="false">IF(OR(F661="",C661=""),"",IF(COUNTIF($C$2:C661,C661)=1,MAX($U$1:U660)+1,""))</f>
        <v/>
      </c>
    </row>
    <row r="662" customFormat="false" ht="15" hidden="false" customHeight="false" outlineLevel="0" collapsed="false">
      <c r="A662" s="34"/>
      <c r="B662" s="9"/>
      <c r="C662" s="34"/>
      <c r="D662" s="34"/>
      <c r="E662" s="34"/>
      <c r="F662" s="35"/>
      <c r="G662" s="9"/>
      <c r="H662" s="9"/>
      <c r="I662" s="34"/>
      <c r="J662" s="30" t="str">
        <f aca="false">IF(F662="","",G662-B662)</f>
        <v/>
      </c>
      <c r="K662" s="31" t="str">
        <f aca="false">IF(F662="","",IF(H662&lt;&gt;"",H662,MAX('Vade Sapması'!$D$3,G662)))</f>
        <v/>
      </c>
      <c r="L662" s="30" t="str">
        <f aca="false">IF(F662="","",K662-B662)</f>
        <v/>
      </c>
      <c r="M662" s="30" t="str">
        <f aca="false">IF(F662="","",L662-J662)</f>
        <v/>
      </c>
      <c r="N662" s="32" t="str">
        <f aca="false">IF(F662="","",IF(H662&lt;&gt;"","Kapandı",IF('Vade Sapması'!$D$3&gt;G662,"Açık · vadesi geçti","Açık · vadesi gelmedi")))</f>
        <v/>
      </c>
      <c r="O662" s="30" t="str">
        <f aca="false">IF(F662="","",IF(AND(H662="",'Vade Sapması'!$D$3&gt;G662),'Vade Sapması'!$D$3-G662,0))</f>
        <v/>
      </c>
      <c r="P662" s="33" t="str">
        <f aca="false">IF(F662="","",F662*J662)</f>
        <v/>
      </c>
      <c r="Q662" s="33" t="str">
        <f aca="false">IF(F662="","",F662*L662)</f>
        <v/>
      </c>
      <c r="R662" s="33" t="str">
        <f aca="false">IF(F662="","",IF(H662="",F662,0))</f>
        <v/>
      </c>
      <c r="S662" s="32" t="str">
        <f aca="false">IF(F662="","",IF(N(O662)=0,"",IF(O662&lt;=30,"1-30",IF(O662&lt;=60,"31-60",IF(O662&lt;=90,"61-90","90+")))))</f>
        <v/>
      </c>
      <c r="T662" s="32" t="str">
        <f aca="false">IF(F662="","",IF(E662="","Diğer",E662))</f>
        <v/>
      </c>
      <c r="U662" s="32" t="str">
        <f aca="false">IF(OR(F662="",C662=""),"",IF(COUNTIF($C$2:C662,C662)=1,MAX($U$1:U661)+1,""))</f>
        <v/>
      </c>
    </row>
    <row r="663" customFormat="false" ht="15" hidden="false" customHeight="false" outlineLevel="0" collapsed="false">
      <c r="A663" s="34"/>
      <c r="B663" s="9"/>
      <c r="C663" s="34"/>
      <c r="D663" s="34"/>
      <c r="E663" s="34"/>
      <c r="F663" s="35"/>
      <c r="G663" s="9"/>
      <c r="H663" s="9"/>
      <c r="I663" s="34"/>
      <c r="J663" s="30" t="str">
        <f aca="false">IF(F663="","",G663-B663)</f>
        <v/>
      </c>
      <c r="K663" s="31" t="str">
        <f aca="false">IF(F663="","",IF(H663&lt;&gt;"",H663,MAX('Vade Sapması'!$D$3,G663)))</f>
        <v/>
      </c>
      <c r="L663" s="30" t="str">
        <f aca="false">IF(F663="","",K663-B663)</f>
        <v/>
      </c>
      <c r="M663" s="30" t="str">
        <f aca="false">IF(F663="","",L663-J663)</f>
        <v/>
      </c>
      <c r="N663" s="32" t="str">
        <f aca="false">IF(F663="","",IF(H663&lt;&gt;"","Kapandı",IF('Vade Sapması'!$D$3&gt;G663,"Açık · vadesi geçti","Açık · vadesi gelmedi")))</f>
        <v/>
      </c>
      <c r="O663" s="30" t="str">
        <f aca="false">IF(F663="","",IF(AND(H663="",'Vade Sapması'!$D$3&gt;G663),'Vade Sapması'!$D$3-G663,0))</f>
        <v/>
      </c>
      <c r="P663" s="33" t="str">
        <f aca="false">IF(F663="","",F663*J663)</f>
        <v/>
      </c>
      <c r="Q663" s="33" t="str">
        <f aca="false">IF(F663="","",F663*L663)</f>
        <v/>
      </c>
      <c r="R663" s="33" t="str">
        <f aca="false">IF(F663="","",IF(H663="",F663,0))</f>
        <v/>
      </c>
      <c r="S663" s="32" t="str">
        <f aca="false">IF(F663="","",IF(N(O663)=0,"",IF(O663&lt;=30,"1-30",IF(O663&lt;=60,"31-60",IF(O663&lt;=90,"61-90","90+")))))</f>
        <v/>
      </c>
      <c r="T663" s="32" t="str">
        <f aca="false">IF(F663="","",IF(E663="","Diğer",E663))</f>
        <v/>
      </c>
      <c r="U663" s="32" t="str">
        <f aca="false">IF(OR(F663="",C663=""),"",IF(COUNTIF($C$2:C663,C663)=1,MAX($U$1:U662)+1,""))</f>
        <v/>
      </c>
    </row>
    <row r="664" customFormat="false" ht="15" hidden="false" customHeight="false" outlineLevel="0" collapsed="false">
      <c r="A664" s="34"/>
      <c r="B664" s="9"/>
      <c r="C664" s="34"/>
      <c r="D664" s="34"/>
      <c r="E664" s="34"/>
      <c r="F664" s="35"/>
      <c r="G664" s="9"/>
      <c r="H664" s="9"/>
      <c r="I664" s="34"/>
      <c r="J664" s="30" t="str">
        <f aca="false">IF(F664="","",G664-B664)</f>
        <v/>
      </c>
      <c r="K664" s="31" t="str">
        <f aca="false">IF(F664="","",IF(H664&lt;&gt;"",H664,MAX('Vade Sapması'!$D$3,G664)))</f>
        <v/>
      </c>
      <c r="L664" s="30" t="str">
        <f aca="false">IF(F664="","",K664-B664)</f>
        <v/>
      </c>
      <c r="M664" s="30" t="str">
        <f aca="false">IF(F664="","",L664-J664)</f>
        <v/>
      </c>
      <c r="N664" s="32" t="str">
        <f aca="false">IF(F664="","",IF(H664&lt;&gt;"","Kapandı",IF('Vade Sapması'!$D$3&gt;G664,"Açık · vadesi geçti","Açık · vadesi gelmedi")))</f>
        <v/>
      </c>
      <c r="O664" s="30" t="str">
        <f aca="false">IF(F664="","",IF(AND(H664="",'Vade Sapması'!$D$3&gt;G664),'Vade Sapması'!$D$3-G664,0))</f>
        <v/>
      </c>
      <c r="P664" s="33" t="str">
        <f aca="false">IF(F664="","",F664*J664)</f>
        <v/>
      </c>
      <c r="Q664" s="33" t="str">
        <f aca="false">IF(F664="","",F664*L664)</f>
        <v/>
      </c>
      <c r="R664" s="33" t="str">
        <f aca="false">IF(F664="","",IF(H664="",F664,0))</f>
        <v/>
      </c>
      <c r="S664" s="32" t="str">
        <f aca="false">IF(F664="","",IF(N(O664)=0,"",IF(O664&lt;=30,"1-30",IF(O664&lt;=60,"31-60",IF(O664&lt;=90,"61-90","90+")))))</f>
        <v/>
      </c>
      <c r="T664" s="32" t="str">
        <f aca="false">IF(F664="","",IF(E664="","Diğer",E664))</f>
        <v/>
      </c>
      <c r="U664" s="32" t="str">
        <f aca="false">IF(OR(F664="",C664=""),"",IF(COUNTIF($C$2:C664,C664)=1,MAX($U$1:U663)+1,""))</f>
        <v/>
      </c>
    </row>
    <row r="665" customFormat="false" ht="15" hidden="false" customHeight="false" outlineLevel="0" collapsed="false">
      <c r="A665" s="34"/>
      <c r="B665" s="9"/>
      <c r="C665" s="34"/>
      <c r="D665" s="34"/>
      <c r="E665" s="34"/>
      <c r="F665" s="35"/>
      <c r="G665" s="9"/>
      <c r="H665" s="9"/>
      <c r="I665" s="34"/>
      <c r="J665" s="30" t="str">
        <f aca="false">IF(F665="","",G665-B665)</f>
        <v/>
      </c>
      <c r="K665" s="31" t="str">
        <f aca="false">IF(F665="","",IF(H665&lt;&gt;"",H665,MAX('Vade Sapması'!$D$3,G665)))</f>
        <v/>
      </c>
      <c r="L665" s="30" t="str">
        <f aca="false">IF(F665="","",K665-B665)</f>
        <v/>
      </c>
      <c r="M665" s="30" t="str">
        <f aca="false">IF(F665="","",L665-J665)</f>
        <v/>
      </c>
      <c r="N665" s="32" t="str">
        <f aca="false">IF(F665="","",IF(H665&lt;&gt;"","Kapandı",IF('Vade Sapması'!$D$3&gt;G665,"Açık · vadesi geçti","Açık · vadesi gelmedi")))</f>
        <v/>
      </c>
      <c r="O665" s="30" t="str">
        <f aca="false">IF(F665="","",IF(AND(H665="",'Vade Sapması'!$D$3&gt;G665),'Vade Sapması'!$D$3-G665,0))</f>
        <v/>
      </c>
      <c r="P665" s="33" t="str">
        <f aca="false">IF(F665="","",F665*J665)</f>
        <v/>
      </c>
      <c r="Q665" s="33" t="str">
        <f aca="false">IF(F665="","",F665*L665)</f>
        <v/>
      </c>
      <c r="R665" s="33" t="str">
        <f aca="false">IF(F665="","",IF(H665="",F665,0))</f>
        <v/>
      </c>
      <c r="S665" s="32" t="str">
        <f aca="false">IF(F665="","",IF(N(O665)=0,"",IF(O665&lt;=30,"1-30",IF(O665&lt;=60,"31-60",IF(O665&lt;=90,"61-90","90+")))))</f>
        <v/>
      </c>
      <c r="T665" s="32" t="str">
        <f aca="false">IF(F665="","",IF(E665="","Diğer",E665))</f>
        <v/>
      </c>
      <c r="U665" s="32" t="str">
        <f aca="false">IF(OR(F665="",C665=""),"",IF(COUNTIF($C$2:C665,C665)=1,MAX($U$1:U664)+1,""))</f>
        <v/>
      </c>
    </row>
    <row r="666" customFormat="false" ht="15" hidden="false" customHeight="false" outlineLevel="0" collapsed="false">
      <c r="A666" s="34"/>
      <c r="B666" s="9"/>
      <c r="C666" s="34"/>
      <c r="D666" s="34"/>
      <c r="E666" s="34"/>
      <c r="F666" s="35"/>
      <c r="G666" s="9"/>
      <c r="H666" s="9"/>
      <c r="I666" s="34"/>
      <c r="J666" s="30" t="str">
        <f aca="false">IF(F666="","",G666-B666)</f>
        <v/>
      </c>
      <c r="K666" s="31" t="str">
        <f aca="false">IF(F666="","",IF(H666&lt;&gt;"",H666,MAX('Vade Sapması'!$D$3,G666)))</f>
        <v/>
      </c>
      <c r="L666" s="30" t="str">
        <f aca="false">IF(F666="","",K666-B666)</f>
        <v/>
      </c>
      <c r="M666" s="30" t="str">
        <f aca="false">IF(F666="","",L666-J666)</f>
        <v/>
      </c>
      <c r="N666" s="32" t="str">
        <f aca="false">IF(F666="","",IF(H666&lt;&gt;"","Kapandı",IF('Vade Sapması'!$D$3&gt;G666,"Açık · vadesi geçti","Açık · vadesi gelmedi")))</f>
        <v/>
      </c>
      <c r="O666" s="30" t="str">
        <f aca="false">IF(F666="","",IF(AND(H666="",'Vade Sapması'!$D$3&gt;G666),'Vade Sapması'!$D$3-G666,0))</f>
        <v/>
      </c>
      <c r="P666" s="33" t="str">
        <f aca="false">IF(F666="","",F666*J666)</f>
        <v/>
      </c>
      <c r="Q666" s="33" t="str">
        <f aca="false">IF(F666="","",F666*L666)</f>
        <v/>
      </c>
      <c r="R666" s="33" t="str">
        <f aca="false">IF(F666="","",IF(H666="",F666,0))</f>
        <v/>
      </c>
      <c r="S666" s="32" t="str">
        <f aca="false">IF(F666="","",IF(N(O666)=0,"",IF(O666&lt;=30,"1-30",IF(O666&lt;=60,"31-60",IF(O666&lt;=90,"61-90","90+")))))</f>
        <v/>
      </c>
      <c r="T666" s="32" t="str">
        <f aca="false">IF(F666="","",IF(E666="","Diğer",E666))</f>
        <v/>
      </c>
      <c r="U666" s="32" t="str">
        <f aca="false">IF(OR(F666="",C666=""),"",IF(COUNTIF($C$2:C666,C666)=1,MAX($U$1:U665)+1,""))</f>
        <v/>
      </c>
    </row>
    <row r="667" customFormat="false" ht="15" hidden="false" customHeight="false" outlineLevel="0" collapsed="false">
      <c r="A667" s="34"/>
      <c r="B667" s="9"/>
      <c r="C667" s="34"/>
      <c r="D667" s="34"/>
      <c r="E667" s="34"/>
      <c r="F667" s="35"/>
      <c r="G667" s="9"/>
      <c r="H667" s="9"/>
      <c r="I667" s="34"/>
      <c r="J667" s="30" t="str">
        <f aca="false">IF(F667="","",G667-B667)</f>
        <v/>
      </c>
      <c r="K667" s="31" t="str">
        <f aca="false">IF(F667="","",IF(H667&lt;&gt;"",H667,MAX('Vade Sapması'!$D$3,G667)))</f>
        <v/>
      </c>
      <c r="L667" s="30" t="str">
        <f aca="false">IF(F667="","",K667-B667)</f>
        <v/>
      </c>
      <c r="M667" s="30" t="str">
        <f aca="false">IF(F667="","",L667-J667)</f>
        <v/>
      </c>
      <c r="N667" s="32" t="str">
        <f aca="false">IF(F667="","",IF(H667&lt;&gt;"","Kapandı",IF('Vade Sapması'!$D$3&gt;G667,"Açık · vadesi geçti","Açık · vadesi gelmedi")))</f>
        <v/>
      </c>
      <c r="O667" s="30" t="str">
        <f aca="false">IF(F667="","",IF(AND(H667="",'Vade Sapması'!$D$3&gt;G667),'Vade Sapması'!$D$3-G667,0))</f>
        <v/>
      </c>
      <c r="P667" s="33" t="str">
        <f aca="false">IF(F667="","",F667*J667)</f>
        <v/>
      </c>
      <c r="Q667" s="33" t="str">
        <f aca="false">IF(F667="","",F667*L667)</f>
        <v/>
      </c>
      <c r="R667" s="33" t="str">
        <f aca="false">IF(F667="","",IF(H667="",F667,0))</f>
        <v/>
      </c>
      <c r="S667" s="32" t="str">
        <f aca="false">IF(F667="","",IF(N(O667)=0,"",IF(O667&lt;=30,"1-30",IF(O667&lt;=60,"31-60",IF(O667&lt;=90,"61-90","90+")))))</f>
        <v/>
      </c>
      <c r="T667" s="32" t="str">
        <f aca="false">IF(F667="","",IF(E667="","Diğer",E667))</f>
        <v/>
      </c>
      <c r="U667" s="32" t="str">
        <f aca="false">IF(OR(F667="",C667=""),"",IF(COUNTIF($C$2:C667,C667)=1,MAX($U$1:U666)+1,""))</f>
        <v/>
      </c>
    </row>
    <row r="668" customFormat="false" ht="15" hidden="false" customHeight="false" outlineLevel="0" collapsed="false">
      <c r="A668" s="34"/>
      <c r="B668" s="9"/>
      <c r="C668" s="34"/>
      <c r="D668" s="34"/>
      <c r="E668" s="34"/>
      <c r="F668" s="35"/>
      <c r="G668" s="9"/>
      <c r="H668" s="9"/>
      <c r="I668" s="34"/>
      <c r="J668" s="30" t="str">
        <f aca="false">IF(F668="","",G668-B668)</f>
        <v/>
      </c>
      <c r="K668" s="31" t="str">
        <f aca="false">IF(F668="","",IF(H668&lt;&gt;"",H668,MAX('Vade Sapması'!$D$3,G668)))</f>
        <v/>
      </c>
      <c r="L668" s="30" t="str">
        <f aca="false">IF(F668="","",K668-B668)</f>
        <v/>
      </c>
      <c r="M668" s="30" t="str">
        <f aca="false">IF(F668="","",L668-J668)</f>
        <v/>
      </c>
      <c r="N668" s="32" t="str">
        <f aca="false">IF(F668="","",IF(H668&lt;&gt;"","Kapandı",IF('Vade Sapması'!$D$3&gt;G668,"Açık · vadesi geçti","Açık · vadesi gelmedi")))</f>
        <v/>
      </c>
      <c r="O668" s="30" t="str">
        <f aca="false">IF(F668="","",IF(AND(H668="",'Vade Sapması'!$D$3&gt;G668),'Vade Sapması'!$D$3-G668,0))</f>
        <v/>
      </c>
      <c r="P668" s="33" t="str">
        <f aca="false">IF(F668="","",F668*J668)</f>
        <v/>
      </c>
      <c r="Q668" s="33" t="str">
        <f aca="false">IF(F668="","",F668*L668)</f>
        <v/>
      </c>
      <c r="R668" s="33" t="str">
        <f aca="false">IF(F668="","",IF(H668="",F668,0))</f>
        <v/>
      </c>
      <c r="S668" s="32" t="str">
        <f aca="false">IF(F668="","",IF(N(O668)=0,"",IF(O668&lt;=30,"1-30",IF(O668&lt;=60,"31-60",IF(O668&lt;=90,"61-90","90+")))))</f>
        <v/>
      </c>
      <c r="T668" s="32" t="str">
        <f aca="false">IF(F668="","",IF(E668="","Diğer",E668))</f>
        <v/>
      </c>
      <c r="U668" s="32" t="str">
        <f aca="false">IF(OR(F668="",C668=""),"",IF(COUNTIF($C$2:C668,C668)=1,MAX($U$1:U667)+1,""))</f>
        <v/>
      </c>
    </row>
    <row r="669" customFormat="false" ht="15" hidden="false" customHeight="false" outlineLevel="0" collapsed="false">
      <c r="A669" s="34"/>
      <c r="B669" s="9"/>
      <c r="C669" s="34"/>
      <c r="D669" s="34"/>
      <c r="E669" s="34"/>
      <c r="F669" s="35"/>
      <c r="G669" s="9"/>
      <c r="H669" s="9"/>
      <c r="I669" s="34"/>
      <c r="J669" s="30" t="str">
        <f aca="false">IF(F669="","",G669-B669)</f>
        <v/>
      </c>
      <c r="K669" s="31" t="str">
        <f aca="false">IF(F669="","",IF(H669&lt;&gt;"",H669,MAX('Vade Sapması'!$D$3,G669)))</f>
        <v/>
      </c>
      <c r="L669" s="30" t="str">
        <f aca="false">IF(F669="","",K669-B669)</f>
        <v/>
      </c>
      <c r="M669" s="30" t="str">
        <f aca="false">IF(F669="","",L669-J669)</f>
        <v/>
      </c>
      <c r="N669" s="32" t="str">
        <f aca="false">IF(F669="","",IF(H669&lt;&gt;"","Kapandı",IF('Vade Sapması'!$D$3&gt;G669,"Açık · vadesi geçti","Açık · vadesi gelmedi")))</f>
        <v/>
      </c>
      <c r="O669" s="30" t="str">
        <f aca="false">IF(F669="","",IF(AND(H669="",'Vade Sapması'!$D$3&gt;G669),'Vade Sapması'!$D$3-G669,0))</f>
        <v/>
      </c>
      <c r="P669" s="33" t="str">
        <f aca="false">IF(F669="","",F669*J669)</f>
        <v/>
      </c>
      <c r="Q669" s="33" t="str">
        <f aca="false">IF(F669="","",F669*L669)</f>
        <v/>
      </c>
      <c r="R669" s="33" t="str">
        <f aca="false">IF(F669="","",IF(H669="",F669,0))</f>
        <v/>
      </c>
      <c r="S669" s="32" t="str">
        <f aca="false">IF(F669="","",IF(N(O669)=0,"",IF(O669&lt;=30,"1-30",IF(O669&lt;=60,"31-60",IF(O669&lt;=90,"61-90","90+")))))</f>
        <v/>
      </c>
      <c r="T669" s="32" t="str">
        <f aca="false">IF(F669="","",IF(E669="","Diğer",E669))</f>
        <v/>
      </c>
      <c r="U669" s="32" t="str">
        <f aca="false">IF(OR(F669="",C669=""),"",IF(COUNTIF($C$2:C669,C669)=1,MAX($U$1:U668)+1,""))</f>
        <v/>
      </c>
    </row>
    <row r="670" customFormat="false" ht="15" hidden="false" customHeight="false" outlineLevel="0" collapsed="false">
      <c r="A670" s="34"/>
      <c r="B670" s="9"/>
      <c r="C670" s="34"/>
      <c r="D670" s="34"/>
      <c r="E670" s="34"/>
      <c r="F670" s="35"/>
      <c r="G670" s="9"/>
      <c r="H670" s="9"/>
      <c r="I670" s="34"/>
      <c r="J670" s="30" t="str">
        <f aca="false">IF(F670="","",G670-B670)</f>
        <v/>
      </c>
      <c r="K670" s="31" t="str">
        <f aca="false">IF(F670="","",IF(H670&lt;&gt;"",H670,MAX('Vade Sapması'!$D$3,G670)))</f>
        <v/>
      </c>
      <c r="L670" s="30" t="str">
        <f aca="false">IF(F670="","",K670-B670)</f>
        <v/>
      </c>
      <c r="M670" s="30" t="str">
        <f aca="false">IF(F670="","",L670-J670)</f>
        <v/>
      </c>
      <c r="N670" s="32" t="str">
        <f aca="false">IF(F670="","",IF(H670&lt;&gt;"","Kapandı",IF('Vade Sapması'!$D$3&gt;G670,"Açık · vadesi geçti","Açık · vadesi gelmedi")))</f>
        <v/>
      </c>
      <c r="O670" s="30" t="str">
        <f aca="false">IF(F670="","",IF(AND(H670="",'Vade Sapması'!$D$3&gt;G670),'Vade Sapması'!$D$3-G670,0))</f>
        <v/>
      </c>
      <c r="P670" s="33" t="str">
        <f aca="false">IF(F670="","",F670*J670)</f>
        <v/>
      </c>
      <c r="Q670" s="33" t="str">
        <f aca="false">IF(F670="","",F670*L670)</f>
        <v/>
      </c>
      <c r="R670" s="33" t="str">
        <f aca="false">IF(F670="","",IF(H670="",F670,0))</f>
        <v/>
      </c>
      <c r="S670" s="32" t="str">
        <f aca="false">IF(F670="","",IF(N(O670)=0,"",IF(O670&lt;=30,"1-30",IF(O670&lt;=60,"31-60",IF(O670&lt;=90,"61-90","90+")))))</f>
        <v/>
      </c>
      <c r="T670" s="32" t="str">
        <f aca="false">IF(F670="","",IF(E670="","Diğer",E670))</f>
        <v/>
      </c>
      <c r="U670" s="32" t="str">
        <f aca="false">IF(OR(F670="",C670=""),"",IF(COUNTIF($C$2:C670,C670)=1,MAX($U$1:U669)+1,""))</f>
        <v/>
      </c>
    </row>
    <row r="671" customFormat="false" ht="15" hidden="false" customHeight="false" outlineLevel="0" collapsed="false">
      <c r="A671" s="34"/>
      <c r="B671" s="9"/>
      <c r="C671" s="34"/>
      <c r="D671" s="34"/>
      <c r="E671" s="34"/>
      <c r="F671" s="35"/>
      <c r="G671" s="9"/>
      <c r="H671" s="9"/>
      <c r="I671" s="34"/>
      <c r="J671" s="30" t="str">
        <f aca="false">IF(F671="","",G671-B671)</f>
        <v/>
      </c>
      <c r="K671" s="31" t="str">
        <f aca="false">IF(F671="","",IF(H671&lt;&gt;"",H671,MAX('Vade Sapması'!$D$3,G671)))</f>
        <v/>
      </c>
      <c r="L671" s="30" t="str">
        <f aca="false">IF(F671="","",K671-B671)</f>
        <v/>
      </c>
      <c r="M671" s="30" t="str">
        <f aca="false">IF(F671="","",L671-J671)</f>
        <v/>
      </c>
      <c r="N671" s="32" t="str">
        <f aca="false">IF(F671="","",IF(H671&lt;&gt;"","Kapandı",IF('Vade Sapması'!$D$3&gt;G671,"Açık · vadesi geçti","Açık · vadesi gelmedi")))</f>
        <v/>
      </c>
      <c r="O671" s="30" t="str">
        <f aca="false">IF(F671="","",IF(AND(H671="",'Vade Sapması'!$D$3&gt;G671),'Vade Sapması'!$D$3-G671,0))</f>
        <v/>
      </c>
      <c r="P671" s="33" t="str">
        <f aca="false">IF(F671="","",F671*J671)</f>
        <v/>
      </c>
      <c r="Q671" s="33" t="str">
        <f aca="false">IF(F671="","",F671*L671)</f>
        <v/>
      </c>
      <c r="R671" s="33" t="str">
        <f aca="false">IF(F671="","",IF(H671="",F671,0))</f>
        <v/>
      </c>
      <c r="S671" s="32" t="str">
        <f aca="false">IF(F671="","",IF(N(O671)=0,"",IF(O671&lt;=30,"1-30",IF(O671&lt;=60,"31-60",IF(O671&lt;=90,"61-90","90+")))))</f>
        <v/>
      </c>
      <c r="T671" s="32" t="str">
        <f aca="false">IF(F671="","",IF(E671="","Diğer",E671))</f>
        <v/>
      </c>
      <c r="U671" s="32" t="str">
        <f aca="false">IF(OR(F671="",C671=""),"",IF(COUNTIF($C$2:C671,C671)=1,MAX($U$1:U670)+1,""))</f>
        <v/>
      </c>
    </row>
    <row r="672" customFormat="false" ht="15" hidden="false" customHeight="false" outlineLevel="0" collapsed="false">
      <c r="A672" s="34"/>
      <c r="B672" s="9"/>
      <c r="C672" s="34"/>
      <c r="D672" s="34"/>
      <c r="E672" s="34"/>
      <c r="F672" s="35"/>
      <c r="G672" s="9"/>
      <c r="H672" s="9"/>
      <c r="I672" s="34"/>
      <c r="J672" s="30" t="str">
        <f aca="false">IF(F672="","",G672-B672)</f>
        <v/>
      </c>
      <c r="K672" s="31" t="str">
        <f aca="false">IF(F672="","",IF(H672&lt;&gt;"",H672,MAX('Vade Sapması'!$D$3,G672)))</f>
        <v/>
      </c>
      <c r="L672" s="30" t="str">
        <f aca="false">IF(F672="","",K672-B672)</f>
        <v/>
      </c>
      <c r="M672" s="30" t="str">
        <f aca="false">IF(F672="","",L672-J672)</f>
        <v/>
      </c>
      <c r="N672" s="32" t="str">
        <f aca="false">IF(F672="","",IF(H672&lt;&gt;"","Kapandı",IF('Vade Sapması'!$D$3&gt;G672,"Açık · vadesi geçti","Açık · vadesi gelmedi")))</f>
        <v/>
      </c>
      <c r="O672" s="30" t="str">
        <f aca="false">IF(F672="","",IF(AND(H672="",'Vade Sapması'!$D$3&gt;G672),'Vade Sapması'!$D$3-G672,0))</f>
        <v/>
      </c>
      <c r="P672" s="33" t="str">
        <f aca="false">IF(F672="","",F672*J672)</f>
        <v/>
      </c>
      <c r="Q672" s="33" t="str">
        <f aca="false">IF(F672="","",F672*L672)</f>
        <v/>
      </c>
      <c r="R672" s="33" t="str">
        <f aca="false">IF(F672="","",IF(H672="",F672,0))</f>
        <v/>
      </c>
      <c r="S672" s="32" t="str">
        <f aca="false">IF(F672="","",IF(N(O672)=0,"",IF(O672&lt;=30,"1-30",IF(O672&lt;=60,"31-60",IF(O672&lt;=90,"61-90","90+")))))</f>
        <v/>
      </c>
      <c r="T672" s="32" t="str">
        <f aca="false">IF(F672="","",IF(E672="","Diğer",E672))</f>
        <v/>
      </c>
      <c r="U672" s="32" t="str">
        <f aca="false">IF(OR(F672="",C672=""),"",IF(COUNTIF($C$2:C672,C672)=1,MAX($U$1:U671)+1,""))</f>
        <v/>
      </c>
    </row>
    <row r="673" customFormat="false" ht="15" hidden="false" customHeight="false" outlineLevel="0" collapsed="false">
      <c r="A673" s="34"/>
      <c r="B673" s="9"/>
      <c r="C673" s="34"/>
      <c r="D673" s="34"/>
      <c r="E673" s="34"/>
      <c r="F673" s="35"/>
      <c r="G673" s="9"/>
      <c r="H673" s="9"/>
      <c r="I673" s="34"/>
      <c r="J673" s="30" t="str">
        <f aca="false">IF(F673="","",G673-B673)</f>
        <v/>
      </c>
      <c r="K673" s="31" t="str">
        <f aca="false">IF(F673="","",IF(H673&lt;&gt;"",H673,MAX('Vade Sapması'!$D$3,G673)))</f>
        <v/>
      </c>
      <c r="L673" s="30" t="str">
        <f aca="false">IF(F673="","",K673-B673)</f>
        <v/>
      </c>
      <c r="M673" s="30" t="str">
        <f aca="false">IF(F673="","",L673-J673)</f>
        <v/>
      </c>
      <c r="N673" s="32" t="str">
        <f aca="false">IF(F673="","",IF(H673&lt;&gt;"","Kapandı",IF('Vade Sapması'!$D$3&gt;G673,"Açık · vadesi geçti","Açık · vadesi gelmedi")))</f>
        <v/>
      </c>
      <c r="O673" s="30" t="str">
        <f aca="false">IF(F673="","",IF(AND(H673="",'Vade Sapması'!$D$3&gt;G673),'Vade Sapması'!$D$3-G673,0))</f>
        <v/>
      </c>
      <c r="P673" s="33" t="str">
        <f aca="false">IF(F673="","",F673*J673)</f>
        <v/>
      </c>
      <c r="Q673" s="33" t="str">
        <f aca="false">IF(F673="","",F673*L673)</f>
        <v/>
      </c>
      <c r="R673" s="33" t="str">
        <f aca="false">IF(F673="","",IF(H673="",F673,0))</f>
        <v/>
      </c>
      <c r="S673" s="32" t="str">
        <f aca="false">IF(F673="","",IF(N(O673)=0,"",IF(O673&lt;=30,"1-30",IF(O673&lt;=60,"31-60",IF(O673&lt;=90,"61-90","90+")))))</f>
        <v/>
      </c>
      <c r="T673" s="32" t="str">
        <f aca="false">IF(F673="","",IF(E673="","Diğer",E673))</f>
        <v/>
      </c>
      <c r="U673" s="32" t="str">
        <f aca="false">IF(OR(F673="",C673=""),"",IF(COUNTIF($C$2:C673,C673)=1,MAX($U$1:U672)+1,""))</f>
        <v/>
      </c>
    </row>
    <row r="674" customFormat="false" ht="15" hidden="false" customHeight="false" outlineLevel="0" collapsed="false">
      <c r="A674" s="34"/>
      <c r="B674" s="9"/>
      <c r="C674" s="34"/>
      <c r="D674" s="34"/>
      <c r="E674" s="34"/>
      <c r="F674" s="35"/>
      <c r="G674" s="9"/>
      <c r="H674" s="9"/>
      <c r="I674" s="34"/>
      <c r="J674" s="30" t="str">
        <f aca="false">IF(F674="","",G674-B674)</f>
        <v/>
      </c>
      <c r="K674" s="31" t="str">
        <f aca="false">IF(F674="","",IF(H674&lt;&gt;"",H674,MAX('Vade Sapması'!$D$3,G674)))</f>
        <v/>
      </c>
      <c r="L674" s="30" t="str">
        <f aca="false">IF(F674="","",K674-B674)</f>
        <v/>
      </c>
      <c r="M674" s="30" t="str">
        <f aca="false">IF(F674="","",L674-J674)</f>
        <v/>
      </c>
      <c r="N674" s="32" t="str">
        <f aca="false">IF(F674="","",IF(H674&lt;&gt;"","Kapandı",IF('Vade Sapması'!$D$3&gt;G674,"Açık · vadesi geçti","Açık · vadesi gelmedi")))</f>
        <v/>
      </c>
      <c r="O674" s="30" t="str">
        <f aca="false">IF(F674="","",IF(AND(H674="",'Vade Sapması'!$D$3&gt;G674),'Vade Sapması'!$D$3-G674,0))</f>
        <v/>
      </c>
      <c r="P674" s="33" t="str">
        <f aca="false">IF(F674="","",F674*J674)</f>
        <v/>
      </c>
      <c r="Q674" s="33" t="str">
        <f aca="false">IF(F674="","",F674*L674)</f>
        <v/>
      </c>
      <c r="R674" s="33" t="str">
        <f aca="false">IF(F674="","",IF(H674="",F674,0))</f>
        <v/>
      </c>
      <c r="S674" s="32" t="str">
        <f aca="false">IF(F674="","",IF(N(O674)=0,"",IF(O674&lt;=30,"1-30",IF(O674&lt;=60,"31-60",IF(O674&lt;=90,"61-90","90+")))))</f>
        <v/>
      </c>
      <c r="T674" s="32" t="str">
        <f aca="false">IF(F674="","",IF(E674="","Diğer",E674))</f>
        <v/>
      </c>
      <c r="U674" s="32" t="str">
        <f aca="false">IF(OR(F674="",C674=""),"",IF(COUNTIF($C$2:C674,C674)=1,MAX($U$1:U673)+1,""))</f>
        <v/>
      </c>
    </row>
    <row r="675" customFormat="false" ht="15" hidden="false" customHeight="false" outlineLevel="0" collapsed="false">
      <c r="A675" s="34"/>
      <c r="B675" s="9"/>
      <c r="C675" s="34"/>
      <c r="D675" s="34"/>
      <c r="E675" s="34"/>
      <c r="F675" s="35"/>
      <c r="G675" s="9"/>
      <c r="H675" s="9"/>
      <c r="I675" s="34"/>
      <c r="J675" s="30" t="str">
        <f aca="false">IF(F675="","",G675-B675)</f>
        <v/>
      </c>
      <c r="K675" s="31" t="str">
        <f aca="false">IF(F675="","",IF(H675&lt;&gt;"",H675,MAX('Vade Sapması'!$D$3,G675)))</f>
        <v/>
      </c>
      <c r="L675" s="30" t="str">
        <f aca="false">IF(F675="","",K675-B675)</f>
        <v/>
      </c>
      <c r="M675" s="30" t="str">
        <f aca="false">IF(F675="","",L675-J675)</f>
        <v/>
      </c>
      <c r="N675" s="32" t="str">
        <f aca="false">IF(F675="","",IF(H675&lt;&gt;"","Kapandı",IF('Vade Sapması'!$D$3&gt;G675,"Açık · vadesi geçti","Açık · vadesi gelmedi")))</f>
        <v/>
      </c>
      <c r="O675" s="30" t="str">
        <f aca="false">IF(F675="","",IF(AND(H675="",'Vade Sapması'!$D$3&gt;G675),'Vade Sapması'!$D$3-G675,0))</f>
        <v/>
      </c>
      <c r="P675" s="33" t="str">
        <f aca="false">IF(F675="","",F675*J675)</f>
        <v/>
      </c>
      <c r="Q675" s="33" t="str">
        <f aca="false">IF(F675="","",F675*L675)</f>
        <v/>
      </c>
      <c r="R675" s="33" t="str">
        <f aca="false">IF(F675="","",IF(H675="",F675,0))</f>
        <v/>
      </c>
      <c r="S675" s="32" t="str">
        <f aca="false">IF(F675="","",IF(N(O675)=0,"",IF(O675&lt;=30,"1-30",IF(O675&lt;=60,"31-60",IF(O675&lt;=90,"61-90","90+")))))</f>
        <v/>
      </c>
      <c r="T675" s="32" t="str">
        <f aca="false">IF(F675="","",IF(E675="","Diğer",E675))</f>
        <v/>
      </c>
      <c r="U675" s="32" t="str">
        <f aca="false">IF(OR(F675="",C675=""),"",IF(COUNTIF($C$2:C675,C675)=1,MAX($U$1:U674)+1,""))</f>
        <v/>
      </c>
    </row>
    <row r="676" customFormat="false" ht="15" hidden="false" customHeight="false" outlineLevel="0" collapsed="false">
      <c r="A676" s="34"/>
      <c r="B676" s="9"/>
      <c r="C676" s="34"/>
      <c r="D676" s="34"/>
      <c r="E676" s="34"/>
      <c r="F676" s="35"/>
      <c r="G676" s="9"/>
      <c r="H676" s="9"/>
      <c r="I676" s="34"/>
      <c r="J676" s="30" t="str">
        <f aca="false">IF(F676="","",G676-B676)</f>
        <v/>
      </c>
      <c r="K676" s="31" t="str">
        <f aca="false">IF(F676="","",IF(H676&lt;&gt;"",H676,MAX('Vade Sapması'!$D$3,G676)))</f>
        <v/>
      </c>
      <c r="L676" s="30" t="str">
        <f aca="false">IF(F676="","",K676-B676)</f>
        <v/>
      </c>
      <c r="M676" s="30" t="str">
        <f aca="false">IF(F676="","",L676-J676)</f>
        <v/>
      </c>
      <c r="N676" s="32" t="str">
        <f aca="false">IF(F676="","",IF(H676&lt;&gt;"","Kapandı",IF('Vade Sapması'!$D$3&gt;G676,"Açık · vadesi geçti","Açık · vadesi gelmedi")))</f>
        <v/>
      </c>
      <c r="O676" s="30" t="str">
        <f aca="false">IF(F676="","",IF(AND(H676="",'Vade Sapması'!$D$3&gt;G676),'Vade Sapması'!$D$3-G676,0))</f>
        <v/>
      </c>
      <c r="P676" s="33" t="str">
        <f aca="false">IF(F676="","",F676*J676)</f>
        <v/>
      </c>
      <c r="Q676" s="33" t="str">
        <f aca="false">IF(F676="","",F676*L676)</f>
        <v/>
      </c>
      <c r="R676" s="33" t="str">
        <f aca="false">IF(F676="","",IF(H676="",F676,0))</f>
        <v/>
      </c>
      <c r="S676" s="32" t="str">
        <f aca="false">IF(F676="","",IF(N(O676)=0,"",IF(O676&lt;=30,"1-30",IF(O676&lt;=60,"31-60",IF(O676&lt;=90,"61-90","90+")))))</f>
        <v/>
      </c>
      <c r="T676" s="32" t="str">
        <f aca="false">IF(F676="","",IF(E676="","Diğer",E676))</f>
        <v/>
      </c>
      <c r="U676" s="32" t="str">
        <f aca="false">IF(OR(F676="",C676=""),"",IF(COUNTIF($C$2:C676,C676)=1,MAX($U$1:U675)+1,""))</f>
        <v/>
      </c>
    </row>
    <row r="677" customFormat="false" ht="15" hidden="false" customHeight="false" outlineLevel="0" collapsed="false">
      <c r="A677" s="34"/>
      <c r="B677" s="9"/>
      <c r="C677" s="34"/>
      <c r="D677" s="34"/>
      <c r="E677" s="34"/>
      <c r="F677" s="35"/>
      <c r="G677" s="9"/>
      <c r="H677" s="9"/>
      <c r="I677" s="34"/>
      <c r="J677" s="30" t="str">
        <f aca="false">IF(F677="","",G677-B677)</f>
        <v/>
      </c>
      <c r="K677" s="31" t="str">
        <f aca="false">IF(F677="","",IF(H677&lt;&gt;"",H677,MAX('Vade Sapması'!$D$3,G677)))</f>
        <v/>
      </c>
      <c r="L677" s="30" t="str">
        <f aca="false">IF(F677="","",K677-B677)</f>
        <v/>
      </c>
      <c r="M677" s="30" t="str">
        <f aca="false">IF(F677="","",L677-J677)</f>
        <v/>
      </c>
      <c r="N677" s="32" t="str">
        <f aca="false">IF(F677="","",IF(H677&lt;&gt;"","Kapandı",IF('Vade Sapması'!$D$3&gt;G677,"Açık · vadesi geçti","Açık · vadesi gelmedi")))</f>
        <v/>
      </c>
      <c r="O677" s="30" t="str">
        <f aca="false">IF(F677="","",IF(AND(H677="",'Vade Sapması'!$D$3&gt;G677),'Vade Sapması'!$D$3-G677,0))</f>
        <v/>
      </c>
      <c r="P677" s="33" t="str">
        <f aca="false">IF(F677="","",F677*J677)</f>
        <v/>
      </c>
      <c r="Q677" s="33" t="str">
        <f aca="false">IF(F677="","",F677*L677)</f>
        <v/>
      </c>
      <c r="R677" s="33" t="str">
        <f aca="false">IF(F677="","",IF(H677="",F677,0))</f>
        <v/>
      </c>
      <c r="S677" s="32" t="str">
        <f aca="false">IF(F677="","",IF(N(O677)=0,"",IF(O677&lt;=30,"1-30",IF(O677&lt;=60,"31-60",IF(O677&lt;=90,"61-90","90+")))))</f>
        <v/>
      </c>
      <c r="T677" s="32" t="str">
        <f aca="false">IF(F677="","",IF(E677="","Diğer",E677))</f>
        <v/>
      </c>
      <c r="U677" s="32" t="str">
        <f aca="false">IF(OR(F677="",C677=""),"",IF(COUNTIF($C$2:C677,C677)=1,MAX($U$1:U676)+1,""))</f>
        <v/>
      </c>
    </row>
    <row r="678" customFormat="false" ht="15" hidden="false" customHeight="false" outlineLevel="0" collapsed="false">
      <c r="A678" s="34"/>
      <c r="B678" s="9"/>
      <c r="C678" s="34"/>
      <c r="D678" s="34"/>
      <c r="E678" s="34"/>
      <c r="F678" s="35"/>
      <c r="G678" s="9"/>
      <c r="H678" s="9"/>
      <c r="I678" s="34"/>
      <c r="J678" s="30" t="str">
        <f aca="false">IF(F678="","",G678-B678)</f>
        <v/>
      </c>
      <c r="K678" s="31" t="str">
        <f aca="false">IF(F678="","",IF(H678&lt;&gt;"",H678,MAX('Vade Sapması'!$D$3,G678)))</f>
        <v/>
      </c>
      <c r="L678" s="30" t="str">
        <f aca="false">IF(F678="","",K678-B678)</f>
        <v/>
      </c>
      <c r="M678" s="30" t="str">
        <f aca="false">IF(F678="","",L678-J678)</f>
        <v/>
      </c>
      <c r="N678" s="32" t="str">
        <f aca="false">IF(F678="","",IF(H678&lt;&gt;"","Kapandı",IF('Vade Sapması'!$D$3&gt;G678,"Açık · vadesi geçti","Açık · vadesi gelmedi")))</f>
        <v/>
      </c>
      <c r="O678" s="30" t="str">
        <f aca="false">IF(F678="","",IF(AND(H678="",'Vade Sapması'!$D$3&gt;G678),'Vade Sapması'!$D$3-G678,0))</f>
        <v/>
      </c>
      <c r="P678" s="33" t="str">
        <f aca="false">IF(F678="","",F678*J678)</f>
        <v/>
      </c>
      <c r="Q678" s="33" t="str">
        <f aca="false">IF(F678="","",F678*L678)</f>
        <v/>
      </c>
      <c r="R678" s="33" t="str">
        <f aca="false">IF(F678="","",IF(H678="",F678,0))</f>
        <v/>
      </c>
      <c r="S678" s="32" t="str">
        <f aca="false">IF(F678="","",IF(N(O678)=0,"",IF(O678&lt;=30,"1-30",IF(O678&lt;=60,"31-60",IF(O678&lt;=90,"61-90","90+")))))</f>
        <v/>
      </c>
      <c r="T678" s="32" t="str">
        <f aca="false">IF(F678="","",IF(E678="","Diğer",E678))</f>
        <v/>
      </c>
      <c r="U678" s="32" t="str">
        <f aca="false">IF(OR(F678="",C678=""),"",IF(COUNTIF($C$2:C678,C678)=1,MAX($U$1:U677)+1,""))</f>
        <v/>
      </c>
    </row>
    <row r="679" customFormat="false" ht="15" hidden="false" customHeight="false" outlineLevel="0" collapsed="false">
      <c r="A679" s="34"/>
      <c r="B679" s="9"/>
      <c r="C679" s="34"/>
      <c r="D679" s="34"/>
      <c r="E679" s="34"/>
      <c r="F679" s="35"/>
      <c r="G679" s="9"/>
      <c r="H679" s="9"/>
      <c r="I679" s="34"/>
      <c r="J679" s="30" t="str">
        <f aca="false">IF(F679="","",G679-B679)</f>
        <v/>
      </c>
      <c r="K679" s="31" t="str">
        <f aca="false">IF(F679="","",IF(H679&lt;&gt;"",H679,MAX('Vade Sapması'!$D$3,G679)))</f>
        <v/>
      </c>
      <c r="L679" s="30" t="str">
        <f aca="false">IF(F679="","",K679-B679)</f>
        <v/>
      </c>
      <c r="M679" s="30" t="str">
        <f aca="false">IF(F679="","",L679-J679)</f>
        <v/>
      </c>
      <c r="N679" s="32" t="str">
        <f aca="false">IF(F679="","",IF(H679&lt;&gt;"","Kapandı",IF('Vade Sapması'!$D$3&gt;G679,"Açık · vadesi geçti","Açık · vadesi gelmedi")))</f>
        <v/>
      </c>
      <c r="O679" s="30" t="str">
        <f aca="false">IF(F679="","",IF(AND(H679="",'Vade Sapması'!$D$3&gt;G679),'Vade Sapması'!$D$3-G679,0))</f>
        <v/>
      </c>
      <c r="P679" s="33" t="str">
        <f aca="false">IF(F679="","",F679*J679)</f>
        <v/>
      </c>
      <c r="Q679" s="33" t="str">
        <f aca="false">IF(F679="","",F679*L679)</f>
        <v/>
      </c>
      <c r="R679" s="33" t="str">
        <f aca="false">IF(F679="","",IF(H679="",F679,0))</f>
        <v/>
      </c>
      <c r="S679" s="32" t="str">
        <f aca="false">IF(F679="","",IF(N(O679)=0,"",IF(O679&lt;=30,"1-30",IF(O679&lt;=60,"31-60",IF(O679&lt;=90,"61-90","90+")))))</f>
        <v/>
      </c>
      <c r="T679" s="32" t="str">
        <f aca="false">IF(F679="","",IF(E679="","Diğer",E679))</f>
        <v/>
      </c>
      <c r="U679" s="32" t="str">
        <f aca="false">IF(OR(F679="",C679=""),"",IF(COUNTIF($C$2:C679,C679)=1,MAX($U$1:U678)+1,""))</f>
        <v/>
      </c>
    </row>
    <row r="680" customFormat="false" ht="15" hidden="false" customHeight="false" outlineLevel="0" collapsed="false">
      <c r="A680" s="34"/>
      <c r="B680" s="9"/>
      <c r="C680" s="34"/>
      <c r="D680" s="34"/>
      <c r="E680" s="34"/>
      <c r="F680" s="35"/>
      <c r="G680" s="9"/>
      <c r="H680" s="9"/>
      <c r="I680" s="34"/>
      <c r="J680" s="30" t="str">
        <f aca="false">IF(F680="","",G680-B680)</f>
        <v/>
      </c>
      <c r="K680" s="31" t="str">
        <f aca="false">IF(F680="","",IF(H680&lt;&gt;"",H680,MAX('Vade Sapması'!$D$3,G680)))</f>
        <v/>
      </c>
      <c r="L680" s="30" t="str">
        <f aca="false">IF(F680="","",K680-B680)</f>
        <v/>
      </c>
      <c r="M680" s="30" t="str">
        <f aca="false">IF(F680="","",L680-J680)</f>
        <v/>
      </c>
      <c r="N680" s="32" t="str">
        <f aca="false">IF(F680="","",IF(H680&lt;&gt;"","Kapandı",IF('Vade Sapması'!$D$3&gt;G680,"Açık · vadesi geçti","Açık · vadesi gelmedi")))</f>
        <v/>
      </c>
      <c r="O680" s="30" t="str">
        <f aca="false">IF(F680="","",IF(AND(H680="",'Vade Sapması'!$D$3&gt;G680),'Vade Sapması'!$D$3-G680,0))</f>
        <v/>
      </c>
      <c r="P680" s="33" t="str">
        <f aca="false">IF(F680="","",F680*J680)</f>
        <v/>
      </c>
      <c r="Q680" s="33" t="str">
        <f aca="false">IF(F680="","",F680*L680)</f>
        <v/>
      </c>
      <c r="R680" s="33" t="str">
        <f aca="false">IF(F680="","",IF(H680="",F680,0))</f>
        <v/>
      </c>
      <c r="S680" s="32" t="str">
        <f aca="false">IF(F680="","",IF(N(O680)=0,"",IF(O680&lt;=30,"1-30",IF(O680&lt;=60,"31-60",IF(O680&lt;=90,"61-90","90+")))))</f>
        <v/>
      </c>
      <c r="T680" s="32" t="str">
        <f aca="false">IF(F680="","",IF(E680="","Diğer",E680))</f>
        <v/>
      </c>
      <c r="U680" s="32" t="str">
        <f aca="false">IF(OR(F680="",C680=""),"",IF(COUNTIF($C$2:C680,C680)=1,MAX($U$1:U679)+1,""))</f>
        <v/>
      </c>
    </row>
    <row r="681" customFormat="false" ht="15" hidden="false" customHeight="false" outlineLevel="0" collapsed="false">
      <c r="A681" s="34"/>
      <c r="B681" s="9"/>
      <c r="C681" s="34"/>
      <c r="D681" s="34"/>
      <c r="E681" s="34"/>
      <c r="F681" s="35"/>
      <c r="G681" s="9"/>
      <c r="H681" s="9"/>
      <c r="I681" s="34"/>
      <c r="J681" s="30" t="str">
        <f aca="false">IF(F681="","",G681-B681)</f>
        <v/>
      </c>
      <c r="K681" s="31" t="str">
        <f aca="false">IF(F681="","",IF(H681&lt;&gt;"",H681,MAX('Vade Sapması'!$D$3,G681)))</f>
        <v/>
      </c>
      <c r="L681" s="30" t="str">
        <f aca="false">IF(F681="","",K681-B681)</f>
        <v/>
      </c>
      <c r="M681" s="30" t="str">
        <f aca="false">IF(F681="","",L681-J681)</f>
        <v/>
      </c>
      <c r="N681" s="32" t="str">
        <f aca="false">IF(F681="","",IF(H681&lt;&gt;"","Kapandı",IF('Vade Sapması'!$D$3&gt;G681,"Açık · vadesi geçti","Açık · vadesi gelmedi")))</f>
        <v/>
      </c>
      <c r="O681" s="30" t="str">
        <f aca="false">IF(F681="","",IF(AND(H681="",'Vade Sapması'!$D$3&gt;G681),'Vade Sapması'!$D$3-G681,0))</f>
        <v/>
      </c>
      <c r="P681" s="33" t="str">
        <f aca="false">IF(F681="","",F681*J681)</f>
        <v/>
      </c>
      <c r="Q681" s="33" t="str">
        <f aca="false">IF(F681="","",F681*L681)</f>
        <v/>
      </c>
      <c r="R681" s="33" t="str">
        <f aca="false">IF(F681="","",IF(H681="",F681,0))</f>
        <v/>
      </c>
      <c r="S681" s="32" t="str">
        <f aca="false">IF(F681="","",IF(N(O681)=0,"",IF(O681&lt;=30,"1-30",IF(O681&lt;=60,"31-60",IF(O681&lt;=90,"61-90","90+")))))</f>
        <v/>
      </c>
      <c r="T681" s="32" t="str">
        <f aca="false">IF(F681="","",IF(E681="","Diğer",E681))</f>
        <v/>
      </c>
      <c r="U681" s="32" t="str">
        <f aca="false">IF(OR(F681="",C681=""),"",IF(COUNTIF($C$2:C681,C681)=1,MAX($U$1:U680)+1,""))</f>
        <v/>
      </c>
    </row>
    <row r="682" customFormat="false" ht="15" hidden="false" customHeight="false" outlineLevel="0" collapsed="false">
      <c r="A682" s="34"/>
      <c r="B682" s="9"/>
      <c r="C682" s="34"/>
      <c r="D682" s="34"/>
      <c r="E682" s="34"/>
      <c r="F682" s="35"/>
      <c r="G682" s="9"/>
      <c r="H682" s="9"/>
      <c r="I682" s="34"/>
      <c r="J682" s="30" t="str">
        <f aca="false">IF(F682="","",G682-B682)</f>
        <v/>
      </c>
      <c r="K682" s="31" t="str">
        <f aca="false">IF(F682="","",IF(H682&lt;&gt;"",H682,MAX('Vade Sapması'!$D$3,G682)))</f>
        <v/>
      </c>
      <c r="L682" s="30" t="str">
        <f aca="false">IF(F682="","",K682-B682)</f>
        <v/>
      </c>
      <c r="M682" s="30" t="str">
        <f aca="false">IF(F682="","",L682-J682)</f>
        <v/>
      </c>
      <c r="N682" s="32" t="str">
        <f aca="false">IF(F682="","",IF(H682&lt;&gt;"","Kapandı",IF('Vade Sapması'!$D$3&gt;G682,"Açık · vadesi geçti","Açık · vadesi gelmedi")))</f>
        <v/>
      </c>
      <c r="O682" s="30" t="str">
        <f aca="false">IF(F682="","",IF(AND(H682="",'Vade Sapması'!$D$3&gt;G682),'Vade Sapması'!$D$3-G682,0))</f>
        <v/>
      </c>
      <c r="P682" s="33" t="str">
        <f aca="false">IF(F682="","",F682*J682)</f>
        <v/>
      </c>
      <c r="Q682" s="33" t="str">
        <f aca="false">IF(F682="","",F682*L682)</f>
        <v/>
      </c>
      <c r="R682" s="33" t="str">
        <f aca="false">IF(F682="","",IF(H682="",F682,0))</f>
        <v/>
      </c>
      <c r="S682" s="32" t="str">
        <f aca="false">IF(F682="","",IF(N(O682)=0,"",IF(O682&lt;=30,"1-30",IF(O682&lt;=60,"31-60",IF(O682&lt;=90,"61-90","90+")))))</f>
        <v/>
      </c>
      <c r="T682" s="32" t="str">
        <f aca="false">IF(F682="","",IF(E682="","Diğer",E682))</f>
        <v/>
      </c>
      <c r="U682" s="32" t="str">
        <f aca="false">IF(OR(F682="",C682=""),"",IF(COUNTIF($C$2:C682,C682)=1,MAX($U$1:U681)+1,""))</f>
        <v/>
      </c>
    </row>
    <row r="683" customFormat="false" ht="15" hidden="false" customHeight="false" outlineLevel="0" collapsed="false">
      <c r="A683" s="34"/>
      <c r="B683" s="9"/>
      <c r="C683" s="34"/>
      <c r="D683" s="34"/>
      <c r="E683" s="34"/>
      <c r="F683" s="35"/>
      <c r="G683" s="9"/>
      <c r="H683" s="9"/>
      <c r="I683" s="34"/>
      <c r="J683" s="30" t="str">
        <f aca="false">IF(F683="","",G683-B683)</f>
        <v/>
      </c>
      <c r="K683" s="31" t="str">
        <f aca="false">IF(F683="","",IF(H683&lt;&gt;"",H683,MAX('Vade Sapması'!$D$3,G683)))</f>
        <v/>
      </c>
      <c r="L683" s="30" t="str">
        <f aca="false">IF(F683="","",K683-B683)</f>
        <v/>
      </c>
      <c r="M683" s="30" t="str">
        <f aca="false">IF(F683="","",L683-J683)</f>
        <v/>
      </c>
      <c r="N683" s="32" t="str">
        <f aca="false">IF(F683="","",IF(H683&lt;&gt;"","Kapandı",IF('Vade Sapması'!$D$3&gt;G683,"Açık · vadesi geçti","Açık · vadesi gelmedi")))</f>
        <v/>
      </c>
      <c r="O683" s="30" t="str">
        <f aca="false">IF(F683="","",IF(AND(H683="",'Vade Sapması'!$D$3&gt;G683),'Vade Sapması'!$D$3-G683,0))</f>
        <v/>
      </c>
      <c r="P683" s="33" t="str">
        <f aca="false">IF(F683="","",F683*J683)</f>
        <v/>
      </c>
      <c r="Q683" s="33" t="str">
        <f aca="false">IF(F683="","",F683*L683)</f>
        <v/>
      </c>
      <c r="R683" s="33" t="str">
        <f aca="false">IF(F683="","",IF(H683="",F683,0))</f>
        <v/>
      </c>
      <c r="S683" s="32" t="str">
        <f aca="false">IF(F683="","",IF(N(O683)=0,"",IF(O683&lt;=30,"1-30",IF(O683&lt;=60,"31-60",IF(O683&lt;=90,"61-90","90+")))))</f>
        <v/>
      </c>
      <c r="T683" s="32" t="str">
        <f aca="false">IF(F683="","",IF(E683="","Diğer",E683))</f>
        <v/>
      </c>
      <c r="U683" s="32" t="str">
        <f aca="false">IF(OR(F683="",C683=""),"",IF(COUNTIF($C$2:C683,C683)=1,MAX($U$1:U682)+1,""))</f>
        <v/>
      </c>
    </row>
    <row r="684" customFormat="false" ht="15" hidden="false" customHeight="false" outlineLevel="0" collapsed="false">
      <c r="A684" s="34"/>
      <c r="B684" s="9"/>
      <c r="C684" s="34"/>
      <c r="D684" s="34"/>
      <c r="E684" s="34"/>
      <c r="F684" s="35"/>
      <c r="G684" s="9"/>
      <c r="H684" s="9"/>
      <c r="I684" s="34"/>
      <c r="J684" s="30" t="str">
        <f aca="false">IF(F684="","",G684-B684)</f>
        <v/>
      </c>
      <c r="K684" s="31" t="str">
        <f aca="false">IF(F684="","",IF(H684&lt;&gt;"",H684,MAX('Vade Sapması'!$D$3,G684)))</f>
        <v/>
      </c>
      <c r="L684" s="30" t="str">
        <f aca="false">IF(F684="","",K684-B684)</f>
        <v/>
      </c>
      <c r="M684" s="30" t="str">
        <f aca="false">IF(F684="","",L684-J684)</f>
        <v/>
      </c>
      <c r="N684" s="32" t="str">
        <f aca="false">IF(F684="","",IF(H684&lt;&gt;"","Kapandı",IF('Vade Sapması'!$D$3&gt;G684,"Açık · vadesi geçti","Açık · vadesi gelmedi")))</f>
        <v/>
      </c>
      <c r="O684" s="30" t="str">
        <f aca="false">IF(F684="","",IF(AND(H684="",'Vade Sapması'!$D$3&gt;G684),'Vade Sapması'!$D$3-G684,0))</f>
        <v/>
      </c>
      <c r="P684" s="33" t="str">
        <f aca="false">IF(F684="","",F684*J684)</f>
        <v/>
      </c>
      <c r="Q684" s="33" t="str">
        <f aca="false">IF(F684="","",F684*L684)</f>
        <v/>
      </c>
      <c r="R684" s="33" t="str">
        <f aca="false">IF(F684="","",IF(H684="",F684,0))</f>
        <v/>
      </c>
      <c r="S684" s="32" t="str">
        <f aca="false">IF(F684="","",IF(N(O684)=0,"",IF(O684&lt;=30,"1-30",IF(O684&lt;=60,"31-60",IF(O684&lt;=90,"61-90","90+")))))</f>
        <v/>
      </c>
      <c r="T684" s="32" t="str">
        <f aca="false">IF(F684="","",IF(E684="","Diğer",E684))</f>
        <v/>
      </c>
      <c r="U684" s="32" t="str">
        <f aca="false">IF(OR(F684="",C684=""),"",IF(COUNTIF($C$2:C684,C684)=1,MAX($U$1:U683)+1,""))</f>
        <v/>
      </c>
    </row>
    <row r="685" customFormat="false" ht="15" hidden="false" customHeight="false" outlineLevel="0" collapsed="false">
      <c r="A685" s="34"/>
      <c r="B685" s="9"/>
      <c r="C685" s="34"/>
      <c r="D685" s="34"/>
      <c r="E685" s="34"/>
      <c r="F685" s="35"/>
      <c r="G685" s="9"/>
      <c r="H685" s="9"/>
      <c r="I685" s="34"/>
      <c r="J685" s="30" t="str">
        <f aca="false">IF(F685="","",G685-B685)</f>
        <v/>
      </c>
      <c r="K685" s="31" t="str">
        <f aca="false">IF(F685="","",IF(H685&lt;&gt;"",H685,MAX('Vade Sapması'!$D$3,G685)))</f>
        <v/>
      </c>
      <c r="L685" s="30" t="str">
        <f aca="false">IF(F685="","",K685-B685)</f>
        <v/>
      </c>
      <c r="M685" s="30" t="str">
        <f aca="false">IF(F685="","",L685-J685)</f>
        <v/>
      </c>
      <c r="N685" s="32" t="str">
        <f aca="false">IF(F685="","",IF(H685&lt;&gt;"","Kapandı",IF('Vade Sapması'!$D$3&gt;G685,"Açık · vadesi geçti","Açık · vadesi gelmedi")))</f>
        <v/>
      </c>
      <c r="O685" s="30" t="str">
        <f aca="false">IF(F685="","",IF(AND(H685="",'Vade Sapması'!$D$3&gt;G685),'Vade Sapması'!$D$3-G685,0))</f>
        <v/>
      </c>
      <c r="P685" s="33" t="str">
        <f aca="false">IF(F685="","",F685*J685)</f>
        <v/>
      </c>
      <c r="Q685" s="33" t="str">
        <f aca="false">IF(F685="","",F685*L685)</f>
        <v/>
      </c>
      <c r="R685" s="33" t="str">
        <f aca="false">IF(F685="","",IF(H685="",F685,0))</f>
        <v/>
      </c>
      <c r="S685" s="32" t="str">
        <f aca="false">IF(F685="","",IF(N(O685)=0,"",IF(O685&lt;=30,"1-30",IF(O685&lt;=60,"31-60",IF(O685&lt;=90,"61-90","90+")))))</f>
        <v/>
      </c>
      <c r="T685" s="32" t="str">
        <f aca="false">IF(F685="","",IF(E685="","Diğer",E685))</f>
        <v/>
      </c>
      <c r="U685" s="32" t="str">
        <f aca="false">IF(OR(F685="",C685=""),"",IF(COUNTIF($C$2:C685,C685)=1,MAX($U$1:U684)+1,""))</f>
        <v/>
      </c>
    </row>
    <row r="686" customFormat="false" ht="15" hidden="false" customHeight="false" outlineLevel="0" collapsed="false">
      <c r="A686" s="34"/>
      <c r="B686" s="9"/>
      <c r="C686" s="34"/>
      <c r="D686" s="34"/>
      <c r="E686" s="34"/>
      <c r="F686" s="35"/>
      <c r="G686" s="9"/>
      <c r="H686" s="9"/>
      <c r="I686" s="34"/>
      <c r="J686" s="30" t="str">
        <f aca="false">IF(F686="","",G686-B686)</f>
        <v/>
      </c>
      <c r="K686" s="31" t="str">
        <f aca="false">IF(F686="","",IF(H686&lt;&gt;"",H686,MAX('Vade Sapması'!$D$3,G686)))</f>
        <v/>
      </c>
      <c r="L686" s="30" t="str">
        <f aca="false">IF(F686="","",K686-B686)</f>
        <v/>
      </c>
      <c r="M686" s="30" t="str">
        <f aca="false">IF(F686="","",L686-J686)</f>
        <v/>
      </c>
      <c r="N686" s="32" t="str">
        <f aca="false">IF(F686="","",IF(H686&lt;&gt;"","Kapandı",IF('Vade Sapması'!$D$3&gt;G686,"Açık · vadesi geçti","Açık · vadesi gelmedi")))</f>
        <v/>
      </c>
      <c r="O686" s="30" t="str">
        <f aca="false">IF(F686="","",IF(AND(H686="",'Vade Sapması'!$D$3&gt;G686),'Vade Sapması'!$D$3-G686,0))</f>
        <v/>
      </c>
      <c r="P686" s="33" t="str">
        <f aca="false">IF(F686="","",F686*J686)</f>
        <v/>
      </c>
      <c r="Q686" s="33" t="str">
        <f aca="false">IF(F686="","",F686*L686)</f>
        <v/>
      </c>
      <c r="R686" s="33" t="str">
        <f aca="false">IF(F686="","",IF(H686="",F686,0))</f>
        <v/>
      </c>
      <c r="S686" s="32" t="str">
        <f aca="false">IF(F686="","",IF(N(O686)=0,"",IF(O686&lt;=30,"1-30",IF(O686&lt;=60,"31-60",IF(O686&lt;=90,"61-90","90+")))))</f>
        <v/>
      </c>
      <c r="T686" s="32" t="str">
        <f aca="false">IF(F686="","",IF(E686="","Diğer",E686))</f>
        <v/>
      </c>
      <c r="U686" s="32" t="str">
        <f aca="false">IF(OR(F686="",C686=""),"",IF(COUNTIF($C$2:C686,C686)=1,MAX($U$1:U685)+1,""))</f>
        <v/>
      </c>
    </row>
    <row r="687" customFormat="false" ht="15" hidden="false" customHeight="false" outlineLevel="0" collapsed="false">
      <c r="A687" s="34"/>
      <c r="B687" s="9"/>
      <c r="C687" s="34"/>
      <c r="D687" s="34"/>
      <c r="E687" s="34"/>
      <c r="F687" s="35"/>
      <c r="G687" s="9"/>
      <c r="H687" s="9"/>
      <c r="I687" s="34"/>
      <c r="J687" s="30" t="str">
        <f aca="false">IF(F687="","",G687-B687)</f>
        <v/>
      </c>
      <c r="K687" s="31" t="str">
        <f aca="false">IF(F687="","",IF(H687&lt;&gt;"",H687,MAX('Vade Sapması'!$D$3,G687)))</f>
        <v/>
      </c>
      <c r="L687" s="30" t="str">
        <f aca="false">IF(F687="","",K687-B687)</f>
        <v/>
      </c>
      <c r="M687" s="30" t="str">
        <f aca="false">IF(F687="","",L687-J687)</f>
        <v/>
      </c>
      <c r="N687" s="32" t="str">
        <f aca="false">IF(F687="","",IF(H687&lt;&gt;"","Kapandı",IF('Vade Sapması'!$D$3&gt;G687,"Açık · vadesi geçti","Açık · vadesi gelmedi")))</f>
        <v/>
      </c>
      <c r="O687" s="30" t="str">
        <f aca="false">IF(F687="","",IF(AND(H687="",'Vade Sapması'!$D$3&gt;G687),'Vade Sapması'!$D$3-G687,0))</f>
        <v/>
      </c>
      <c r="P687" s="33" t="str">
        <f aca="false">IF(F687="","",F687*J687)</f>
        <v/>
      </c>
      <c r="Q687" s="33" t="str">
        <f aca="false">IF(F687="","",F687*L687)</f>
        <v/>
      </c>
      <c r="R687" s="33" t="str">
        <f aca="false">IF(F687="","",IF(H687="",F687,0))</f>
        <v/>
      </c>
      <c r="S687" s="32" t="str">
        <f aca="false">IF(F687="","",IF(N(O687)=0,"",IF(O687&lt;=30,"1-30",IF(O687&lt;=60,"31-60",IF(O687&lt;=90,"61-90","90+")))))</f>
        <v/>
      </c>
      <c r="T687" s="32" t="str">
        <f aca="false">IF(F687="","",IF(E687="","Diğer",E687))</f>
        <v/>
      </c>
      <c r="U687" s="32" t="str">
        <f aca="false">IF(OR(F687="",C687=""),"",IF(COUNTIF($C$2:C687,C687)=1,MAX($U$1:U686)+1,""))</f>
        <v/>
      </c>
    </row>
    <row r="688" customFormat="false" ht="15" hidden="false" customHeight="false" outlineLevel="0" collapsed="false">
      <c r="A688" s="34"/>
      <c r="B688" s="9"/>
      <c r="C688" s="34"/>
      <c r="D688" s="34"/>
      <c r="E688" s="34"/>
      <c r="F688" s="35"/>
      <c r="G688" s="9"/>
      <c r="H688" s="9"/>
      <c r="I688" s="34"/>
      <c r="J688" s="30" t="str">
        <f aca="false">IF(F688="","",G688-B688)</f>
        <v/>
      </c>
      <c r="K688" s="31" t="str">
        <f aca="false">IF(F688="","",IF(H688&lt;&gt;"",H688,MAX('Vade Sapması'!$D$3,G688)))</f>
        <v/>
      </c>
      <c r="L688" s="30" t="str">
        <f aca="false">IF(F688="","",K688-B688)</f>
        <v/>
      </c>
      <c r="M688" s="30" t="str">
        <f aca="false">IF(F688="","",L688-J688)</f>
        <v/>
      </c>
      <c r="N688" s="32" t="str">
        <f aca="false">IF(F688="","",IF(H688&lt;&gt;"","Kapandı",IF('Vade Sapması'!$D$3&gt;G688,"Açık · vadesi geçti","Açık · vadesi gelmedi")))</f>
        <v/>
      </c>
      <c r="O688" s="30" t="str">
        <f aca="false">IF(F688="","",IF(AND(H688="",'Vade Sapması'!$D$3&gt;G688),'Vade Sapması'!$D$3-G688,0))</f>
        <v/>
      </c>
      <c r="P688" s="33" t="str">
        <f aca="false">IF(F688="","",F688*J688)</f>
        <v/>
      </c>
      <c r="Q688" s="33" t="str">
        <f aca="false">IF(F688="","",F688*L688)</f>
        <v/>
      </c>
      <c r="R688" s="33" t="str">
        <f aca="false">IF(F688="","",IF(H688="",F688,0))</f>
        <v/>
      </c>
      <c r="S688" s="32" t="str">
        <f aca="false">IF(F688="","",IF(N(O688)=0,"",IF(O688&lt;=30,"1-30",IF(O688&lt;=60,"31-60",IF(O688&lt;=90,"61-90","90+")))))</f>
        <v/>
      </c>
      <c r="T688" s="32" t="str">
        <f aca="false">IF(F688="","",IF(E688="","Diğer",E688))</f>
        <v/>
      </c>
      <c r="U688" s="32" t="str">
        <f aca="false">IF(OR(F688="",C688=""),"",IF(COUNTIF($C$2:C688,C688)=1,MAX($U$1:U687)+1,""))</f>
        <v/>
      </c>
    </row>
    <row r="689" customFormat="false" ht="15" hidden="false" customHeight="false" outlineLevel="0" collapsed="false">
      <c r="A689" s="34"/>
      <c r="B689" s="9"/>
      <c r="C689" s="34"/>
      <c r="D689" s="34"/>
      <c r="E689" s="34"/>
      <c r="F689" s="35"/>
      <c r="G689" s="9"/>
      <c r="H689" s="9"/>
      <c r="I689" s="34"/>
      <c r="J689" s="30" t="str">
        <f aca="false">IF(F689="","",G689-B689)</f>
        <v/>
      </c>
      <c r="K689" s="31" t="str">
        <f aca="false">IF(F689="","",IF(H689&lt;&gt;"",H689,MAX('Vade Sapması'!$D$3,G689)))</f>
        <v/>
      </c>
      <c r="L689" s="30" t="str">
        <f aca="false">IF(F689="","",K689-B689)</f>
        <v/>
      </c>
      <c r="M689" s="30" t="str">
        <f aca="false">IF(F689="","",L689-J689)</f>
        <v/>
      </c>
      <c r="N689" s="32" t="str">
        <f aca="false">IF(F689="","",IF(H689&lt;&gt;"","Kapandı",IF('Vade Sapması'!$D$3&gt;G689,"Açık · vadesi geçti","Açık · vadesi gelmedi")))</f>
        <v/>
      </c>
      <c r="O689" s="30" t="str">
        <f aca="false">IF(F689="","",IF(AND(H689="",'Vade Sapması'!$D$3&gt;G689),'Vade Sapması'!$D$3-G689,0))</f>
        <v/>
      </c>
      <c r="P689" s="33" t="str">
        <f aca="false">IF(F689="","",F689*J689)</f>
        <v/>
      </c>
      <c r="Q689" s="33" t="str">
        <f aca="false">IF(F689="","",F689*L689)</f>
        <v/>
      </c>
      <c r="R689" s="33" t="str">
        <f aca="false">IF(F689="","",IF(H689="",F689,0))</f>
        <v/>
      </c>
      <c r="S689" s="32" t="str">
        <f aca="false">IF(F689="","",IF(N(O689)=0,"",IF(O689&lt;=30,"1-30",IF(O689&lt;=60,"31-60",IF(O689&lt;=90,"61-90","90+")))))</f>
        <v/>
      </c>
      <c r="T689" s="32" t="str">
        <f aca="false">IF(F689="","",IF(E689="","Diğer",E689))</f>
        <v/>
      </c>
      <c r="U689" s="32" t="str">
        <f aca="false">IF(OR(F689="",C689=""),"",IF(COUNTIF($C$2:C689,C689)=1,MAX($U$1:U688)+1,""))</f>
        <v/>
      </c>
    </row>
    <row r="690" customFormat="false" ht="15" hidden="false" customHeight="false" outlineLevel="0" collapsed="false">
      <c r="A690" s="34"/>
      <c r="B690" s="9"/>
      <c r="C690" s="34"/>
      <c r="D690" s="34"/>
      <c r="E690" s="34"/>
      <c r="F690" s="35"/>
      <c r="G690" s="9"/>
      <c r="H690" s="9"/>
      <c r="I690" s="34"/>
      <c r="J690" s="30" t="str">
        <f aca="false">IF(F690="","",G690-B690)</f>
        <v/>
      </c>
      <c r="K690" s="31" t="str">
        <f aca="false">IF(F690="","",IF(H690&lt;&gt;"",H690,MAX('Vade Sapması'!$D$3,G690)))</f>
        <v/>
      </c>
      <c r="L690" s="30" t="str">
        <f aca="false">IF(F690="","",K690-B690)</f>
        <v/>
      </c>
      <c r="M690" s="30" t="str">
        <f aca="false">IF(F690="","",L690-J690)</f>
        <v/>
      </c>
      <c r="N690" s="32" t="str">
        <f aca="false">IF(F690="","",IF(H690&lt;&gt;"","Kapandı",IF('Vade Sapması'!$D$3&gt;G690,"Açık · vadesi geçti","Açık · vadesi gelmedi")))</f>
        <v/>
      </c>
      <c r="O690" s="30" t="str">
        <f aca="false">IF(F690="","",IF(AND(H690="",'Vade Sapması'!$D$3&gt;G690),'Vade Sapması'!$D$3-G690,0))</f>
        <v/>
      </c>
      <c r="P690" s="33" t="str">
        <f aca="false">IF(F690="","",F690*J690)</f>
        <v/>
      </c>
      <c r="Q690" s="33" t="str">
        <f aca="false">IF(F690="","",F690*L690)</f>
        <v/>
      </c>
      <c r="R690" s="33" t="str">
        <f aca="false">IF(F690="","",IF(H690="",F690,0))</f>
        <v/>
      </c>
      <c r="S690" s="32" t="str">
        <f aca="false">IF(F690="","",IF(N(O690)=0,"",IF(O690&lt;=30,"1-30",IF(O690&lt;=60,"31-60",IF(O690&lt;=90,"61-90","90+")))))</f>
        <v/>
      </c>
      <c r="T690" s="32" t="str">
        <f aca="false">IF(F690="","",IF(E690="","Diğer",E690))</f>
        <v/>
      </c>
      <c r="U690" s="32" t="str">
        <f aca="false">IF(OR(F690="",C690=""),"",IF(COUNTIF($C$2:C690,C690)=1,MAX($U$1:U689)+1,""))</f>
        <v/>
      </c>
    </row>
    <row r="691" customFormat="false" ht="15" hidden="false" customHeight="false" outlineLevel="0" collapsed="false">
      <c r="A691" s="34"/>
      <c r="B691" s="9"/>
      <c r="C691" s="34"/>
      <c r="D691" s="34"/>
      <c r="E691" s="34"/>
      <c r="F691" s="35"/>
      <c r="G691" s="9"/>
      <c r="H691" s="9"/>
      <c r="I691" s="34"/>
      <c r="J691" s="30" t="str">
        <f aca="false">IF(F691="","",G691-B691)</f>
        <v/>
      </c>
      <c r="K691" s="31" t="str">
        <f aca="false">IF(F691="","",IF(H691&lt;&gt;"",H691,MAX('Vade Sapması'!$D$3,G691)))</f>
        <v/>
      </c>
      <c r="L691" s="30" t="str">
        <f aca="false">IF(F691="","",K691-B691)</f>
        <v/>
      </c>
      <c r="M691" s="30" t="str">
        <f aca="false">IF(F691="","",L691-J691)</f>
        <v/>
      </c>
      <c r="N691" s="32" t="str">
        <f aca="false">IF(F691="","",IF(H691&lt;&gt;"","Kapandı",IF('Vade Sapması'!$D$3&gt;G691,"Açık · vadesi geçti","Açık · vadesi gelmedi")))</f>
        <v/>
      </c>
      <c r="O691" s="30" t="str">
        <f aca="false">IF(F691="","",IF(AND(H691="",'Vade Sapması'!$D$3&gt;G691),'Vade Sapması'!$D$3-G691,0))</f>
        <v/>
      </c>
      <c r="P691" s="33" t="str">
        <f aca="false">IF(F691="","",F691*J691)</f>
        <v/>
      </c>
      <c r="Q691" s="33" t="str">
        <f aca="false">IF(F691="","",F691*L691)</f>
        <v/>
      </c>
      <c r="R691" s="33" t="str">
        <f aca="false">IF(F691="","",IF(H691="",F691,0))</f>
        <v/>
      </c>
      <c r="S691" s="32" t="str">
        <f aca="false">IF(F691="","",IF(N(O691)=0,"",IF(O691&lt;=30,"1-30",IF(O691&lt;=60,"31-60",IF(O691&lt;=90,"61-90","90+")))))</f>
        <v/>
      </c>
      <c r="T691" s="32" t="str">
        <f aca="false">IF(F691="","",IF(E691="","Diğer",E691))</f>
        <v/>
      </c>
      <c r="U691" s="32" t="str">
        <f aca="false">IF(OR(F691="",C691=""),"",IF(COUNTIF($C$2:C691,C691)=1,MAX($U$1:U690)+1,""))</f>
        <v/>
      </c>
    </row>
    <row r="692" customFormat="false" ht="15" hidden="false" customHeight="false" outlineLevel="0" collapsed="false">
      <c r="A692" s="34"/>
      <c r="B692" s="9"/>
      <c r="C692" s="34"/>
      <c r="D692" s="34"/>
      <c r="E692" s="34"/>
      <c r="F692" s="35"/>
      <c r="G692" s="9"/>
      <c r="H692" s="9"/>
      <c r="I692" s="34"/>
      <c r="J692" s="30" t="str">
        <f aca="false">IF(F692="","",G692-B692)</f>
        <v/>
      </c>
      <c r="K692" s="31" t="str">
        <f aca="false">IF(F692="","",IF(H692&lt;&gt;"",H692,MAX('Vade Sapması'!$D$3,G692)))</f>
        <v/>
      </c>
      <c r="L692" s="30" t="str">
        <f aca="false">IF(F692="","",K692-B692)</f>
        <v/>
      </c>
      <c r="M692" s="30" t="str">
        <f aca="false">IF(F692="","",L692-J692)</f>
        <v/>
      </c>
      <c r="N692" s="32" t="str">
        <f aca="false">IF(F692="","",IF(H692&lt;&gt;"","Kapandı",IF('Vade Sapması'!$D$3&gt;G692,"Açık · vadesi geçti","Açık · vadesi gelmedi")))</f>
        <v/>
      </c>
      <c r="O692" s="30" t="str">
        <f aca="false">IF(F692="","",IF(AND(H692="",'Vade Sapması'!$D$3&gt;G692),'Vade Sapması'!$D$3-G692,0))</f>
        <v/>
      </c>
      <c r="P692" s="33" t="str">
        <f aca="false">IF(F692="","",F692*J692)</f>
        <v/>
      </c>
      <c r="Q692" s="33" t="str">
        <f aca="false">IF(F692="","",F692*L692)</f>
        <v/>
      </c>
      <c r="R692" s="33" t="str">
        <f aca="false">IF(F692="","",IF(H692="",F692,0))</f>
        <v/>
      </c>
      <c r="S692" s="32" t="str">
        <f aca="false">IF(F692="","",IF(N(O692)=0,"",IF(O692&lt;=30,"1-30",IF(O692&lt;=60,"31-60",IF(O692&lt;=90,"61-90","90+")))))</f>
        <v/>
      </c>
      <c r="T692" s="32" t="str">
        <f aca="false">IF(F692="","",IF(E692="","Diğer",E692))</f>
        <v/>
      </c>
      <c r="U692" s="32" t="str">
        <f aca="false">IF(OR(F692="",C692=""),"",IF(COUNTIF($C$2:C692,C692)=1,MAX($U$1:U691)+1,""))</f>
        <v/>
      </c>
    </row>
    <row r="693" customFormat="false" ht="15" hidden="false" customHeight="false" outlineLevel="0" collapsed="false">
      <c r="A693" s="34"/>
      <c r="B693" s="9"/>
      <c r="C693" s="34"/>
      <c r="D693" s="34"/>
      <c r="E693" s="34"/>
      <c r="F693" s="35"/>
      <c r="G693" s="9"/>
      <c r="H693" s="9"/>
      <c r="I693" s="34"/>
      <c r="J693" s="30" t="str">
        <f aca="false">IF(F693="","",G693-B693)</f>
        <v/>
      </c>
      <c r="K693" s="31" t="str">
        <f aca="false">IF(F693="","",IF(H693&lt;&gt;"",H693,MAX('Vade Sapması'!$D$3,G693)))</f>
        <v/>
      </c>
      <c r="L693" s="30" t="str">
        <f aca="false">IF(F693="","",K693-B693)</f>
        <v/>
      </c>
      <c r="M693" s="30" t="str">
        <f aca="false">IF(F693="","",L693-J693)</f>
        <v/>
      </c>
      <c r="N693" s="32" t="str">
        <f aca="false">IF(F693="","",IF(H693&lt;&gt;"","Kapandı",IF('Vade Sapması'!$D$3&gt;G693,"Açık · vadesi geçti","Açık · vadesi gelmedi")))</f>
        <v/>
      </c>
      <c r="O693" s="30" t="str">
        <f aca="false">IF(F693="","",IF(AND(H693="",'Vade Sapması'!$D$3&gt;G693),'Vade Sapması'!$D$3-G693,0))</f>
        <v/>
      </c>
      <c r="P693" s="33" t="str">
        <f aca="false">IF(F693="","",F693*J693)</f>
        <v/>
      </c>
      <c r="Q693" s="33" t="str">
        <f aca="false">IF(F693="","",F693*L693)</f>
        <v/>
      </c>
      <c r="R693" s="33" t="str">
        <f aca="false">IF(F693="","",IF(H693="",F693,0))</f>
        <v/>
      </c>
      <c r="S693" s="32" t="str">
        <f aca="false">IF(F693="","",IF(N(O693)=0,"",IF(O693&lt;=30,"1-30",IF(O693&lt;=60,"31-60",IF(O693&lt;=90,"61-90","90+")))))</f>
        <v/>
      </c>
      <c r="T693" s="32" t="str">
        <f aca="false">IF(F693="","",IF(E693="","Diğer",E693))</f>
        <v/>
      </c>
      <c r="U693" s="32" t="str">
        <f aca="false">IF(OR(F693="",C693=""),"",IF(COUNTIF($C$2:C693,C693)=1,MAX($U$1:U692)+1,""))</f>
        <v/>
      </c>
    </row>
    <row r="694" customFormat="false" ht="15" hidden="false" customHeight="false" outlineLevel="0" collapsed="false">
      <c r="A694" s="34"/>
      <c r="B694" s="9"/>
      <c r="C694" s="34"/>
      <c r="D694" s="34"/>
      <c r="E694" s="34"/>
      <c r="F694" s="35"/>
      <c r="G694" s="9"/>
      <c r="H694" s="9"/>
      <c r="I694" s="34"/>
      <c r="J694" s="30" t="str">
        <f aca="false">IF(F694="","",G694-B694)</f>
        <v/>
      </c>
      <c r="K694" s="31" t="str">
        <f aca="false">IF(F694="","",IF(H694&lt;&gt;"",H694,MAX('Vade Sapması'!$D$3,G694)))</f>
        <v/>
      </c>
      <c r="L694" s="30" t="str">
        <f aca="false">IF(F694="","",K694-B694)</f>
        <v/>
      </c>
      <c r="M694" s="30" t="str">
        <f aca="false">IF(F694="","",L694-J694)</f>
        <v/>
      </c>
      <c r="N694" s="32" t="str">
        <f aca="false">IF(F694="","",IF(H694&lt;&gt;"","Kapandı",IF('Vade Sapması'!$D$3&gt;G694,"Açık · vadesi geçti","Açık · vadesi gelmedi")))</f>
        <v/>
      </c>
      <c r="O694" s="30" t="str">
        <f aca="false">IF(F694="","",IF(AND(H694="",'Vade Sapması'!$D$3&gt;G694),'Vade Sapması'!$D$3-G694,0))</f>
        <v/>
      </c>
      <c r="P694" s="33" t="str">
        <f aca="false">IF(F694="","",F694*J694)</f>
        <v/>
      </c>
      <c r="Q694" s="33" t="str">
        <f aca="false">IF(F694="","",F694*L694)</f>
        <v/>
      </c>
      <c r="R694" s="33" t="str">
        <f aca="false">IF(F694="","",IF(H694="",F694,0))</f>
        <v/>
      </c>
      <c r="S694" s="32" t="str">
        <f aca="false">IF(F694="","",IF(N(O694)=0,"",IF(O694&lt;=30,"1-30",IF(O694&lt;=60,"31-60",IF(O694&lt;=90,"61-90","90+")))))</f>
        <v/>
      </c>
      <c r="T694" s="32" t="str">
        <f aca="false">IF(F694="","",IF(E694="","Diğer",E694))</f>
        <v/>
      </c>
      <c r="U694" s="32" t="str">
        <f aca="false">IF(OR(F694="",C694=""),"",IF(COUNTIF($C$2:C694,C694)=1,MAX($U$1:U693)+1,""))</f>
        <v/>
      </c>
    </row>
    <row r="695" customFormat="false" ht="15" hidden="false" customHeight="false" outlineLevel="0" collapsed="false">
      <c r="A695" s="34"/>
      <c r="B695" s="9"/>
      <c r="C695" s="34"/>
      <c r="D695" s="34"/>
      <c r="E695" s="34"/>
      <c r="F695" s="35"/>
      <c r="G695" s="9"/>
      <c r="H695" s="9"/>
      <c r="I695" s="34"/>
      <c r="J695" s="30" t="str">
        <f aca="false">IF(F695="","",G695-B695)</f>
        <v/>
      </c>
      <c r="K695" s="31" t="str">
        <f aca="false">IF(F695="","",IF(H695&lt;&gt;"",H695,MAX('Vade Sapması'!$D$3,G695)))</f>
        <v/>
      </c>
      <c r="L695" s="30" t="str">
        <f aca="false">IF(F695="","",K695-B695)</f>
        <v/>
      </c>
      <c r="M695" s="30" t="str">
        <f aca="false">IF(F695="","",L695-J695)</f>
        <v/>
      </c>
      <c r="N695" s="32" t="str">
        <f aca="false">IF(F695="","",IF(H695&lt;&gt;"","Kapandı",IF('Vade Sapması'!$D$3&gt;G695,"Açık · vadesi geçti","Açık · vadesi gelmedi")))</f>
        <v/>
      </c>
      <c r="O695" s="30" t="str">
        <f aca="false">IF(F695="","",IF(AND(H695="",'Vade Sapması'!$D$3&gt;G695),'Vade Sapması'!$D$3-G695,0))</f>
        <v/>
      </c>
      <c r="P695" s="33" t="str">
        <f aca="false">IF(F695="","",F695*J695)</f>
        <v/>
      </c>
      <c r="Q695" s="33" t="str">
        <f aca="false">IF(F695="","",F695*L695)</f>
        <v/>
      </c>
      <c r="R695" s="33" t="str">
        <f aca="false">IF(F695="","",IF(H695="",F695,0))</f>
        <v/>
      </c>
      <c r="S695" s="32" t="str">
        <f aca="false">IF(F695="","",IF(N(O695)=0,"",IF(O695&lt;=30,"1-30",IF(O695&lt;=60,"31-60",IF(O695&lt;=90,"61-90","90+")))))</f>
        <v/>
      </c>
      <c r="T695" s="32" t="str">
        <f aca="false">IF(F695="","",IF(E695="","Diğer",E695))</f>
        <v/>
      </c>
      <c r="U695" s="32" t="str">
        <f aca="false">IF(OR(F695="",C695=""),"",IF(COUNTIF($C$2:C695,C695)=1,MAX($U$1:U694)+1,""))</f>
        <v/>
      </c>
    </row>
    <row r="696" customFormat="false" ht="15" hidden="false" customHeight="false" outlineLevel="0" collapsed="false">
      <c r="A696" s="34"/>
      <c r="B696" s="9"/>
      <c r="C696" s="34"/>
      <c r="D696" s="34"/>
      <c r="E696" s="34"/>
      <c r="F696" s="35"/>
      <c r="G696" s="9"/>
      <c r="H696" s="9"/>
      <c r="I696" s="34"/>
      <c r="J696" s="30" t="str">
        <f aca="false">IF(F696="","",G696-B696)</f>
        <v/>
      </c>
      <c r="K696" s="31" t="str">
        <f aca="false">IF(F696="","",IF(H696&lt;&gt;"",H696,MAX('Vade Sapması'!$D$3,G696)))</f>
        <v/>
      </c>
      <c r="L696" s="30" t="str">
        <f aca="false">IF(F696="","",K696-B696)</f>
        <v/>
      </c>
      <c r="M696" s="30" t="str">
        <f aca="false">IF(F696="","",L696-J696)</f>
        <v/>
      </c>
      <c r="N696" s="32" t="str">
        <f aca="false">IF(F696="","",IF(H696&lt;&gt;"","Kapandı",IF('Vade Sapması'!$D$3&gt;G696,"Açık · vadesi geçti","Açık · vadesi gelmedi")))</f>
        <v/>
      </c>
      <c r="O696" s="30" t="str">
        <f aca="false">IF(F696="","",IF(AND(H696="",'Vade Sapması'!$D$3&gt;G696),'Vade Sapması'!$D$3-G696,0))</f>
        <v/>
      </c>
      <c r="P696" s="33" t="str">
        <f aca="false">IF(F696="","",F696*J696)</f>
        <v/>
      </c>
      <c r="Q696" s="33" t="str">
        <f aca="false">IF(F696="","",F696*L696)</f>
        <v/>
      </c>
      <c r="R696" s="33" t="str">
        <f aca="false">IF(F696="","",IF(H696="",F696,0))</f>
        <v/>
      </c>
      <c r="S696" s="32" t="str">
        <f aca="false">IF(F696="","",IF(N(O696)=0,"",IF(O696&lt;=30,"1-30",IF(O696&lt;=60,"31-60",IF(O696&lt;=90,"61-90","90+")))))</f>
        <v/>
      </c>
      <c r="T696" s="32" t="str">
        <f aca="false">IF(F696="","",IF(E696="","Diğer",E696))</f>
        <v/>
      </c>
      <c r="U696" s="32" t="str">
        <f aca="false">IF(OR(F696="",C696=""),"",IF(COUNTIF($C$2:C696,C696)=1,MAX($U$1:U695)+1,""))</f>
        <v/>
      </c>
    </row>
    <row r="697" customFormat="false" ht="15" hidden="false" customHeight="false" outlineLevel="0" collapsed="false">
      <c r="A697" s="34"/>
      <c r="B697" s="9"/>
      <c r="C697" s="34"/>
      <c r="D697" s="34"/>
      <c r="E697" s="34"/>
      <c r="F697" s="35"/>
      <c r="G697" s="9"/>
      <c r="H697" s="9"/>
      <c r="I697" s="34"/>
      <c r="J697" s="30" t="str">
        <f aca="false">IF(F697="","",G697-B697)</f>
        <v/>
      </c>
      <c r="K697" s="31" t="str">
        <f aca="false">IF(F697="","",IF(H697&lt;&gt;"",H697,MAX('Vade Sapması'!$D$3,G697)))</f>
        <v/>
      </c>
      <c r="L697" s="30" t="str">
        <f aca="false">IF(F697="","",K697-B697)</f>
        <v/>
      </c>
      <c r="M697" s="30" t="str">
        <f aca="false">IF(F697="","",L697-J697)</f>
        <v/>
      </c>
      <c r="N697" s="32" t="str">
        <f aca="false">IF(F697="","",IF(H697&lt;&gt;"","Kapandı",IF('Vade Sapması'!$D$3&gt;G697,"Açık · vadesi geçti","Açık · vadesi gelmedi")))</f>
        <v/>
      </c>
      <c r="O697" s="30" t="str">
        <f aca="false">IF(F697="","",IF(AND(H697="",'Vade Sapması'!$D$3&gt;G697),'Vade Sapması'!$D$3-G697,0))</f>
        <v/>
      </c>
      <c r="P697" s="33" t="str">
        <f aca="false">IF(F697="","",F697*J697)</f>
        <v/>
      </c>
      <c r="Q697" s="33" t="str">
        <f aca="false">IF(F697="","",F697*L697)</f>
        <v/>
      </c>
      <c r="R697" s="33" t="str">
        <f aca="false">IF(F697="","",IF(H697="",F697,0))</f>
        <v/>
      </c>
      <c r="S697" s="32" t="str">
        <f aca="false">IF(F697="","",IF(N(O697)=0,"",IF(O697&lt;=30,"1-30",IF(O697&lt;=60,"31-60",IF(O697&lt;=90,"61-90","90+")))))</f>
        <v/>
      </c>
      <c r="T697" s="32" t="str">
        <f aca="false">IF(F697="","",IF(E697="","Diğer",E697))</f>
        <v/>
      </c>
      <c r="U697" s="32" t="str">
        <f aca="false">IF(OR(F697="",C697=""),"",IF(COUNTIF($C$2:C697,C697)=1,MAX($U$1:U696)+1,""))</f>
        <v/>
      </c>
    </row>
    <row r="698" customFormat="false" ht="15" hidden="false" customHeight="false" outlineLevel="0" collapsed="false">
      <c r="A698" s="34"/>
      <c r="B698" s="9"/>
      <c r="C698" s="34"/>
      <c r="D698" s="34"/>
      <c r="E698" s="34"/>
      <c r="F698" s="35"/>
      <c r="G698" s="9"/>
      <c r="H698" s="9"/>
      <c r="I698" s="34"/>
      <c r="J698" s="30" t="str">
        <f aca="false">IF(F698="","",G698-B698)</f>
        <v/>
      </c>
      <c r="K698" s="31" t="str">
        <f aca="false">IF(F698="","",IF(H698&lt;&gt;"",H698,MAX('Vade Sapması'!$D$3,G698)))</f>
        <v/>
      </c>
      <c r="L698" s="30" t="str">
        <f aca="false">IF(F698="","",K698-B698)</f>
        <v/>
      </c>
      <c r="M698" s="30" t="str">
        <f aca="false">IF(F698="","",L698-J698)</f>
        <v/>
      </c>
      <c r="N698" s="32" t="str">
        <f aca="false">IF(F698="","",IF(H698&lt;&gt;"","Kapandı",IF('Vade Sapması'!$D$3&gt;G698,"Açık · vadesi geçti","Açık · vadesi gelmedi")))</f>
        <v/>
      </c>
      <c r="O698" s="30" t="str">
        <f aca="false">IF(F698="","",IF(AND(H698="",'Vade Sapması'!$D$3&gt;G698),'Vade Sapması'!$D$3-G698,0))</f>
        <v/>
      </c>
      <c r="P698" s="33" t="str">
        <f aca="false">IF(F698="","",F698*J698)</f>
        <v/>
      </c>
      <c r="Q698" s="33" t="str">
        <f aca="false">IF(F698="","",F698*L698)</f>
        <v/>
      </c>
      <c r="R698" s="33" t="str">
        <f aca="false">IF(F698="","",IF(H698="",F698,0))</f>
        <v/>
      </c>
      <c r="S698" s="32" t="str">
        <f aca="false">IF(F698="","",IF(N(O698)=0,"",IF(O698&lt;=30,"1-30",IF(O698&lt;=60,"31-60",IF(O698&lt;=90,"61-90","90+")))))</f>
        <v/>
      </c>
      <c r="T698" s="32" t="str">
        <f aca="false">IF(F698="","",IF(E698="","Diğer",E698))</f>
        <v/>
      </c>
      <c r="U698" s="32" t="str">
        <f aca="false">IF(OR(F698="",C698=""),"",IF(COUNTIF($C$2:C698,C698)=1,MAX($U$1:U697)+1,""))</f>
        <v/>
      </c>
    </row>
    <row r="699" customFormat="false" ht="15" hidden="false" customHeight="false" outlineLevel="0" collapsed="false">
      <c r="A699" s="34"/>
      <c r="B699" s="9"/>
      <c r="C699" s="34"/>
      <c r="D699" s="34"/>
      <c r="E699" s="34"/>
      <c r="F699" s="35"/>
      <c r="G699" s="9"/>
      <c r="H699" s="9"/>
      <c r="I699" s="34"/>
      <c r="J699" s="30" t="str">
        <f aca="false">IF(F699="","",G699-B699)</f>
        <v/>
      </c>
      <c r="K699" s="31" t="str">
        <f aca="false">IF(F699="","",IF(H699&lt;&gt;"",H699,MAX('Vade Sapması'!$D$3,G699)))</f>
        <v/>
      </c>
      <c r="L699" s="30" t="str">
        <f aca="false">IF(F699="","",K699-B699)</f>
        <v/>
      </c>
      <c r="M699" s="30" t="str">
        <f aca="false">IF(F699="","",L699-J699)</f>
        <v/>
      </c>
      <c r="N699" s="32" t="str">
        <f aca="false">IF(F699="","",IF(H699&lt;&gt;"","Kapandı",IF('Vade Sapması'!$D$3&gt;G699,"Açık · vadesi geçti","Açık · vadesi gelmedi")))</f>
        <v/>
      </c>
      <c r="O699" s="30" t="str">
        <f aca="false">IF(F699="","",IF(AND(H699="",'Vade Sapması'!$D$3&gt;G699),'Vade Sapması'!$D$3-G699,0))</f>
        <v/>
      </c>
      <c r="P699" s="33" t="str">
        <f aca="false">IF(F699="","",F699*J699)</f>
        <v/>
      </c>
      <c r="Q699" s="33" t="str">
        <f aca="false">IF(F699="","",F699*L699)</f>
        <v/>
      </c>
      <c r="R699" s="33" t="str">
        <f aca="false">IF(F699="","",IF(H699="",F699,0))</f>
        <v/>
      </c>
      <c r="S699" s="32" t="str">
        <f aca="false">IF(F699="","",IF(N(O699)=0,"",IF(O699&lt;=30,"1-30",IF(O699&lt;=60,"31-60",IF(O699&lt;=90,"61-90","90+")))))</f>
        <v/>
      </c>
      <c r="T699" s="32" t="str">
        <f aca="false">IF(F699="","",IF(E699="","Diğer",E699))</f>
        <v/>
      </c>
      <c r="U699" s="32" t="str">
        <f aca="false">IF(OR(F699="",C699=""),"",IF(COUNTIF($C$2:C699,C699)=1,MAX($U$1:U698)+1,""))</f>
        <v/>
      </c>
    </row>
    <row r="700" customFormat="false" ht="15" hidden="false" customHeight="false" outlineLevel="0" collapsed="false">
      <c r="A700" s="34"/>
      <c r="B700" s="9"/>
      <c r="C700" s="34"/>
      <c r="D700" s="34"/>
      <c r="E700" s="34"/>
      <c r="F700" s="35"/>
      <c r="G700" s="9"/>
      <c r="H700" s="9"/>
      <c r="I700" s="34"/>
      <c r="J700" s="30" t="str">
        <f aca="false">IF(F700="","",G700-B700)</f>
        <v/>
      </c>
      <c r="K700" s="31" t="str">
        <f aca="false">IF(F700="","",IF(H700&lt;&gt;"",H700,MAX('Vade Sapması'!$D$3,G700)))</f>
        <v/>
      </c>
      <c r="L700" s="30" t="str">
        <f aca="false">IF(F700="","",K700-B700)</f>
        <v/>
      </c>
      <c r="M700" s="30" t="str">
        <f aca="false">IF(F700="","",L700-J700)</f>
        <v/>
      </c>
      <c r="N700" s="32" t="str">
        <f aca="false">IF(F700="","",IF(H700&lt;&gt;"","Kapandı",IF('Vade Sapması'!$D$3&gt;G700,"Açık · vadesi geçti","Açık · vadesi gelmedi")))</f>
        <v/>
      </c>
      <c r="O700" s="30" t="str">
        <f aca="false">IF(F700="","",IF(AND(H700="",'Vade Sapması'!$D$3&gt;G700),'Vade Sapması'!$D$3-G700,0))</f>
        <v/>
      </c>
      <c r="P700" s="33" t="str">
        <f aca="false">IF(F700="","",F700*J700)</f>
        <v/>
      </c>
      <c r="Q700" s="33" t="str">
        <f aca="false">IF(F700="","",F700*L700)</f>
        <v/>
      </c>
      <c r="R700" s="33" t="str">
        <f aca="false">IF(F700="","",IF(H700="",F700,0))</f>
        <v/>
      </c>
      <c r="S700" s="32" t="str">
        <f aca="false">IF(F700="","",IF(N(O700)=0,"",IF(O700&lt;=30,"1-30",IF(O700&lt;=60,"31-60",IF(O700&lt;=90,"61-90","90+")))))</f>
        <v/>
      </c>
      <c r="T700" s="32" t="str">
        <f aca="false">IF(F700="","",IF(E700="","Diğer",E700))</f>
        <v/>
      </c>
      <c r="U700" s="32" t="str">
        <f aca="false">IF(OR(F700="",C700=""),"",IF(COUNTIF($C$2:C700,C700)=1,MAX($U$1:U699)+1,""))</f>
        <v/>
      </c>
    </row>
    <row r="701" customFormat="false" ht="15" hidden="false" customHeight="false" outlineLevel="0" collapsed="false">
      <c r="A701" s="34"/>
      <c r="B701" s="9"/>
      <c r="C701" s="34"/>
      <c r="D701" s="34"/>
      <c r="E701" s="34"/>
      <c r="F701" s="35"/>
      <c r="G701" s="9"/>
      <c r="H701" s="9"/>
      <c r="I701" s="34"/>
      <c r="J701" s="30" t="str">
        <f aca="false">IF(F701="","",G701-B701)</f>
        <v/>
      </c>
      <c r="K701" s="31" t="str">
        <f aca="false">IF(F701="","",IF(H701&lt;&gt;"",H701,MAX('Vade Sapması'!$D$3,G701)))</f>
        <v/>
      </c>
      <c r="L701" s="30" t="str">
        <f aca="false">IF(F701="","",K701-B701)</f>
        <v/>
      </c>
      <c r="M701" s="30" t="str">
        <f aca="false">IF(F701="","",L701-J701)</f>
        <v/>
      </c>
      <c r="N701" s="32" t="str">
        <f aca="false">IF(F701="","",IF(H701&lt;&gt;"","Kapandı",IF('Vade Sapması'!$D$3&gt;G701,"Açık · vadesi geçti","Açık · vadesi gelmedi")))</f>
        <v/>
      </c>
      <c r="O701" s="30" t="str">
        <f aca="false">IF(F701="","",IF(AND(H701="",'Vade Sapması'!$D$3&gt;G701),'Vade Sapması'!$D$3-G701,0))</f>
        <v/>
      </c>
      <c r="P701" s="33" t="str">
        <f aca="false">IF(F701="","",F701*J701)</f>
        <v/>
      </c>
      <c r="Q701" s="33" t="str">
        <f aca="false">IF(F701="","",F701*L701)</f>
        <v/>
      </c>
      <c r="R701" s="33" t="str">
        <f aca="false">IF(F701="","",IF(H701="",F701,0))</f>
        <v/>
      </c>
      <c r="S701" s="32" t="str">
        <f aca="false">IF(F701="","",IF(N(O701)=0,"",IF(O701&lt;=30,"1-30",IF(O701&lt;=60,"31-60",IF(O701&lt;=90,"61-90","90+")))))</f>
        <v/>
      </c>
      <c r="T701" s="32" t="str">
        <f aca="false">IF(F701="","",IF(E701="","Diğer",E701))</f>
        <v/>
      </c>
      <c r="U701" s="32" t="str">
        <f aca="false">IF(OR(F701="",C701=""),"",IF(COUNTIF($C$2:C701,C701)=1,MAX($U$1:U700)+1,""))</f>
        <v/>
      </c>
    </row>
    <row r="702" customFormat="false" ht="15" hidden="false" customHeight="false" outlineLevel="0" collapsed="false">
      <c r="A702" s="34"/>
      <c r="B702" s="9"/>
      <c r="C702" s="34"/>
      <c r="D702" s="34"/>
      <c r="E702" s="34"/>
      <c r="F702" s="35"/>
      <c r="G702" s="9"/>
      <c r="H702" s="9"/>
      <c r="I702" s="34"/>
      <c r="J702" s="30" t="str">
        <f aca="false">IF(F702="","",G702-B702)</f>
        <v/>
      </c>
      <c r="K702" s="31" t="str">
        <f aca="false">IF(F702="","",IF(H702&lt;&gt;"",H702,MAX('Vade Sapması'!$D$3,G702)))</f>
        <v/>
      </c>
      <c r="L702" s="30" t="str">
        <f aca="false">IF(F702="","",K702-B702)</f>
        <v/>
      </c>
      <c r="M702" s="30" t="str">
        <f aca="false">IF(F702="","",L702-J702)</f>
        <v/>
      </c>
      <c r="N702" s="32" t="str">
        <f aca="false">IF(F702="","",IF(H702&lt;&gt;"","Kapandı",IF('Vade Sapması'!$D$3&gt;G702,"Açık · vadesi geçti","Açık · vadesi gelmedi")))</f>
        <v/>
      </c>
      <c r="O702" s="30" t="str">
        <f aca="false">IF(F702="","",IF(AND(H702="",'Vade Sapması'!$D$3&gt;G702),'Vade Sapması'!$D$3-G702,0))</f>
        <v/>
      </c>
      <c r="P702" s="33" t="str">
        <f aca="false">IF(F702="","",F702*J702)</f>
        <v/>
      </c>
      <c r="Q702" s="33" t="str">
        <f aca="false">IF(F702="","",F702*L702)</f>
        <v/>
      </c>
      <c r="R702" s="33" t="str">
        <f aca="false">IF(F702="","",IF(H702="",F702,0))</f>
        <v/>
      </c>
      <c r="S702" s="32" t="str">
        <f aca="false">IF(F702="","",IF(N(O702)=0,"",IF(O702&lt;=30,"1-30",IF(O702&lt;=60,"31-60",IF(O702&lt;=90,"61-90","90+")))))</f>
        <v/>
      </c>
      <c r="T702" s="32" t="str">
        <f aca="false">IF(F702="","",IF(E702="","Diğer",E702))</f>
        <v/>
      </c>
      <c r="U702" s="32" t="str">
        <f aca="false">IF(OR(F702="",C702=""),"",IF(COUNTIF($C$2:C702,C702)=1,MAX($U$1:U701)+1,""))</f>
        <v/>
      </c>
    </row>
    <row r="703" customFormat="false" ht="15" hidden="false" customHeight="false" outlineLevel="0" collapsed="false">
      <c r="A703" s="34"/>
      <c r="B703" s="9"/>
      <c r="C703" s="34"/>
      <c r="D703" s="34"/>
      <c r="E703" s="34"/>
      <c r="F703" s="35"/>
      <c r="G703" s="9"/>
      <c r="H703" s="9"/>
      <c r="I703" s="34"/>
      <c r="J703" s="30" t="str">
        <f aca="false">IF(F703="","",G703-B703)</f>
        <v/>
      </c>
      <c r="K703" s="31" t="str">
        <f aca="false">IF(F703="","",IF(H703&lt;&gt;"",H703,MAX('Vade Sapması'!$D$3,G703)))</f>
        <v/>
      </c>
      <c r="L703" s="30" t="str">
        <f aca="false">IF(F703="","",K703-B703)</f>
        <v/>
      </c>
      <c r="M703" s="30" t="str">
        <f aca="false">IF(F703="","",L703-J703)</f>
        <v/>
      </c>
      <c r="N703" s="32" t="str">
        <f aca="false">IF(F703="","",IF(H703&lt;&gt;"","Kapandı",IF('Vade Sapması'!$D$3&gt;G703,"Açık · vadesi geçti","Açık · vadesi gelmedi")))</f>
        <v/>
      </c>
      <c r="O703" s="30" t="str">
        <f aca="false">IF(F703="","",IF(AND(H703="",'Vade Sapması'!$D$3&gt;G703),'Vade Sapması'!$D$3-G703,0))</f>
        <v/>
      </c>
      <c r="P703" s="33" t="str">
        <f aca="false">IF(F703="","",F703*J703)</f>
        <v/>
      </c>
      <c r="Q703" s="33" t="str">
        <f aca="false">IF(F703="","",F703*L703)</f>
        <v/>
      </c>
      <c r="R703" s="33" t="str">
        <f aca="false">IF(F703="","",IF(H703="",F703,0))</f>
        <v/>
      </c>
      <c r="S703" s="32" t="str">
        <f aca="false">IF(F703="","",IF(N(O703)=0,"",IF(O703&lt;=30,"1-30",IF(O703&lt;=60,"31-60",IF(O703&lt;=90,"61-90","90+")))))</f>
        <v/>
      </c>
      <c r="T703" s="32" t="str">
        <f aca="false">IF(F703="","",IF(E703="","Diğer",E703))</f>
        <v/>
      </c>
      <c r="U703" s="32" t="str">
        <f aca="false">IF(OR(F703="",C703=""),"",IF(COUNTIF($C$2:C703,C703)=1,MAX($U$1:U702)+1,""))</f>
        <v/>
      </c>
    </row>
    <row r="704" customFormat="false" ht="15" hidden="false" customHeight="false" outlineLevel="0" collapsed="false">
      <c r="A704" s="34"/>
      <c r="B704" s="9"/>
      <c r="C704" s="34"/>
      <c r="D704" s="34"/>
      <c r="E704" s="34"/>
      <c r="F704" s="35"/>
      <c r="G704" s="9"/>
      <c r="H704" s="9"/>
      <c r="I704" s="34"/>
      <c r="J704" s="30" t="str">
        <f aca="false">IF(F704="","",G704-B704)</f>
        <v/>
      </c>
      <c r="K704" s="31" t="str">
        <f aca="false">IF(F704="","",IF(H704&lt;&gt;"",H704,MAX('Vade Sapması'!$D$3,G704)))</f>
        <v/>
      </c>
      <c r="L704" s="30" t="str">
        <f aca="false">IF(F704="","",K704-B704)</f>
        <v/>
      </c>
      <c r="M704" s="30" t="str">
        <f aca="false">IF(F704="","",L704-J704)</f>
        <v/>
      </c>
      <c r="N704" s="32" t="str">
        <f aca="false">IF(F704="","",IF(H704&lt;&gt;"","Kapandı",IF('Vade Sapması'!$D$3&gt;G704,"Açık · vadesi geçti","Açık · vadesi gelmedi")))</f>
        <v/>
      </c>
      <c r="O704" s="30" t="str">
        <f aca="false">IF(F704="","",IF(AND(H704="",'Vade Sapması'!$D$3&gt;G704),'Vade Sapması'!$D$3-G704,0))</f>
        <v/>
      </c>
      <c r="P704" s="33" t="str">
        <f aca="false">IF(F704="","",F704*J704)</f>
        <v/>
      </c>
      <c r="Q704" s="33" t="str">
        <f aca="false">IF(F704="","",F704*L704)</f>
        <v/>
      </c>
      <c r="R704" s="33" t="str">
        <f aca="false">IF(F704="","",IF(H704="",F704,0))</f>
        <v/>
      </c>
      <c r="S704" s="32" t="str">
        <f aca="false">IF(F704="","",IF(N(O704)=0,"",IF(O704&lt;=30,"1-30",IF(O704&lt;=60,"31-60",IF(O704&lt;=90,"61-90","90+")))))</f>
        <v/>
      </c>
      <c r="T704" s="32" t="str">
        <f aca="false">IF(F704="","",IF(E704="","Diğer",E704))</f>
        <v/>
      </c>
      <c r="U704" s="32" t="str">
        <f aca="false">IF(OR(F704="",C704=""),"",IF(COUNTIF($C$2:C704,C704)=1,MAX($U$1:U703)+1,""))</f>
        <v/>
      </c>
    </row>
    <row r="705" customFormat="false" ht="15" hidden="false" customHeight="false" outlineLevel="0" collapsed="false">
      <c r="A705" s="34"/>
      <c r="B705" s="9"/>
      <c r="C705" s="34"/>
      <c r="D705" s="34"/>
      <c r="E705" s="34"/>
      <c r="F705" s="35"/>
      <c r="G705" s="9"/>
      <c r="H705" s="9"/>
      <c r="I705" s="34"/>
      <c r="J705" s="30" t="str">
        <f aca="false">IF(F705="","",G705-B705)</f>
        <v/>
      </c>
      <c r="K705" s="31" t="str">
        <f aca="false">IF(F705="","",IF(H705&lt;&gt;"",H705,MAX('Vade Sapması'!$D$3,G705)))</f>
        <v/>
      </c>
      <c r="L705" s="30" t="str">
        <f aca="false">IF(F705="","",K705-B705)</f>
        <v/>
      </c>
      <c r="M705" s="30" t="str">
        <f aca="false">IF(F705="","",L705-J705)</f>
        <v/>
      </c>
      <c r="N705" s="32" t="str">
        <f aca="false">IF(F705="","",IF(H705&lt;&gt;"","Kapandı",IF('Vade Sapması'!$D$3&gt;G705,"Açık · vadesi geçti","Açık · vadesi gelmedi")))</f>
        <v/>
      </c>
      <c r="O705" s="30" t="str">
        <f aca="false">IF(F705="","",IF(AND(H705="",'Vade Sapması'!$D$3&gt;G705),'Vade Sapması'!$D$3-G705,0))</f>
        <v/>
      </c>
      <c r="P705" s="33" t="str">
        <f aca="false">IF(F705="","",F705*J705)</f>
        <v/>
      </c>
      <c r="Q705" s="33" t="str">
        <f aca="false">IF(F705="","",F705*L705)</f>
        <v/>
      </c>
      <c r="R705" s="33" t="str">
        <f aca="false">IF(F705="","",IF(H705="",F705,0))</f>
        <v/>
      </c>
      <c r="S705" s="32" t="str">
        <f aca="false">IF(F705="","",IF(N(O705)=0,"",IF(O705&lt;=30,"1-30",IF(O705&lt;=60,"31-60",IF(O705&lt;=90,"61-90","90+")))))</f>
        <v/>
      </c>
      <c r="T705" s="32" t="str">
        <f aca="false">IF(F705="","",IF(E705="","Diğer",E705))</f>
        <v/>
      </c>
      <c r="U705" s="32" t="str">
        <f aca="false">IF(OR(F705="",C705=""),"",IF(COUNTIF($C$2:C705,C705)=1,MAX($U$1:U704)+1,""))</f>
        <v/>
      </c>
    </row>
    <row r="706" customFormat="false" ht="15" hidden="false" customHeight="false" outlineLevel="0" collapsed="false">
      <c r="A706" s="34"/>
      <c r="B706" s="9"/>
      <c r="C706" s="34"/>
      <c r="D706" s="34"/>
      <c r="E706" s="34"/>
      <c r="F706" s="35"/>
      <c r="G706" s="9"/>
      <c r="H706" s="9"/>
      <c r="I706" s="34"/>
      <c r="J706" s="30" t="str">
        <f aca="false">IF(F706="","",G706-B706)</f>
        <v/>
      </c>
      <c r="K706" s="31" t="str">
        <f aca="false">IF(F706="","",IF(H706&lt;&gt;"",H706,MAX('Vade Sapması'!$D$3,G706)))</f>
        <v/>
      </c>
      <c r="L706" s="30" t="str">
        <f aca="false">IF(F706="","",K706-B706)</f>
        <v/>
      </c>
      <c r="M706" s="30" t="str">
        <f aca="false">IF(F706="","",L706-J706)</f>
        <v/>
      </c>
      <c r="N706" s="32" t="str">
        <f aca="false">IF(F706="","",IF(H706&lt;&gt;"","Kapandı",IF('Vade Sapması'!$D$3&gt;G706,"Açık · vadesi geçti","Açık · vadesi gelmedi")))</f>
        <v/>
      </c>
      <c r="O706" s="30" t="str">
        <f aca="false">IF(F706="","",IF(AND(H706="",'Vade Sapması'!$D$3&gt;G706),'Vade Sapması'!$D$3-G706,0))</f>
        <v/>
      </c>
      <c r="P706" s="33" t="str">
        <f aca="false">IF(F706="","",F706*J706)</f>
        <v/>
      </c>
      <c r="Q706" s="33" t="str">
        <f aca="false">IF(F706="","",F706*L706)</f>
        <v/>
      </c>
      <c r="R706" s="33" t="str">
        <f aca="false">IF(F706="","",IF(H706="",F706,0))</f>
        <v/>
      </c>
      <c r="S706" s="32" t="str">
        <f aca="false">IF(F706="","",IF(N(O706)=0,"",IF(O706&lt;=30,"1-30",IF(O706&lt;=60,"31-60",IF(O706&lt;=90,"61-90","90+")))))</f>
        <v/>
      </c>
      <c r="T706" s="32" t="str">
        <f aca="false">IF(F706="","",IF(E706="","Diğer",E706))</f>
        <v/>
      </c>
      <c r="U706" s="32" t="str">
        <f aca="false">IF(OR(F706="",C706=""),"",IF(COUNTIF($C$2:C706,C706)=1,MAX($U$1:U705)+1,""))</f>
        <v/>
      </c>
    </row>
    <row r="707" customFormat="false" ht="15" hidden="false" customHeight="false" outlineLevel="0" collapsed="false">
      <c r="A707" s="34"/>
      <c r="B707" s="9"/>
      <c r="C707" s="34"/>
      <c r="D707" s="34"/>
      <c r="E707" s="34"/>
      <c r="F707" s="35"/>
      <c r="G707" s="9"/>
      <c r="H707" s="9"/>
      <c r="I707" s="34"/>
      <c r="J707" s="30" t="str">
        <f aca="false">IF(F707="","",G707-B707)</f>
        <v/>
      </c>
      <c r="K707" s="31" t="str">
        <f aca="false">IF(F707="","",IF(H707&lt;&gt;"",H707,MAX('Vade Sapması'!$D$3,G707)))</f>
        <v/>
      </c>
      <c r="L707" s="30" t="str">
        <f aca="false">IF(F707="","",K707-B707)</f>
        <v/>
      </c>
      <c r="M707" s="30" t="str">
        <f aca="false">IF(F707="","",L707-J707)</f>
        <v/>
      </c>
      <c r="N707" s="32" t="str">
        <f aca="false">IF(F707="","",IF(H707&lt;&gt;"","Kapandı",IF('Vade Sapması'!$D$3&gt;G707,"Açık · vadesi geçti","Açık · vadesi gelmedi")))</f>
        <v/>
      </c>
      <c r="O707" s="30" t="str">
        <f aca="false">IF(F707="","",IF(AND(H707="",'Vade Sapması'!$D$3&gt;G707),'Vade Sapması'!$D$3-G707,0))</f>
        <v/>
      </c>
      <c r="P707" s="33" t="str">
        <f aca="false">IF(F707="","",F707*J707)</f>
        <v/>
      </c>
      <c r="Q707" s="33" t="str">
        <f aca="false">IF(F707="","",F707*L707)</f>
        <v/>
      </c>
      <c r="R707" s="33" t="str">
        <f aca="false">IF(F707="","",IF(H707="",F707,0))</f>
        <v/>
      </c>
      <c r="S707" s="32" t="str">
        <f aca="false">IF(F707="","",IF(N(O707)=0,"",IF(O707&lt;=30,"1-30",IF(O707&lt;=60,"31-60",IF(O707&lt;=90,"61-90","90+")))))</f>
        <v/>
      </c>
      <c r="T707" s="32" t="str">
        <f aca="false">IF(F707="","",IF(E707="","Diğer",E707))</f>
        <v/>
      </c>
      <c r="U707" s="32" t="str">
        <f aca="false">IF(OR(F707="",C707=""),"",IF(COUNTIF($C$2:C707,C707)=1,MAX($U$1:U706)+1,""))</f>
        <v/>
      </c>
    </row>
    <row r="708" customFormat="false" ht="15" hidden="false" customHeight="false" outlineLevel="0" collapsed="false">
      <c r="A708" s="34"/>
      <c r="B708" s="9"/>
      <c r="C708" s="34"/>
      <c r="D708" s="34"/>
      <c r="E708" s="34"/>
      <c r="F708" s="35"/>
      <c r="G708" s="9"/>
      <c r="H708" s="9"/>
      <c r="I708" s="34"/>
      <c r="J708" s="30" t="str">
        <f aca="false">IF(F708="","",G708-B708)</f>
        <v/>
      </c>
      <c r="K708" s="31" t="str">
        <f aca="false">IF(F708="","",IF(H708&lt;&gt;"",H708,MAX('Vade Sapması'!$D$3,G708)))</f>
        <v/>
      </c>
      <c r="L708" s="30" t="str">
        <f aca="false">IF(F708="","",K708-B708)</f>
        <v/>
      </c>
      <c r="M708" s="30" t="str">
        <f aca="false">IF(F708="","",L708-J708)</f>
        <v/>
      </c>
      <c r="N708" s="32" t="str">
        <f aca="false">IF(F708="","",IF(H708&lt;&gt;"","Kapandı",IF('Vade Sapması'!$D$3&gt;G708,"Açık · vadesi geçti","Açık · vadesi gelmedi")))</f>
        <v/>
      </c>
      <c r="O708" s="30" t="str">
        <f aca="false">IF(F708="","",IF(AND(H708="",'Vade Sapması'!$D$3&gt;G708),'Vade Sapması'!$D$3-G708,0))</f>
        <v/>
      </c>
      <c r="P708" s="33" t="str">
        <f aca="false">IF(F708="","",F708*J708)</f>
        <v/>
      </c>
      <c r="Q708" s="33" t="str">
        <f aca="false">IF(F708="","",F708*L708)</f>
        <v/>
      </c>
      <c r="R708" s="33" t="str">
        <f aca="false">IF(F708="","",IF(H708="",F708,0))</f>
        <v/>
      </c>
      <c r="S708" s="32" t="str">
        <f aca="false">IF(F708="","",IF(N(O708)=0,"",IF(O708&lt;=30,"1-30",IF(O708&lt;=60,"31-60",IF(O708&lt;=90,"61-90","90+")))))</f>
        <v/>
      </c>
      <c r="T708" s="32" t="str">
        <f aca="false">IF(F708="","",IF(E708="","Diğer",E708))</f>
        <v/>
      </c>
      <c r="U708" s="32" t="str">
        <f aca="false">IF(OR(F708="",C708=""),"",IF(COUNTIF($C$2:C708,C708)=1,MAX($U$1:U707)+1,""))</f>
        <v/>
      </c>
    </row>
    <row r="709" customFormat="false" ht="15" hidden="false" customHeight="false" outlineLevel="0" collapsed="false">
      <c r="A709" s="34"/>
      <c r="B709" s="9"/>
      <c r="C709" s="34"/>
      <c r="D709" s="34"/>
      <c r="E709" s="34"/>
      <c r="F709" s="35"/>
      <c r="G709" s="9"/>
      <c r="H709" s="9"/>
      <c r="I709" s="34"/>
      <c r="J709" s="30" t="str">
        <f aca="false">IF(F709="","",G709-B709)</f>
        <v/>
      </c>
      <c r="K709" s="31" t="str">
        <f aca="false">IF(F709="","",IF(H709&lt;&gt;"",H709,MAX('Vade Sapması'!$D$3,G709)))</f>
        <v/>
      </c>
      <c r="L709" s="30" t="str">
        <f aca="false">IF(F709="","",K709-B709)</f>
        <v/>
      </c>
      <c r="M709" s="30" t="str">
        <f aca="false">IF(F709="","",L709-J709)</f>
        <v/>
      </c>
      <c r="N709" s="32" t="str">
        <f aca="false">IF(F709="","",IF(H709&lt;&gt;"","Kapandı",IF('Vade Sapması'!$D$3&gt;G709,"Açık · vadesi geçti","Açık · vadesi gelmedi")))</f>
        <v/>
      </c>
      <c r="O709" s="30" t="str">
        <f aca="false">IF(F709="","",IF(AND(H709="",'Vade Sapması'!$D$3&gt;G709),'Vade Sapması'!$D$3-G709,0))</f>
        <v/>
      </c>
      <c r="P709" s="33" t="str">
        <f aca="false">IF(F709="","",F709*J709)</f>
        <v/>
      </c>
      <c r="Q709" s="33" t="str">
        <f aca="false">IF(F709="","",F709*L709)</f>
        <v/>
      </c>
      <c r="R709" s="33" t="str">
        <f aca="false">IF(F709="","",IF(H709="",F709,0))</f>
        <v/>
      </c>
      <c r="S709" s="32" t="str">
        <f aca="false">IF(F709="","",IF(N(O709)=0,"",IF(O709&lt;=30,"1-30",IF(O709&lt;=60,"31-60",IF(O709&lt;=90,"61-90","90+")))))</f>
        <v/>
      </c>
      <c r="T709" s="32" t="str">
        <f aca="false">IF(F709="","",IF(E709="","Diğer",E709))</f>
        <v/>
      </c>
      <c r="U709" s="32" t="str">
        <f aca="false">IF(OR(F709="",C709=""),"",IF(COUNTIF($C$2:C709,C709)=1,MAX($U$1:U708)+1,""))</f>
        <v/>
      </c>
    </row>
    <row r="710" customFormat="false" ht="15" hidden="false" customHeight="false" outlineLevel="0" collapsed="false">
      <c r="A710" s="34"/>
      <c r="B710" s="9"/>
      <c r="C710" s="34"/>
      <c r="D710" s="34"/>
      <c r="E710" s="34"/>
      <c r="F710" s="35"/>
      <c r="G710" s="9"/>
      <c r="H710" s="9"/>
      <c r="I710" s="34"/>
      <c r="J710" s="30" t="str">
        <f aca="false">IF(F710="","",G710-B710)</f>
        <v/>
      </c>
      <c r="K710" s="31" t="str">
        <f aca="false">IF(F710="","",IF(H710&lt;&gt;"",H710,MAX('Vade Sapması'!$D$3,G710)))</f>
        <v/>
      </c>
      <c r="L710" s="30" t="str">
        <f aca="false">IF(F710="","",K710-B710)</f>
        <v/>
      </c>
      <c r="M710" s="30" t="str">
        <f aca="false">IF(F710="","",L710-J710)</f>
        <v/>
      </c>
      <c r="N710" s="32" t="str">
        <f aca="false">IF(F710="","",IF(H710&lt;&gt;"","Kapandı",IF('Vade Sapması'!$D$3&gt;G710,"Açık · vadesi geçti","Açık · vadesi gelmedi")))</f>
        <v/>
      </c>
      <c r="O710" s="30" t="str">
        <f aca="false">IF(F710="","",IF(AND(H710="",'Vade Sapması'!$D$3&gt;G710),'Vade Sapması'!$D$3-G710,0))</f>
        <v/>
      </c>
      <c r="P710" s="33" t="str">
        <f aca="false">IF(F710="","",F710*J710)</f>
        <v/>
      </c>
      <c r="Q710" s="33" t="str">
        <f aca="false">IF(F710="","",F710*L710)</f>
        <v/>
      </c>
      <c r="R710" s="33" t="str">
        <f aca="false">IF(F710="","",IF(H710="",F710,0))</f>
        <v/>
      </c>
      <c r="S710" s="32" t="str">
        <f aca="false">IF(F710="","",IF(N(O710)=0,"",IF(O710&lt;=30,"1-30",IF(O710&lt;=60,"31-60",IF(O710&lt;=90,"61-90","90+")))))</f>
        <v/>
      </c>
      <c r="T710" s="32" t="str">
        <f aca="false">IF(F710="","",IF(E710="","Diğer",E710))</f>
        <v/>
      </c>
      <c r="U710" s="32" t="str">
        <f aca="false">IF(OR(F710="",C710=""),"",IF(COUNTIF($C$2:C710,C710)=1,MAX($U$1:U709)+1,""))</f>
        <v/>
      </c>
    </row>
    <row r="711" customFormat="false" ht="15" hidden="false" customHeight="false" outlineLevel="0" collapsed="false">
      <c r="A711" s="34"/>
      <c r="B711" s="9"/>
      <c r="C711" s="34"/>
      <c r="D711" s="34"/>
      <c r="E711" s="34"/>
      <c r="F711" s="35"/>
      <c r="G711" s="9"/>
      <c r="H711" s="9"/>
      <c r="I711" s="34"/>
      <c r="J711" s="30" t="str">
        <f aca="false">IF(F711="","",G711-B711)</f>
        <v/>
      </c>
      <c r="K711" s="31" t="str">
        <f aca="false">IF(F711="","",IF(H711&lt;&gt;"",H711,MAX('Vade Sapması'!$D$3,G711)))</f>
        <v/>
      </c>
      <c r="L711" s="30" t="str">
        <f aca="false">IF(F711="","",K711-B711)</f>
        <v/>
      </c>
      <c r="M711" s="30" t="str">
        <f aca="false">IF(F711="","",L711-J711)</f>
        <v/>
      </c>
      <c r="N711" s="32" t="str">
        <f aca="false">IF(F711="","",IF(H711&lt;&gt;"","Kapandı",IF('Vade Sapması'!$D$3&gt;G711,"Açık · vadesi geçti","Açık · vadesi gelmedi")))</f>
        <v/>
      </c>
      <c r="O711" s="30" t="str">
        <f aca="false">IF(F711="","",IF(AND(H711="",'Vade Sapması'!$D$3&gt;G711),'Vade Sapması'!$D$3-G711,0))</f>
        <v/>
      </c>
      <c r="P711" s="33" t="str">
        <f aca="false">IF(F711="","",F711*J711)</f>
        <v/>
      </c>
      <c r="Q711" s="33" t="str">
        <f aca="false">IF(F711="","",F711*L711)</f>
        <v/>
      </c>
      <c r="R711" s="33" t="str">
        <f aca="false">IF(F711="","",IF(H711="",F711,0))</f>
        <v/>
      </c>
      <c r="S711" s="32" t="str">
        <f aca="false">IF(F711="","",IF(N(O711)=0,"",IF(O711&lt;=30,"1-30",IF(O711&lt;=60,"31-60",IF(O711&lt;=90,"61-90","90+")))))</f>
        <v/>
      </c>
      <c r="T711" s="32" t="str">
        <f aca="false">IF(F711="","",IF(E711="","Diğer",E711))</f>
        <v/>
      </c>
      <c r="U711" s="32" t="str">
        <f aca="false">IF(OR(F711="",C711=""),"",IF(COUNTIF($C$2:C711,C711)=1,MAX($U$1:U710)+1,""))</f>
        <v/>
      </c>
    </row>
    <row r="712" customFormat="false" ht="15" hidden="false" customHeight="false" outlineLevel="0" collapsed="false">
      <c r="A712" s="34"/>
      <c r="B712" s="9"/>
      <c r="C712" s="34"/>
      <c r="D712" s="34"/>
      <c r="E712" s="34"/>
      <c r="F712" s="35"/>
      <c r="G712" s="9"/>
      <c r="H712" s="9"/>
      <c r="I712" s="34"/>
      <c r="J712" s="30" t="str">
        <f aca="false">IF(F712="","",G712-B712)</f>
        <v/>
      </c>
      <c r="K712" s="31" t="str">
        <f aca="false">IF(F712="","",IF(H712&lt;&gt;"",H712,MAX('Vade Sapması'!$D$3,G712)))</f>
        <v/>
      </c>
      <c r="L712" s="30" t="str">
        <f aca="false">IF(F712="","",K712-B712)</f>
        <v/>
      </c>
      <c r="M712" s="30" t="str">
        <f aca="false">IF(F712="","",L712-J712)</f>
        <v/>
      </c>
      <c r="N712" s="32" t="str">
        <f aca="false">IF(F712="","",IF(H712&lt;&gt;"","Kapandı",IF('Vade Sapması'!$D$3&gt;G712,"Açık · vadesi geçti","Açık · vadesi gelmedi")))</f>
        <v/>
      </c>
      <c r="O712" s="30" t="str">
        <f aca="false">IF(F712="","",IF(AND(H712="",'Vade Sapması'!$D$3&gt;G712),'Vade Sapması'!$D$3-G712,0))</f>
        <v/>
      </c>
      <c r="P712" s="33" t="str">
        <f aca="false">IF(F712="","",F712*J712)</f>
        <v/>
      </c>
      <c r="Q712" s="33" t="str">
        <f aca="false">IF(F712="","",F712*L712)</f>
        <v/>
      </c>
      <c r="R712" s="33" t="str">
        <f aca="false">IF(F712="","",IF(H712="",F712,0))</f>
        <v/>
      </c>
      <c r="S712" s="32" t="str">
        <f aca="false">IF(F712="","",IF(N(O712)=0,"",IF(O712&lt;=30,"1-30",IF(O712&lt;=60,"31-60",IF(O712&lt;=90,"61-90","90+")))))</f>
        <v/>
      </c>
      <c r="T712" s="32" t="str">
        <f aca="false">IF(F712="","",IF(E712="","Diğer",E712))</f>
        <v/>
      </c>
      <c r="U712" s="32" t="str">
        <f aca="false">IF(OR(F712="",C712=""),"",IF(COUNTIF($C$2:C712,C712)=1,MAX($U$1:U711)+1,""))</f>
        <v/>
      </c>
    </row>
    <row r="713" customFormat="false" ht="15" hidden="false" customHeight="false" outlineLevel="0" collapsed="false">
      <c r="A713" s="34"/>
      <c r="B713" s="9"/>
      <c r="C713" s="34"/>
      <c r="D713" s="34"/>
      <c r="E713" s="34"/>
      <c r="F713" s="35"/>
      <c r="G713" s="9"/>
      <c r="H713" s="9"/>
      <c r="I713" s="34"/>
      <c r="J713" s="30" t="str">
        <f aca="false">IF(F713="","",G713-B713)</f>
        <v/>
      </c>
      <c r="K713" s="31" t="str">
        <f aca="false">IF(F713="","",IF(H713&lt;&gt;"",H713,MAX('Vade Sapması'!$D$3,G713)))</f>
        <v/>
      </c>
      <c r="L713" s="30" t="str">
        <f aca="false">IF(F713="","",K713-B713)</f>
        <v/>
      </c>
      <c r="M713" s="30" t="str">
        <f aca="false">IF(F713="","",L713-J713)</f>
        <v/>
      </c>
      <c r="N713" s="32" t="str">
        <f aca="false">IF(F713="","",IF(H713&lt;&gt;"","Kapandı",IF('Vade Sapması'!$D$3&gt;G713,"Açık · vadesi geçti","Açık · vadesi gelmedi")))</f>
        <v/>
      </c>
      <c r="O713" s="30" t="str">
        <f aca="false">IF(F713="","",IF(AND(H713="",'Vade Sapması'!$D$3&gt;G713),'Vade Sapması'!$D$3-G713,0))</f>
        <v/>
      </c>
      <c r="P713" s="33" t="str">
        <f aca="false">IF(F713="","",F713*J713)</f>
        <v/>
      </c>
      <c r="Q713" s="33" t="str">
        <f aca="false">IF(F713="","",F713*L713)</f>
        <v/>
      </c>
      <c r="R713" s="33" t="str">
        <f aca="false">IF(F713="","",IF(H713="",F713,0))</f>
        <v/>
      </c>
      <c r="S713" s="32" t="str">
        <f aca="false">IF(F713="","",IF(N(O713)=0,"",IF(O713&lt;=30,"1-30",IF(O713&lt;=60,"31-60",IF(O713&lt;=90,"61-90","90+")))))</f>
        <v/>
      </c>
      <c r="T713" s="32" t="str">
        <f aca="false">IF(F713="","",IF(E713="","Diğer",E713))</f>
        <v/>
      </c>
      <c r="U713" s="32" t="str">
        <f aca="false">IF(OR(F713="",C713=""),"",IF(COUNTIF($C$2:C713,C713)=1,MAX($U$1:U712)+1,""))</f>
        <v/>
      </c>
    </row>
    <row r="714" customFormat="false" ht="15" hidden="false" customHeight="false" outlineLevel="0" collapsed="false">
      <c r="A714" s="34"/>
      <c r="B714" s="9"/>
      <c r="C714" s="34"/>
      <c r="D714" s="34"/>
      <c r="E714" s="34"/>
      <c r="F714" s="35"/>
      <c r="G714" s="9"/>
      <c r="H714" s="9"/>
      <c r="I714" s="34"/>
      <c r="J714" s="30" t="str">
        <f aca="false">IF(F714="","",G714-B714)</f>
        <v/>
      </c>
      <c r="K714" s="31" t="str">
        <f aca="false">IF(F714="","",IF(H714&lt;&gt;"",H714,MAX('Vade Sapması'!$D$3,G714)))</f>
        <v/>
      </c>
      <c r="L714" s="30" t="str">
        <f aca="false">IF(F714="","",K714-B714)</f>
        <v/>
      </c>
      <c r="M714" s="30" t="str">
        <f aca="false">IF(F714="","",L714-J714)</f>
        <v/>
      </c>
      <c r="N714" s="32" t="str">
        <f aca="false">IF(F714="","",IF(H714&lt;&gt;"","Kapandı",IF('Vade Sapması'!$D$3&gt;G714,"Açık · vadesi geçti","Açık · vadesi gelmedi")))</f>
        <v/>
      </c>
      <c r="O714" s="30" t="str">
        <f aca="false">IF(F714="","",IF(AND(H714="",'Vade Sapması'!$D$3&gt;G714),'Vade Sapması'!$D$3-G714,0))</f>
        <v/>
      </c>
      <c r="P714" s="33" t="str">
        <f aca="false">IF(F714="","",F714*J714)</f>
        <v/>
      </c>
      <c r="Q714" s="33" t="str">
        <f aca="false">IF(F714="","",F714*L714)</f>
        <v/>
      </c>
      <c r="R714" s="33" t="str">
        <f aca="false">IF(F714="","",IF(H714="",F714,0))</f>
        <v/>
      </c>
      <c r="S714" s="32" t="str">
        <f aca="false">IF(F714="","",IF(N(O714)=0,"",IF(O714&lt;=30,"1-30",IF(O714&lt;=60,"31-60",IF(O714&lt;=90,"61-90","90+")))))</f>
        <v/>
      </c>
      <c r="T714" s="32" t="str">
        <f aca="false">IF(F714="","",IF(E714="","Diğer",E714))</f>
        <v/>
      </c>
      <c r="U714" s="32" t="str">
        <f aca="false">IF(OR(F714="",C714=""),"",IF(COUNTIF($C$2:C714,C714)=1,MAX($U$1:U713)+1,""))</f>
        <v/>
      </c>
    </row>
    <row r="715" customFormat="false" ht="15" hidden="false" customHeight="false" outlineLevel="0" collapsed="false">
      <c r="A715" s="34"/>
      <c r="B715" s="9"/>
      <c r="C715" s="34"/>
      <c r="D715" s="34"/>
      <c r="E715" s="34"/>
      <c r="F715" s="35"/>
      <c r="G715" s="9"/>
      <c r="H715" s="9"/>
      <c r="I715" s="34"/>
      <c r="J715" s="30" t="str">
        <f aca="false">IF(F715="","",G715-B715)</f>
        <v/>
      </c>
      <c r="K715" s="31" t="str">
        <f aca="false">IF(F715="","",IF(H715&lt;&gt;"",H715,MAX('Vade Sapması'!$D$3,G715)))</f>
        <v/>
      </c>
      <c r="L715" s="30" t="str">
        <f aca="false">IF(F715="","",K715-B715)</f>
        <v/>
      </c>
      <c r="M715" s="30" t="str">
        <f aca="false">IF(F715="","",L715-J715)</f>
        <v/>
      </c>
      <c r="N715" s="32" t="str">
        <f aca="false">IF(F715="","",IF(H715&lt;&gt;"","Kapandı",IF('Vade Sapması'!$D$3&gt;G715,"Açık · vadesi geçti","Açık · vadesi gelmedi")))</f>
        <v/>
      </c>
      <c r="O715" s="30" t="str">
        <f aca="false">IF(F715="","",IF(AND(H715="",'Vade Sapması'!$D$3&gt;G715),'Vade Sapması'!$D$3-G715,0))</f>
        <v/>
      </c>
      <c r="P715" s="33" t="str">
        <f aca="false">IF(F715="","",F715*J715)</f>
        <v/>
      </c>
      <c r="Q715" s="33" t="str">
        <f aca="false">IF(F715="","",F715*L715)</f>
        <v/>
      </c>
      <c r="R715" s="33" t="str">
        <f aca="false">IF(F715="","",IF(H715="",F715,0))</f>
        <v/>
      </c>
      <c r="S715" s="32" t="str">
        <f aca="false">IF(F715="","",IF(N(O715)=0,"",IF(O715&lt;=30,"1-30",IF(O715&lt;=60,"31-60",IF(O715&lt;=90,"61-90","90+")))))</f>
        <v/>
      </c>
      <c r="T715" s="32" t="str">
        <f aca="false">IF(F715="","",IF(E715="","Diğer",E715))</f>
        <v/>
      </c>
      <c r="U715" s="32" t="str">
        <f aca="false">IF(OR(F715="",C715=""),"",IF(COUNTIF($C$2:C715,C715)=1,MAX($U$1:U714)+1,""))</f>
        <v/>
      </c>
    </row>
    <row r="716" customFormat="false" ht="15" hidden="false" customHeight="false" outlineLevel="0" collapsed="false">
      <c r="A716" s="34"/>
      <c r="B716" s="9"/>
      <c r="C716" s="34"/>
      <c r="D716" s="34"/>
      <c r="E716" s="34"/>
      <c r="F716" s="35"/>
      <c r="G716" s="9"/>
      <c r="H716" s="9"/>
      <c r="I716" s="34"/>
      <c r="J716" s="30" t="str">
        <f aca="false">IF(F716="","",G716-B716)</f>
        <v/>
      </c>
      <c r="K716" s="31" t="str">
        <f aca="false">IF(F716="","",IF(H716&lt;&gt;"",H716,MAX('Vade Sapması'!$D$3,G716)))</f>
        <v/>
      </c>
      <c r="L716" s="30" t="str">
        <f aca="false">IF(F716="","",K716-B716)</f>
        <v/>
      </c>
      <c r="M716" s="30" t="str">
        <f aca="false">IF(F716="","",L716-J716)</f>
        <v/>
      </c>
      <c r="N716" s="32" t="str">
        <f aca="false">IF(F716="","",IF(H716&lt;&gt;"","Kapandı",IF('Vade Sapması'!$D$3&gt;G716,"Açık · vadesi geçti","Açık · vadesi gelmedi")))</f>
        <v/>
      </c>
      <c r="O716" s="30" t="str">
        <f aca="false">IF(F716="","",IF(AND(H716="",'Vade Sapması'!$D$3&gt;G716),'Vade Sapması'!$D$3-G716,0))</f>
        <v/>
      </c>
      <c r="P716" s="33" t="str">
        <f aca="false">IF(F716="","",F716*J716)</f>
        <v/>
      </c>
      <c r="Q716" s="33" t="str">
        <f aca="false">IF(F716="","",F716*L716)</f>
        <v/>
      </c>
      <c r="R716" s="33" t="str">
        <f aca="false">IF(F716="","",IF(H716="",F716,0))</f>
        <v/>
      </c>
      <c r="S716" s="32" t="str">
        <f aca="false">IF(F716="","",IF(N(O716)=0,"",IF(O716&lt;=30,"1-30",IF(O716&lt;=60,"31-60",IF(O716&lt;=90,"61-90","90+")))))</f>
        <v/>
      </c>
      <c r="T716" s="32" t="str">
        <f aca="false">IF(F716="","",IF(E716="","Diğer",E716))</f>
        <v/>
      </c>
      <c r="U716" s="32" t="str">
        <f aca="false">IF(OR(F716="",C716=""),"",IF(COUNTIF($C$2:C716,C716)=1,MAX($U$1:U715)+1,""))</f>
        <v/>
      </c>
    </row>
    <row r="717" customFormat="false" ht="15" hidden="false" customHeight="false" outlineLevel="0" collapsed="false">
      <c r="A717" s="34"/>
      <c r="B717" s="9"/>
      <c r="C717" s="34"/>
      <c r="D717" s="34"/>
      <c r="E717" s="34"/>
      <c r="F717" s="35"/>
      <c r="G717" s="9"/>
      <c r="H717" s="9"/>
      <c r="I717" s="34"/>
      <c r="J717" s="30" t="str">
        <f aca="false">IF(F717="","",G717-B717)</f>
        <v/>
      </c>
      <c r="K717" s="31" t="str">
        <f aca="false">IF(F717="","",IF(H717&lt;&gt;"",H717,MAX('Vade Sapması'!$D$3,G717)))</f>
        <v/>
      </c>
      <c r="L717" s="30" t="str">
        <f aca="false">IF(F717="","",K717-B717)</f>
        <v/>
      </c>
      <c r="M717" s="30" t="str">
        <f aca="false">IF(F717="","",L717-J717)</f>
        <v/>
      </c>
      <c r="N717" s="32" t="str">
        <f aca="false">IF(F717="","",IF(H717&lt;&gt;"","Kapandı",IF('Vade Sapması'!$D$3&gt;G717,"Açık · vadesi geçti","Açık · vadesi gelmedi")))</f>
        <v/>
      </c>
      <c r="O717" s="30" t="str">
        <f aca="false">IF(F717="","",IF(AND(H717="",'Vade Sapması'!$D$3&gt;G717),'Vade Sapması'!$D$3-G717,0))</f>
        <v/>
      </c>
      <c r="P717" s="33" t="str">
        <f aca="false">IF(F717="","",F717*J717)</f>
        <v/>
      </c>
      <c r="Q717" s="33" t="str">
        <f aca="false">IF(F717="","",F717*L717)</f>
        <v/>
      </c>
      <c r="R717" s="33" t="str">
        <f aca="false">IF(F717="","",IF(H717="",F717,0))</f>
        <v/>
      </c>
      <c r="S717" s="32" t="str">
        <f aca="false">IF(F717="","",IF(N(O717)=0,"",IF(O717&lt;=30,"1-30",IF(O717&lt;=60,"31-60",IF(O717&lt;=90,"61-90","90+")))))</f>
        <v/>
      </c>
      <c r="T717" s="32" t="str">
        <f aca="false">IF(F717="","",IF(E717="","Diğer",E717))</f>
        <v/>
      </c>
      <c r="U717" s="32" t="str">
        <f aca="false">IF(OR(F717="",C717=""),"",IF(COUNTIF($C$2:C717,C717)=1,MAX($U$1:U716)+1,""))</f>
        <v/>
      </c>
    </row>
    <row r="718" customFormat="false" ht="15" hidden="false" customHeight="false" outlineLevel="0" collapsed="false">
      <c r="A718" s="34"/>
      <c r="B718" s="9"/>
      <c r="C718" s="34"/>
      <c r="D718" s="34"/>
      <c r="E718" s="34"/>
      <c r="F718" s="35"/>
      <c r="G718" s="9"/>
      <c r="H718" s="9"/>
      <c r="I718" s="34"/>
      <c r="J718" s="30" t="str">
        <f aca="false">IF(F718="","",G718-B718)</f>
        <v/>
      </c>
      <c r="K718" s="31" t="str">
        <f aca="false">IF(F718="","",IF(H718&lt;&gt;"",H718,MAX('Vade Sapması'!$D$3,G718)))</f>
        <v/>
      </c>
      <c r="L718" s="30" t="str">
        <f aca="false">IF(F718="","",K718-B718)</f>
        <v/>
      </c>
      <c r="M718" s="30" t="str">
        <f aca="false">IF(F718="","",L718-J718)</f>
        <v/>
      </c>
      <c r="N718" s="32" t="str">
        <f aca="false">IF(F718="","",IF(H718&lt;&gt;"","Kapandı",IF('Vade Sapması'!$D$3&gt;G718,"Açık · vadesi geçti","Açık · vadesi gelmedi")))</f>
        <v/>
      </c>
      <c r="O718" s="30" t="str">
        <f aca="false">IF(F718="","",IF(AND(H718="",'Vade Sapması'!$D$3&gt;G718),'Vade Sapması'!$D$3-G718,0))</f>
        <v/>
      </c>
      <c r="P718" s="33" t="str">
        <f aca="false">IF(F718="","",F718*J718)</f>
        <v/>
      </c>
      <c r="Q718" s="33" t="str">
        <f aca="false">IF(F718="","",F718*L718)</f>
        <v/>
      </c>
      <c r="R718" s="33" t="str">
        <f aca="false">IF(F718="","",IF(H718="",F718,0))</f>
        <v/>
      </c>
      <c r="S718" s="32" t="str">
        <f aca="false">IF(F718="","",IF(N(O718)=0,"",IF(O718&lt;=30,"1-30",IF(O718&lt;=60,"31-60",IF(O718&lt;=90,"61-90","90+")))))</f>
        <v/>
      </c>
      <c r="T718" s="32" t="str">
        <f aca="false">IF(F718="","",IF(E718="","Diğer",E718))</f>
        <v/>
      </c>
      <c r="U718" s="32" t="str">
        <f aca="false">IF(OR(F718="",C718=""),"",IF(COUNTIF($C$2:C718,C718)=1,MAX($U$1:U717)+1,""))</f>
        <v/>
      </c>
    </row>
    <row r="719" customFormat="false" ht="15" hidden="false" customHeight="false" outlineLevel="0" collapsed="false">
      <c r="A719" s="34"/>
      <c r="B719" s="9"/>
      <c r="C719" s="34"/>
      <c r="D719" s="34"/>
      <c r="E719" s="34"/>
      <c r="F719" s="35"/>
      <c r="G719" s="9"/>
      <c r="H719" s="9"/>
      <c r="I719" s="34"/>
      <c r="J719" s="30" t="str">
        <f aca="false">IF(F719="","",G719-B719)</f>
        <v/>
      </c>
      <c r="K719" s="31" t="str">
        <f aca="false">IF(F719="","",IF(H719&lt;&gt;"",H719,MAX('Vade Sapması'!$D$3,G719)))</f>
        <v/>
      </c>
      <c r="L719" s="30" t="str">
        <f aca="false">IF(F719="","",K719-B719)</f>
        <v/>
      </c>
      <c r="M719" s="30" t="str">
        <f aca="false">IF(F719="","",L719-J719)</f>
        <v/>
      </c>
      <c r="N719" s="32" t="str">
        <f aca="false">IF(F719="","",IF(H719&lt;&gt;"","Kapandı",IF('Vade Sapması'!$D$3&gt;G719,"Açık · vadesi geçti","Açık · vadesi gelmedi")))</f>
        <v/>
      </c>
      <c r="O719" s="30" t="str">
        <f aca="false">IF(F719="","",IF(AND(H719="",'Vade Sapması'!$D$3&gt;G719),'Vade Sapması'!$D$3-G719,0))</f>
        <v/>
      </c>
      <c r="P719" s="33" t="str">
        <f aca="false">IF(F719="","",F719*J719)</f>
        <v/>
      </c>
      <c r="Q719" s="33" t="str">
        <f aca="false">IF(F719="","",F719*L719)</f>
        <v/>
      </c>
      <c r="R719" s="33" t="str">
        <f aca="false">IF(F719="","",IF(H719="",F719,0))</f>
        <v/>
      </c>
      <c r="S719" s="32" t="str">
        <f aca="false">IF(F719="","",IF(N(O719)=0,"",IF(O719&lt;=30,"1-30",IF(O719&lt;=60,"31-60",IF(O719&lt;=90,"61-90","90+")))))</f>
        <v/>
      </c>
      <c r="T719" s="32" t="str">
        <f aca="false">IF(F719="","",IF(E719="","Diğer",E719))</f>
        <v/>
      </c>
      <c r="U719" s="32" t="str">
        <f aca="false">IF(OR(F719="",C719=""),"",IF(COUNTIF($C$2:C719,C719)=1,MAX($U$1:U718)+1,""))</f>
        <v/>
      </c>
    </row>
    <row r="720" customFormat="false" ht="15" hidden="false" customHeight="false" outlineLevel="0" collapsed="false">
      <c r="A720" s="34"/>
      <c r="B720" s="9"/>
      <c r="C720" s="34"/>
      <c r="D720" s="34"/>
      <c r="E720" s="34"/>
      <c r="F720" s="35"/>
      <c r="G720" s="9"/>
      <c r="H720" s="9"/>
      <c r="I720" s="34"/>
      <c r="J720" s="30" t="str">
        <f aca="false">IF(F720="","",G720-B720)</f>
        <v/>
      </c>
      <c r="K720" s="31" t="str">
        <f aca="false">IF(F720="","",IF(H720&lt;&gt;"",H720,MAX('Vade Sapması'!$D$3,G720)))</f>
        <v/>
      </c>
      <c r="L720" s="30" t="str">
        <f aca="false">IF(F720="","",K720-B720)</f>
        <v/>
      </c>
      <c r="M720" s="30" t="str">
        <f aca="false">IF(F720="","",L720-J720)</f>
        <v/>
      </c>
      <c r="N720" s="32" t="str">
        <f aca="false">IF(F720="","",IF(H720&lt;&gt;"","Kapandı",IF('Vade Sapması'!$D$3&gt;G720,"Açık · vadesi geçti","Açık · vadesi gelmedi")))</f>
        <v/>
      </c>
      <c r="O720" s="30" t="str">
        <f aca="false">IF(F720="","",IF(AND(H720="",'Vade Sapması'!$D$3&gt;G720),'Vade Sapması'!$D$3-G720,0))</f>
        <v/>
      </c>
      <c r="P720" s="33" t="str">
        <f aca="false">IF(F720="","",F720*J720)</f>
        <v/>
      </c>
      <c r="Q720" s="33" t="str">
        <f aca="false">IF(F720="","",F720*L720)</f>
        <v/>
      </c>
      <c r="R720" s="33" t="str">
        <f aca="false">IF(F720="","",IF(H720="",F720,0))</f>
        <v/>
      </c>
      <c r="S720" s="32" t="str">
        <f aca="false">IF(F720="","",IF(N(O720)=0,"",IF(O720&lt;=30,"1-30",IF(O720&lt;=60,"31-60",IF(O720&lt;=90,"61-90","90+")))))</f>
        <v/>
      </c>
      <c r="T720" s="32" t="str">
        <f aca="false">IF(F720="","",IF(E720="","Diğer",E720))</f>
        <v/>
      </c>
      <c r="U720" s="32" t="str">
        <f aca="false">IF(OR(F720="",C720=""),"",IF(COUNTIF($C$2:C720,C720)=1,MAX($U$1:U719)+1,""))</f>
        <v/>
      </c>
    </row>
    <row r="721" customFormat="false" ht="15" hidden="false" customHeight="false" outlineLevel="0" collapsed="false">
      <c r="A721" s="34"/>
      <c r="B721" s="9"/>
      <c r="C721" s="34"/>
      <c r="D721" s="34"/>
      <c r="E721" s="34"/>
      <c r="F721" s="35"/>
      <c r="G721" s="9"/>
      <c r="H721" s="9"/>
      <c r="I721" s="34"/>
      <c r="J721" s="30" t="str">
        <f aca="false">IF(F721="","",G721-B721)</f>
        <v/>
      </c>
      <c r="K721" s="31" t="str">
        <f aca="false">IF(F721="","",IF(H721&lt;&gt;"",H721,MAX('Vade Sapması'!$D$3,G721)))</f>
        <v/>
      </c>
      <c r="L721" s="30" t="str">
        <f aca="false">IF(F721="","",K721-B721)</f>
        <v/>
      </c>
      <c r="M721" s="30" t="str">
        <f aca="false">IF(F721="","",L721-J721)</f>
        <v/>
      </c>
      <c r="N721" s="32" t="str">
        <f aca="false">IF(F721="","",IF(H721&lt;&gt;"","Kapandı",IF('Vade Sapması'!$D$3&gt;G721,"Açık · vadesi geçti","Açık · vadesi gelmedi")))</f>
        <v/>
      </c>
      <c r="O721" s="30" t="str">
        <f aca="false">IF(F721="","",IF(AND(H721="",'Vade Sapması'!$D$3&gt;G721),'Vade Sapması'!$D$3-G721,0))</f>
        <v/>
      </c>
      <c r="P721" s="33" t="str">
        <f aca="false">IF(F721="","",F721*J721)</f>
        <v/>
      </c>
      <c r="Q721" s="33" t="str">
        <f aca="false">IF(F721="","",F721*L721)</f>
        <v/>
      </c>
      <c r="R721" s="33" t="str">
        <f aca="false">IF(F721="","",IF(H721="",F721,0))</f>
        <v/>
      </c>
      <c r="S721" s="32" t="str">
        <f aca="false">IF(F721="","",IF(N(O721)=0,"",IF(O721&lt;=30,"1-30",IF(O721&lt;=60,"31-60",IF(O721&lt;=90,"61-90","90+")))))</f>
        <v/>
      </c>
      <c r="T721" s="32" t="str">
        <f aca="false">IF(F721="","",IF(E721="","Diğer",E721))</f>
        <v/>
      </c>
      <c r="U721" s="32" t="str">
        <f aca="false">IF(OR(F721="",C721=""),"",IF(COUNTIF($C$2:C721,C721)=1,MAX($U$1:U720)+1,""))</f>
        <v/>
      </c>
    </row>
    <row r="722" customFormat="false" ht="15" hidden="false" customHeight="false" outlineLevel="0" collapsed="false">
      <c r="A722" s="34"/>
      <c r="B722" s="9"/>
      <c r="C722" s="34"/>
      <c r="D722" s="34"/>
      <c r="E722" s="34"/>
      <c r="F722" s="35"/>
      <c r="G722" s="9"/>
      <c r="H722" s="9"/>
      <c r="I722" s="34"/>
      <c r="J722" s="30" t="str">
        <f aca="false">IF(F722="","",G722-B722)</f>
        <v/>
      </c>
      <c r="K722" s="31" t="str">
        <f aca="false">IF(F722="","",IF(H722&lt;&gt;"",H722,MAX('Vade Sapması'!$D$3,G722)))</f>
        <v/>
      </c>
      <c r="L722" s="30" t="str">
        <f aca="false">IF(F722="","",K722-B722)</f>
        <v/>
      </c>
      <c r="M722" s="30" t="str">
        <f aca="false">IF(F722="","",L722-J722)</f>
        <v/>
      </c>
      <c r="N722" s="32" t="str">
        <f aca="false">IF(F722="","",IF(H722&lt;&gt;"","Kapandı",IF('Vade Sapması'!$D$3&gt;G722,"Açık · vadesi geçti","Açık · vadesi gelmedi")))</f>
        <v/>
      </c>
      <c r="O722" s="30" t="str">
        <f aca="false">IF(F722="","",IF(AND(H722="",'Vade Sapması'!$D$3&gt;G722),'Vade Sapması'!$D$3-G722,0))</f>
        <v/>
      </c>
      <c r="P722" s="33" t="str">
        <f aca="false">IF(F722="","",F722*J722)</f>
        <v/>
      </c>
      <c r="Q722" s="33" t="str">
        <f aca="false">IF(F722="","",F722*L722)</f>
        <v/>
      </c>
      <c r="R722" s="33" t="str">
        <f aca="false">IF(F722="","",IF(H722="",F722,0))</f>
        <v/>
      </c>
      <c r="S722" s="32" t="str">
        <f aca="false">IF(F722="","",IF(N(O722)=0,"",IF(O722&lt;=30,"1-30",IF(O722&lt;=60,"31-60",IF(O722&lt;=90,"61-90","90+")))))</f>
        <v/>
      </c>
      <c r="T722" s="32" t="str">
        <f aca="false">IF(F722="","",IF(E722="","Diğer",E722))</f>
        <v/>
      </c>
      <c r="U722" s="32" t="str">
        <f aca="false">IF(OR(F722="",C722=""),"",IF(COUNTIF($C$2:C722,C722)=1,MAX($U$1:U721)+1,""))</f>
        <v/>
      </c>
    </row>
    <row r="723" customFormat="false" ht="15" hidden="false" customHeight="false" outlineLevel="0" collapsed="false">
      <c r="A723" s="34"/>
      <c r="B723" s="9"/>
      <c r="C723" s="34"/>
      <c r="D723" s="34"/>
      <c r="E723" s="34"/>
      <c r="F723" s="35"/>
      <c r="G723" s="9"/>
      <c r="H723" s="9"/>
      <c r="I723" s="34"/>
      <c r="J723" s="30" t="str">
        <f aca="false">IF(F723="","",G723-B723)</f>
        <v/>
      </c>
      <c r="K723" s="31" t="str">
        <f aca="false">IF(F723="","",IF(H723&lt;&gt;"",H723,MAX('Vade Sapması'!$D$3,G723)))</f>
        <v/>
      </c>
      <c r="L723" s="30" t="str">
        <f aca="false">IF(F723="","",K723-B723)</f>
        <v/>
      </c>
      <c r="M723" s="30" t="str">
        <f aca="false">IF(F723="","",L723-J723)</f>
        <v/>
      </c>
      <c r="N723" s="32" t="str">
        <f aca="false">IF(F723="","",IF(H723&lt;&gt;"","Kapandı",IF('Vade Sapması'!$D$3&gt;G723,"Açık · vadesi geçti","Açık · vadesi gelmedi")))</f>
        <v/>
      </c>
      <c r="O723" s="30" t="str">
        <f aca="false">IF(F723="","",IF(AND(H723="",'Vade Sapması'!$D$3&gt;G723),'Vade Sapması'!$D$3-G723,0))</f>
        <v/>
      </c>
      <c r="P723" s="33" t="str">
        <f aca="false">IF(F723="","",F723*J723)</f>
        <v/>
      </c>
      <c r="Q723" s="33" t="str">
        <f aca="false">IF(F723="","",F723*L723)</f>
        <v/>
      </c>
      <c r="R723" s="33" t="str">
        <f aca="false">IF(F723="","",IF(H723="",F723,0))</f>
        <v/>
      </c>
      <c r="S723" s="32" t="str">
        <f aca="false">IF(F723="","",IF(N(O723)=0,"",IF(O723&lt;=30,"1-30",IF(O723&lt;=60,"31-60",IF(O723&lt;=90,"61-90","90+")))))</f>
        <v/>
      </c>
      <c r="T723" s="32" t="str">
        <f aca="false">IF(F723="","",IF(E723="","Diğer",E723))</f>
        <v/>
      </c>
      <c r="U723" s="32" t="str">
        <f aca="false">IF(OR(F723="",C723=""),"",IF(COUNTIF($C$2:C723,C723)=1,MAX($U$1:U722)+1,""))</f>
        <v/>
      </c>
    </row>
    <row r="724" customFormat="false" ht="15" hidden="false" customHeight="false" outlineLevel="0" collapsed="false">
      <c r="A724" s="34"/>
      <c r="B724" s="9"/>
      <c r="C724" s="34"/>
      <c r="D724" s="34"/>
      <c r="E724" s="34"/>
      <c r="F724" s="35"/>
      <c r="G724" s="9"/>
      <c r="H724" s="9"/>
      <c r="I724" s="34"/>
      <c r="J724" s="30" t="str">
        <f aca="false">IF(F724="","",G724-B724)</f>
        <v/>
      </c>
      <c r="K724" s="31" t="str">
        <f aca="false">IF(F724="","",IF(H724&lt;&gt;"",H724,MAX('Vade Sapması'!$D$3,G724)))</f>
        <v/>
      </c>
      <c r="L724" s="30" t="str">
        <f aca="false">IF(F724="","",K724-B724)</f>
        <v/>
      </c>
      <c r="M724" s="30" t="str">
        <f aca="false">IF(F724="","",L724-J724)</f>
        <v/>
      </c>
      <c r="N724" s="32" t="str">
        <f aca="false">IF(F724="","",IF(H724&lt;&gt;"","Kapandı",IF('Vade Sapması'!$D$3&gt;G724,"Açık · vadesi geçti","Açık · vadesi gelmedi")))</f>
        <v/>
      </c>
      <c r="O724" s="30" t="str">
        <f aca="false">IF(F724="","",IF(AND(H724="",'Vade Sapması'!$D$3&gt;G724),'Vade Sapması'!$D$3-G724,0))</f>
        <v/>
      </c>
      <c r="P724" s="33" t="str">
        <f aca="false">IF(F724="","",F724*J724)</f>
        <v/>
      </c>
      <c r="Q724" s="33" t="str">
        <f aca="false">IF(F724="","",F724*L724)</f>
        <v/>
      </c>
      <c r="R724" s="33" t="str">
        <f aca="false">IF(F724="","",IF(H724="",F724,0))</f>
        <v/>
      </c>
      <c r="S724" s="32" t="str">
        <f aca="false">IF(F724="","",IF(N(O724)=0,"",IF(O724&lt;=30,"1-30",IF(O724&lt;=60,"31-60",IF(O724&lt;=90,"61-90","90+")))))</f>
        <v/>
      </c>
      <c r="T724" s="32" t="str">
        <f aca="false">IF(F724="","",IF(E724="","Diğer",E724))</f>
        <v/>
      </c>
      <c r="U724" s="32" t="str">
        <f aca="false">IF(OR(F724="",C724=""),"",IF(COUNTIF($C$2:C724,C724)=1,MAX($U$1:U723)+1,""))</f>
        <v/>
      </c>
    </row>
    <row r="725" customFormat="false" ht="15" hidden="false" customHeight="false" outlineLevel="0" collapsed="false">
      <c r="A725" s="34"/>
      <c r="B725" s="9"/>
      <c r="C725" s="34"/>
      <c r="D725" s="34"/>
      <c r="E725" s="34"/>
      <c r="F725" s="35"/>
      <c r="G725" s="9"/>
      <c r="H725" s="9"/>
      <c r="I725" s="34"/>
      <c r="J725" s="30" t="str">
        <f aca="false">IF(F725="","",G725-B725)</f>
        <v/>
      </c>
      <c r="K725" s="31" t="str">
        <f aca="false">IF(F725="","",IF(H725&lt;&gt;"",H725,MAX('Vade Sapması'!$D$3,G725)))</f>
        <v/>
      </c>
      <c r="L725" s="30" t="str">
        <f aca="false">IF(F725="","",K725-B725)</f>
        <v/>
      </c>
      <c r="M725" s="30" t="str">
        <f aca="false">IF(F725="","",L725-J725)</f>
        <v/>
      </c>
      <c r="N725" s="32" t="str">
        <f aca="false">IF(F725="","",IF(H725&lt;&gt;"","Kapandı",IF('Vade Sapması'!$D$3&gt;G725,"Açık · vadesi geçti","Açık · vadesi gelmedi")))</f>
        <v/>
      </c>
      <c r="O725" s="30" t="str">
        <f aca="false">IF(F725="","",IF(AND(H725="",'Vade Sapması'!$D$3&gt;G725),'Vade Sapması'!$D$3-G725,0))</f>
        <v/>
      </c>
      <c r="P725" s="33" t="str">
        <f aca="false">IF(F725="","",F725*J725)</f>
        <v/>
      </c>
      <c r="Q725" s="33" t="str">
        <f aca="false">IF(F725="","",F725*L725)</f>
        <v/>
      </c>
      <c r="R725" s="33" t="str">
        <f aca="false">IF(F725="","",IF(H725="",F725,0))</f>
        <v/>
      </c>
      <c r="S725" s="32" t="str">
        <f aca="false">IF(F725="","",IF(N(O725)=0,"",IF(O725&lt;=30,"1-30",IF(O725&lt;=60,"31-60",IF(O725&lt;=90,"61-90","90+")))))</f>
        <v/>
      </c>
      <c r="T725" s="32" t="str">
        <f aca="false">IF(F725="","",IF(E725="","Diğer",E725))</f>
        <v/>
      </c>
      <c r="U725" s="32" t="str">
        <f aca="false">IF(OR(F725="",C725=""),"",IF(COUNTIF($C$2:C725,C725)=1,MAX($U$1:U724)+1,""))</f>
        <v/>
      </c>
    </row>
    <row r="726" customFormat="false" ht="15" hidden="false" customHeight="false" outlineLevel="0" collapsed="false">
      <c r="A726" s="34"/>
      <c r="B726" s="9"/>
      <c r="C726" s="34"/>
      <c r="D726" s="34"/>
      <c r="E726" s="34"/>
      <c r="F726" s="35"/>
      <c r="G726" s="9"/>
      <c r="H726" s="9"/>
      <c r="I726" s="34"/>
      <c r="J726" s="30" t="str">
        <f aca="false">IF(F726="","",G726-B726)</f>
        <v/>
      </c>
      <c r="K726" s="31" t="str">
        <f aca="false">IF(F726="","",IF(H726&lt;&gt;"",H726,MAX('Vade Sapması'!$D$3,G726)))</f>
        <v/>
      </c>
      <c r="L726" s="30" t="str">
        <f aca="false">IF(F726="","",K726-B726)</f>
        <v/>
      </c>
      <c r="M726" s="30" t="str">
        <f aca="false">IF(F726="","",L726-J726)</f>
        <v/>
      </c>
      <c r="N726" s="32" t="str">
        <f aca="false">IF(F726="","",IF(H726&lt;&gt;"","Kapandı",IF('Vade Sapması'!$D$3&gt;G726,"Açık · vadesi geçti","Açık · vadesi gelmedi")))</f>
        <v/>
      </c>
      <c r="O726" s="30" t="str">
        <f aca="false">IF(F726="","",IF(AND(H726="",'Vade Sapması'!$D$3&gt;G726),'Vade Sapması'!$D$3-G726,0))</f>
        <v/>
      </c>
      <c r="P726" s="33" t="str">
        <f aca="false">IF(F726="","",F726*J726)</f>
        <v/>
      </c>
      <c r="Q726" s="33" t="str">
        <f aca="false">IF(F726="","",F726*L726)</f>
        <v/>
      </c>
      <c r="R726" s="33" t="str">
        <f aca="false">IF(F726="","",IF(H726="",F726,0))</f>
        <v/>
      </c>
      <c r="S726" s="32" t="str">
        <f aca="false">IF(F726="","",IF(N(O726)=0,"",IF(O726&lt;=30,"1-30",IF(O726&lt;=60,"31-60",IF(O726&lt;=90,"61-90","90+")))))</f>
        <v/>
      </c>
      <c r="T726" s="32" t="str">
        <f aca="false">IF(F726="","",IF(E726="","Diğer",E726))</f>
        <v/>
      </c>
      <c r="U726" s="32" t="str">
        <f aca="false">IF(OR(F726="",C726=""),"",IF(COUNTIF($C$2:C726,C726)=1,MAX($U$1:U725)+1,""))</f>
        <v/>
      </c>
    </row>
    <row r="727" customFormat="false" ht="15" hidden="false" customHeight="false" outlineLevel="0" collapsed="false">
      <c r="A727" s="34"/>
      <c r="B727" s="9"/>
      <c r="C727" s="34"/>
      <c r="D727" s="34"/>
      <c r="E727" s="34"/>
      <c r="F727" s="35"/>
      <c r="G727" s="9"/>
      <c r="H727" s="9"/>
      <c r="I727" s="34"/>
      <c r="J727" s="30" t="str">
        <f aca="false">IF(F727="","",G727-B727)</f>
        <v/>
      </c>
      <c r="K727" s="31" t="str">
        <f aca="false">IF(F727="","",IF(H727&lt;&gt;"",H727,MAX('Vade Sapması'!$D$3,G727)))</f>
        <v/>
      </c>
      <c r="L727" s="30" t="str">
        <f aca="false">IF(F727="","",K727-B727)</f>
        <v/>
      </c>
      <c r="M727" s="30" t="str">
        <f aca="false">IF(F727="","",L727-J727)</f>
        <v/>
      </c>
      <c r="N727" s="32" t="str">
        <f aca="false">IF(F727="","",IF(H727&lt;&gt;"","Kapandı",IF('Vade Sapması'!$D$3&gt;G727,"Açık · vadesi geçti","Açık · vadesi gelmedi")))</f>
        <v/>
      </c>
      <c r="O727" s="30" t="str">
        <f aca="false">IF(F727="","",IF(AND(H727="",'Vade Sapması'!$D$3&gt;G727),'Vade Sapması'!$D$3-G727,0))</f>
        <v/>
      </c>
      <c r="P727" s="33" t="str">
        <f aca="false">IF(F727="","",F727*J727)</f>
        <v/>
      </c>
      <c r="Q727" s="33" t="str">
        <f aca="false">IF(F727="","",F727*L727)</f>
        <v/>
      </c>
      <c r="R727" s="33" t="str">
        <f aca="false">IF(F727="","",IF(H727="",F727,0))</f>
        <v/>
      </c>
      <c r="S727" s="32" t="str">
        <f aca="false">IF(F727="","",IF(N(O727)=0,"",IF(O727&lt;=30,"1-30",IF(O727&lt;=60,"31-60",IF(O727&lt;=90,"61-90","90+")))))</f>
        <v/>
      </c>
      <c r="T727" s="32" t="str">
        <f aca="false">IF(F727="","",IF(E727="","Diğer",E727))</f>
        <v/>
      </c>
      <c r="U727" s="32" t="str">
        <f aca="false">IF(OR(F727="",C727=""),"",IF(COUNTIF($C$2:C727,C727)=1,MAX($U$1:U726)+1,""))</f>
        <v/>
      </c>
    </row>
    <row r="728" customFormat="false" ht="15" hidden="false" customHeight="false" outlineLevel="0" collapsed="false">
      <c r="A728" s="34"/>
      <c r="B728" s="9"/>
      <c r="C728" s="34"/>
      <c r="D728" s="34"/>
      <c r="E728" s="34"/>
      <c r="F728" s="35"/>
      <c r="G728" s="9"/>
      <c r="H728" s="9"/>
      <c r="I728" s="34"/>
      <c r="J728" s="30" t="str">
        <f aca="false">IF(F728="","",G728-B728)</f>
        <v/>
      </c>
      <c r="K728" s="31" t="str">
        <f aca="false">IF(F728="","",IF(H728&lt;&gt;"",H728,MAX('Vade Sapması'!$D$3,G728)))</f>
        <v/>
      </c>
      <c r="L728" s="30" t="str">
        <f aca="false">IF(F728="","",K728-B728)</f>
        <v/>
      </c>
      <c r="M728" s="30" t="str">
        <f aca="false">IF(F728="","",L728-J728)</f>
        <v/>
      </c>
      <c r="N728" s="32" t="str">
        <f aca="false">IF(F728="","",IF(H728&lt;&gt;"","Kapandı",IF('Vade Sapması'!$D$3&gt;G728,"Açık · vadesi geçti","Açık · vadesi gelmedi")))</f>
        <v/>
      </c>
      <c r="O728" s="30" t="str">
        <f aca="false">IF(F728="","",IF(AND(H728="",'Vade Sapması'!$D$3&gt;G728),'Vade Sapması'!$D$3-G728,0))</f>
        <v/>
      </c>
      <c r="P728" s="33" t="str">
        <f aca="false">IF(F728="","",F728*J728)</f>
        <v/>
      </c>
      <c r="Q728" s="33" t="str">
        <f aca="false">IF(F728="","",F728*L728)</f>
        <v/>
      </c>
      <c r="R728" s="33" t="str">
        <f aca="false">IF(F728="","",IF(H728="",F728,0))</f>
        <v/>
      </c>
      <c r="S728" s="32" t="str">
        <f aca="false">IF(F728="","",IF(N(O728)=0,"",IF(O728&lt;=30,"1-30",IF(O728&lt;=60,"31-60",IF(O728&lt;=90,"61-90","90+")))))</f>
        <v/>
      </c>
      <c r="T728" s="32" t="str">
        <f aca="false">IF(F728="","",IF(E728="","Diğer",E728))</f>
        <v/>
      </c>
      <c r="U728" s="32" t="str">
        <f aca="false">IF(OR(F728="",C728=""),"",IF(COUNTIF($C$2:C728,C728)=1,MAX($U$1:U727)+1,""))</f>
        <v/>
      </c>
    </row>
    <row r="729" customFormat="false" ht="15" hidden="false" customHeight="false" outlineLevel="0" collapsed="false">
      <c r="A729" s="34"/>
      <c r="B729" s="9"/>
      <c r="C729" s="34"/>
      <c r="D729" s="34"/>
      <c r="E729" s="34"/>
      <c r="F729" s="35"/>
      <c r="G729" s="9"/>
      <c r="H729" s="9"/>
      <c r="I729" s="34"/>
      <c r="J729" s="30" t="str">
        <f aca="false">IF(F729="","",G729-B729)</f>
        <v/>
      </c>
      <c r="K729" s="31" t="str">
        <f aca="false">IF(F729="","",IF(H729&lt;&gt;"",H729,MAX('Vade Sapması'!$D$3,G729)))</f>
        <v/>
      </c>
      <c r="L729" s="30" t="str">
        <f aca="false">IF(F729="","",K729-B729)</f>
        <v/>
      </c>
      <c r="M729" s="30" t="str">
        <f aca="false">IF(F729="","",L729-J729)</f>
        <v/>
      </c>
      <c r="N729" s="32" t="str">
        <f aca="false">IF(F729="","",IF(H729&lt;&gt;"","Kapandı",IF('Vade Sapması'!$D$3&gt;G729,"Açık · vadesi geçti","Açık · vadesi gelmedi")))</f>
        <v/>
      </c>
      <c r="O729" s="30" t="str">
        <f aca="false">IF(F729="","",IF(AND(H729="",'Vade Sapması'!$D$3&gt;G729),'Vade Sapması'!$D$3-G729,0))</f>
        <v/>
      </c>
      <c r="P729" s="33" t="str">
        <f aca="false">IF(F729="","",F729*J729)</f>
        <v/>
      </c>
      <c r="Q729" s="33" t="str">
        <f aca="false">IF(F729="","",F729*L729)</f>
        <v/>
      </c>
      <c r="R729" s="33" t="str">
        <f aca="false">IF(F729="","",IF(H729="",F729,0))</f>
        <v/>
      </c>
      <c r="S729" s="32" t="str">
        <f aca="false">IF(F729="","",IF(N(O729)=0,"",IF(O729&lt;=30,"1-30",IF(O729&lt;=60,"31-60",IF(O729&lt;=90,"61-90","90+")))))</f>
        <v/>
      </c>
      <c r="T729" s="32" t="str">
        <f aca="false">IF(F729="","",IF(E729="","Diğer",E729))</f>
        <v/>
      </c>
      <c r="U729" s="32" t="str">
        <f aca="false">IF(OR(F729="",C729=""),"",IF(COUNTIF($C$2:C729,C729)=1,MAX($U$1:U728)+1,""))</f>
        <v/>
      </c>
    </row>
    <row r="730" customFormat="false" ht="15" hidden="false" customHeight="false" outlineLevel="0" collapsed="false">
      <c r="A730" s="34"/>
      <c r="B730" s="9"/>
      <c r="C730" s="34"/>
      <c r="D730" s="34"/>
      <c r="E730" s="34"/>
      <c r="F730" s="35"/>
      <c r="G730" s="9"/>
      <c r="H730" s="9"/>
      <c r="I730" s="34"/>
      <c r="J730" s="30" t="str">
        <f aca="false">IF(F730="","",G730-B730)</f>
        <v/>
      </c>
      <c r="K730" s="31" t="str">
        <f aca="false">IF(F730="","",IF(H730&lt;&gt;"",H730,MAX('Vade Sapması'!$D$3,G730)))</f>
        <v/>
      </c>
      <c r="L730" s="30" t="str">
        <f aca="false">IF(F730="","",K730-B730)</f>
        <v/>
      </c>
      <c r="M730" s="30" t="str">
        <f aca="false">IF(F730="","",L730-J730)</f>
        <v/>
      </c>
      <c r="N730" s="32" t="str">
        <f aca="false">IF(F730="","",IF(H730&lt;&gt;"","Kapandı",IF('Vade Sapması'!$D$3&gt;G730,"Açık · vadesi geçti","Açık · vadesi gelmedi")))</f>
        <v/>
      </c>
      <c r="O730" s="30" t="str">
        <f aca="false">IF(F730="","",IF(AND(H730="",'Vade Sapması'!$D$3&gt;G730),'Vade Sapması'!$D$3-G730,0))</f>
        <v/>
      </c>
      <c r="P730" s="33" t="str">
        <f aca="false">IF(F730="","",F730*J730)</f>
        <v/>
      </c>
      <c r="Q730" s="33" t="str">
        <f aca="false">IF(F730="","",F730*L730)</f>
        <v/>
      </c>
      <c r="R730" s="33" t="str">
        <f aca="false">IF(F730="","",IF(H730="",F730,0))</f>
        <v/>
      </c>
      <c r="S730" s="32" t="str">
        <f aca="false">IF(F730="","",IF(N(O730)=0,"",IF(O730&lt;=30,"1-30",IF(O730&lt;=60,"31-60",IF(O730&lt;=90,"61-90","90+")))))</f>
        <v/>
      </c>
      <c r="T730" s="32" t="str">
        <f aca="false">IF(F730="","",IF(E730="","Diğer",E730))</f>
        <v/>
      </c>
      <c r="U730" s="32" t="str">
        <f aca="false">IF(OR(F730="",C730=""),"",IF(COUNTIF($C$2:C730,C730)=1,MAX($U$1:U729)+1,""))</f>
        <v/>
      </c>
    </row>
    <row r="731" customFormat="false" ht="15" hidden="false" customHeight="false" outlineLevel="0" collapsed="false">
      <c r="A731" s="34"/>
      <c r="B731" s="9"/>
      <c r="C731" s="34"/>
      <c r="D731" s="34"/>
      <c r="E731" s="34"/>
      <c r="F731" s="35"/>
      <c r="G731" s="9"/>
      <c r="H731" s="9"/>
      <c r="I731" s="34"/>
      <c r="J731" s="30" t="str">
        <f aca="false">IF(F731="","",G731-B731)</f>
        <v/>
      </c>
      <c r="K731" s="31" t="str">
        <f aca="false">IF(F731="","",IF(H731&lt;&gt;"",H731,MAX('Vade Sapması'!$D$3,G731)))</f>
        <v/>
      </c>
      <c r="L731" s="30" t="str">
        <f aca="false">IF(F731="","",K731-B731)</f>
        <v/>
      </c>
      <c r="M731" s="30" t="str">
        <f aca="false">IF(F731="","",L731-J731)</f>
        <v/>
      </c>
      <c r="N731" s="32" t="str">
        <f aca="false">IF(F731="","",IF(H731&lt;&gt;"","Kapandı",IF('Vade Sapması'!$D$3&gt;G731,"Açık · vadesi geçti","Açık · vadesi gelmedi")))</f>
        <v/>
      </c>
      <c r="O731" s="30" t="str">
        <f aca="false">IF(F731="","",IF(AND(H731="",'Vade Sapması'!$D$3&gt;G731),'Vade Sapması'!$D$3-G731,0))</f>
        <v/>
      </c>
      <c r="P731" s="33" t="str">
        <f aca="false">IF(F731="","",F731*J731)</f>
        <v/>
      </c>
      <c r="Q731" s="33" t="str">
        <f aca="false">IF(F731="","",F731*L731)</f>
        <v/>
      </c>
      <c r="R731" s="33" t="str">
        <f aca="false">IF(F731="","",IF(H731="",F731,0))</f>
        <v/>
      </c>
      <c r="S731" s="32" t="str">
        <f aca="false">IF(F731="","",IF(N(O731)=0,"",IF(O731&lt;=30,"1-30",IF(O731&lt;=60,"31-60",IF(O731&lt;=90,"61-90","90+")))))</f>
        <v/>
      </c>
      <c r="T731" s="32" t="str">
        <f aca="false">IF(F731="","",IF(E731="","Diğer",E731))</f>
        <v/>
      </c>
      <c r="U731" s="32" t="str">
        <f aca="false">IF(OR(F731="",C731=""),"",IF(COUNTIF($C$2:C731,C731)=1,MAX($U$1:U730)+1,""))</f>
        <v/>
      </c>
    </row>
    <row r="732" customFormat="false" ht="15" hidden="false" customHeight="false" outlineLevel="0" collapsed="false">
      <c r="A732" s="34"/>
      <c r="B732" s="9"/>
      <c r="C732" s="34"/>
      <c r="D732" s="34"/>
      <c r="E732" s="34"/>
      <c r="F732" s="35"/>
      <c r="G732" s="9"/>
      <c r="H732" s="9"/>
      <c r="I732" s="34"/>
      <c r="J732" s="30" t="str">
        <f aca="false">IF(F732="","",G732-B732)</f>
        <v/>
      </c>
      <c r="K732" s="31" t="str">
        <f aca="false">IF(F732="","",IF(H732&lt;&gt;"",H732,MAX('Vade Sapması'!$D$3,G732)))</f>
        <v/>
      </c>
      <c r="L732" s="30" t="str">
        <f aca="false">IF(F732="","",K732-B732)</f>
        <v/>
      </c>
      <c r="M732" s="30" t="str">
        <f aca="false">IF(F732="","",L732-J732)</f>
        <v/>
      </c>
      <c r="N732" s="32" t="str">
        <f aca="false">IF(F732="","",IF(H732&lt;&gt;"","Kapandı",IF('Vade Sapması'!$D$3&gt;G732,"Açık · vadesi geçti","Açık · vadesi gelmedi")))</f>
        <v/>
      </c>
      <c r="O732" s="30" t="str">
        <f aca="false">IF(F732="","",IF(AND(H732="",'Vade Sapması'!$D$3&gt;G732),'Vade Sapması'!$D$3-G732,0))</f>
        <v/>
      </c>
      <c r="P732" s="33" t="str">
        <f aca="false">IF(F732="","",F732*J732)</f>
        <v/>
      </c>
      <c r="Q732" s="33" t="str">
        <f aca="false">IF(F732="","",F732*L732)</f>
        <v/>
      </c>
      <c r="R732" s="33" t="str">
        <f aca="false">IF(F732="","",IF(H732="",F732,0))</f>
        <v/>
      </c>
      <c r="S732" s="32" t="str">
        <f aca="false">IF(F732="","",IF(N(O732)=0,"",IF(O732&lt;=30,"1-30",IF(O732&lt;=60,"31-60",IF(O732&lt;=90,"61-90","90+")))))</f>
        <v/>
      </c>
      <c r="T732" s="32" t="str">
        <f aca="false">IF(F732="","",IF(E732="","Diğer",E732))</f>
        <v/>
      </c>
      <c r="U732" s="32" t="str">
        <f aca="false">IF(OR(F732="",C732=""),"",IF(COUNTIF($C$2:C732,C732)=1,MAX($U$1:U731)+1,""))</f>
        <v/>
      </c>
    </row>
    <row r="733" customFormat="false" ht="15" hidden="false" customHeight="false" outlineLevel="0" collapsed="false">
      <c r="A733" s="34"/>
      <c r="B733" s="9"/>
      <c r="C733" s="34"/>
      <c r="D733" s="34"/>
      <c r="E733" s="34"/>
      <c r="F733" s="35"/>
      <c r="G733" s="9"/>
      <c r="H733" s="9"/>
      <c r="I733" s="34"/>
      <c r="J733" s="30" t="str">
        <f aca="false">IF(F733="","",G733-B733)</f>
        <v/>
      </c>
      <c r="K733" s="31" t="str">
        <f aca="false">IF(F733="","",IF(H733&lt;&gt;"",H733,MAX('Vade Sapması'!$D$3,G733)))</f>
        <v/>
      </c>
      <c r="L733" s="30" t="str">
        <f aca="false">IF(F733="","",K733-B733)</f>
        <v/>
      </c>
      <c r="M733" s="30" t="str">
        <f aca="false">IF(F733="","",L733-J733)</f>
        <v/>
      </c>
      <c r="N733" s="32" t="str">
        <f aca="false">IF(F733="","",IF(H733&lt;&gt;"","Kapandı",IF('Vade Sapması'!$D$3&gt;G733,"Açık · vadesi geçti","Açık · vadesi gelmedi")))</f>
        <v/>
      </c>
      <c r="O733" s="30" t="str">
        <f aca="false">IF(F733="","",IF(AND(H733="",'Vade Sapması'!$D$3&gt;G733),'Vade Sapması'!$D$3-G733,0))</f>
        <v/>
      </c>
      <c r="P733" s="33" t="str">
        <f aca="false">IF(F733="","",F733*J733)</f>
        <v/>
      </c>
      <c r="Q733" s="33" t="str">
        <f aca="false">IF(F733="","",F733*L733)</f>
        <v/>
      </c>
      <c r="R733" s="33" t="str">
        <f aca="false">IF(F733="","",IF(H733="",F733,0))</f>
        <v/>
      </c>
      <c r="S733" s="32" t="str">
        <f aca="false">IF(F733="","",IF(N(O733)=0,"",IF(O733&lt;=30,"1-30",IF(O733&lt;=60,"31-60",IF(O733&lt;=90,"61-90","90+")))))</f>
        <v/>
      </c>
      <c r="T733" s="32" t="str">
        <f aca="false">IF(F733="","",IF(E733="","Diğer",E733))</f>
        <v/>
      </c>
      <c r="U733" s="32" t="str">
        <f aca="false">IF(OR(F733="",C733=""),"",IF(COUNTIF($C$2:C733,C733)=1,MAX($U$1:U732)+1,""))</f>
        <v/>
      </c>
    </row>
    <row r="734" customFormat="false" ht="15" hidden="false" customHeight="false" outlineLevel="0" collapsed="false">
      <c r="A734" s="34"/>
      <c r="B734" s="9"/>
      <c r="C734" s="34"/>
      <c r="D734" s="34"/>
      <c r="E734" s="34"/>
      <c r="F734" s="35"/>
      <c r="G734" s="9"/>
      <c r="H734" s="9"/>
      <c r="I734" s="34"/>
      <c r="J734" s="30" t="str">
        <f aca="false">IF(F734="","",G734-B734)</f>
        <v/>
      </c>
      <c r="K734" s="31" t="str">
        <f aca="false">IF(F734="","",IF(H734&lt;&gt;"",H734,MAX('Vade Sapması'!$D$3,G734)))</f>
        <v/>
      </c>
      <c r="L734" s="30" t="str">
        <f aca="false">IF(F734="","",K734-B734)</f>
        <v/>
      </c>
      <c r="M734" s="30" t="str">
        <f aca="false">IF(F734="","",L734-J734)</f>
        <v/>
      </c>
      <c r="N734" s="32" t="str">
        <f aca="false">IF(F734="","",IF(H734&lt;&gt;"","Kapandı",IF('Vade Sapması'!$D$3&gt;G734,"Açık · vadesi geçti","Açık · vadesi gelmedi")))</f>
        <v/>
      </c>
      <c r="O734" s="30" t="str">
        <f aca="false">IF(F734="","",IF(AND(H734="",'Vade Sapması'!$D$3&gt;G734),'Vade Sapması'!$D$3-G734,0))</f>
        <v/>
      </c>
      <c r="P734" s="33" t="str">
        <f aca="false">IF(F734="","",F734*J734)</f>
        <v/>
      </c>
      <c r="Q734" s="33" t="str">
        <f aca="false">IF(F734="","",F734*L734)</f>
        <v/>
      </c>
      <c r="R734" s="33" t="str">
        <f aca="false">IF(F734="","",IF(H734="",F734,0))</f>
        <v/>
      </c>
      <c r="S734" s="32" t="str">
        <f aca="false">IF(F734="","",IF(N(O734)=0,"",IF(O734&lt;=30,"1-30",IF(O734&lt;=60,"31-60",IF(O734&lt;=90,"61-90","90+")))))</f>
        <v/>
      </c>
      <c r="T734" s="32" t="str">
        <f aca="false">IF(F734="","",IF(E734="","Diğer",E734))</f>
        <v/>
      </c>
      <c r="U734" s="32" t="str">
        <f aca="false">IF(OR(F734="",C734=""),"",IF(COUNTIF($C$2:C734,C734)=1,MAX($U$1:U733)+1,""))</f>
        <v/>
      </c>
    </row>
    <row r="735" customFormat="false" ht="15" hidden="false" customHeight="false" outlineLevel="0" collapsed="false">
      <c r="A735" s="34"/>
      <c r="B735" s="9"/>
      <c r="C735" s="34"/>
      <c r="D735" s="34"/>
      <c r="E735" s="34"/>
      <c r="F735" s="35"/>
      <c r="G735" s="9"/>
      <c r="H735" s="9"/>
      <c r="I735" s="34"/>
      <c r="J735" s="30" t="str">
        <f aca="false">IF(F735="","",G735-B735)</f>
        <v/>
      </c>
      <c r="K735" s="31" t="str">
        <f aca="false">IF(F735="","",IF(H735&lt;&gt;"",H735,MAX('Vade Sapması'!$D$3,G735)))</f>
        <v/>
      </c>
      <c r="L735" s="30" t="str">
        <f aca="false">IF(F735="","",K735-B735)</f>
        <v/>
      </c>
      <c r="M735" s="30" t="str">
        <f aca="false">IF(F735="","",L735-J735)</f>
        <v/>
      </c>
      <c r="N735" s="32" t="str">
        <f aca="false">IF(F735="","",IF(H735&lt;&gt;"","Kapandı",IF('Vade Sapması'!$D$3&gt;G735,"Açık · vadesi geçti","Açık · vadesi gelmedi")))</f>
        <v/>
      </c>
      <c r="O735" s="30" t="str">
        <f aca="false">IF(F735="","",IF(AND(H735="",'Vade Sapması'!$D$3&gt;G735),'Vade Sapması'!$D$3-G735,0))</f>
        <v/>
      </c>
      <c r="P735" s="33" t="str">
        <f aca="false">IF(F735="","",F735*J735)</f>
        <v/>
      </c>
      <c r="Q735" s="33" t="str">
        <f aca="false">IF(F735="","",F735*L735)</f>
        <v/>
      </c>
      <c r="R735" s="33" t="str">
        <f aca="false">IF(F735="","",IF(H735="",F735,0))</f>
        <v/>
      </c>
      <c r="S735" s="32" t="str">
        <f aca="false">IF(F735="","",IF(N(O735)=0,"",IF(O735&lt;=30,"1-30",IF(O735&lt;=60,"31-60",IF(O735&lt;=90,"61-90","90+")))))</f>
        <v/>
      </c>
      <c r="T735" s="32" t="str">
        <f aca="false">IF(F735="","",IF(E735="","Diğer",E735))</f>
        <v/>
      </c>
      <c r="U735" s="32" t="str">
        <f aca="false">IF(OR(F735="",C735=""),"",IF(COUNTIF($C$2:C735,C735)=1,MAX($U$1:U734)+1,""))</f>
        <v/>
      </c>
    </row>
    <row r="736" customFormat="false" ht="15" hidden="false" customHeight="false" outlineLevel="0" collapsed="false">
      <c r="A736" s="34"/>
      <c r="B736" s="9"/>
      <c r="C736" s="34"/>
      <c r="D736" s="34"/>
      <c r="E736" s="34"/>
      <c r="F736" s="35"/>
      <c r="G736" s="9"/>
      <c r="H736" s="9"/>
      <c r="I736" s="34"/>
      <c r="J736" s="30" t="str">
        <f aca="false">IF(F736="","",G736-B736)</f>
        <v/>
      </c>
      <c r="K736" s="31" t="str">
        <f aca="false">IF(F736="","",IF(H736&lt;&gt;"",H736,MAX('Vade Sapması'!$D$3,G736)))</f>
        <v/>
      </c>
      <c r="L736" s="30" t="str">
        <f aca="false">IF(F736="","",K736-B736)</f>
        <v/>
      </c>
      <c r="M736" s="30" t="str">
        <f aca="false">IF(F736="","",L736-J736)</f>
        <v/>
      </c>
      <c r="N736" s="32" t="str">
        <f aca="false">IF(F736="","",IF(H736&lt;&gt;"","Kapandı",IF('Vade Sapması'!$D$3&gt;G736,"Açık · vadesi geçti","Açık · vadesi gelmedi")))</f>
        <v/>
      </c>
      <c r="O736" s="30" t="str">
        <f aca="false">IF(F736="","",IF(AND(H736="",'Vade Sapması'!$D$3&gt;G736),'Vade Sapması'!$D$3-G736,0))</f>
        <v/>
      </c>
      <c r="P736" s="33" t="str">
        <f aca="false">IF(F736="","",F736*J736)</f>
        <v/>
      </c>
      <c r="Q736" s="33" t="str">
        <f aca="false">IF(F736="","",F736*L736)</f>
        <v/>
      </c>
      <c r="R736" s="33" t="str">
        <f aca="false">IF(F736="","",IF(H736="",F736,0))</f>
        <v/>
      </c>
      <c r="S736" s="32" t="str">
        <f aca="false">IF(F736="","",IF(N(O736)=0,"",IF(O736&lt;=30,"1-30",IF(O736&lt;=60,"31-60",IF(O736&lt;=90,"61-90","90+")))))</f>
        <v/>
      </c>
      <c r="T736" s="32" t="str">
        <f aca="false">IF(F736="","",IF(E736="","Diğer",E736))</f>
        <v/>
      </c>
      <c r="U736" s="32" t="str">
        <f aca="false">IF(OR(F736="",C736=""),"",IF(COUNTIF($C$2:C736,C736)=1,MAX($U$1:U735)+1,""))</f>
        <v/>
      </c>
    </row>
    <row r="737" customFormat="false" ht="15" hidden="false" customHeight="false" outlineLevel="0" collapsed="false">
      <c r="A737" s="34"/>
      <c r="B737" s="9"/>
      <c r="C737" s="34"/>
      <c r="D737" s="34"/>
      <c r="E737" s="34"/>
      <c r="F737" s="35"/>
      <c r="G737" s="9"/>
      <c r="H737" s="9"/>
      <c r="I737" s="34"/>
      <c r="J737" s="30" t="str">
        <f aca="false">IF(F737="","",G737-B737)</f>
        <v/>
      </c>
      <c r="K737" s="31" t="str">
        <f aca="false">IF(F737="","",IF(H737&lt;&gt;"",H737,MAX('Vade Sapması'!$D$3,G737)))</f>
        <v/>
      </c>
      <c r="L737" s="30" t="str">
        <f aca="false">IF(F737="","",K737-B737)</f>
        <v/>
      </c>
      <c r="M737" s="30" t="str">
        <f aca="false">IF(F737="","",L737-J737)</f>
        <v/>
      </c>
      <c r="N737" s="32" t="str">
        <f aca="false">IF(F737="","",IF(H737&lt;&gt;"","Kapandı",IF('Vade Sapması'!$D$3&gt;G737,"Açık · vadesi geçti","Açık · vadesi gelmedi")))</f>
        <v/>
      </c>
      <c r="O737" s="30" t="str">
        <f aca="false">IF(F737="","",IF(AND(H737="",'Vade Sapması'!$D$3&gt;G737),'Vade Sapması'!$D$3-G737,0))</f>
        <v/>
      </c>
      <c r="P737" s="33" t="str">
        <f aca="false">IF(F737="","",F737*J737)</f>
        <v/>
      </c>
      <c r="Q737" s="33" t="str">
        <f aca="false">IF(F737="","",F737*L737)</f>
        <v/>
      </c>
      <c r="R737" s="33" t="str">
        <f aca="false">IF(F737="","",IF(H737="",F737,0))</f>
        <v/>
      </c>
      <c r="S737" s="32" t="str">
        <f aca="false">IF(F737="","",IF(N(O737)=0,"",IF(O737&lt;=30,"1-30",IF(O737&lt;=60,"31-60",IF(O737&lt;=90,"61-90","90+")))))</f>
        <v/>
      </c>
      <c r="T737" s="32" t="str">
        <f aca="false">IF(F737="","",IF(E737="","Diğer",E737))</f>
        <v/>
      </c>
      <c r="U737" s="32" t="str">
        <f aca="false">IF(OR(F737="",C737=""),"",IF(COUNTIF($C$2:C737,C737)=1,MAX($U$1:U736)+1,""))</f>
        <v/>
      </c>
    </row>
    <row r="738" customFormat="false" ht="15" hidden="false" customHeight="false" outlineLevel="0" collapsed="false">
      <c r="A738" s="34"/>
      <c r="B738" s="9"/>
      <c r="C738" s="34"/>
      <c r="D738" s="34"/>
      <c r="E738" s="34"/>
      <c r="F738" s="35"/>
      <c r="G738" s="9"/>
      <c r="H738" s="9"/>
      <c r="I738" s="34"/>
      <c r="J738" s="30" t="str">
        <f aca="false">IF(F738="","",G738-B738)</f>
        <v/>
      </c>
      <c r="K738" s="31" t="str">
        <f aca="false">IF(F738="","",IF(H738&lt;&gt;"",H738,MAX('Vade Sapması'!$D$3,G738)))</f>
        <v/>
      </c>
      <c r="L738" s="30" t="str">
        <f aca="false">IF(F738="","",K738-B738)</f>
        <v/>
      </c>
      <c r="M738" s="30" t="str">
        <f aca="false">IF(F738="","",L738-J738)</f>
        <v/>
      </c>
      <c r="N738" s="32" t="str">
        <f aca="false">IF(F738="","",IF(H738&lt;&gt;"","Kapandı",IF('Vade Sapması'!$D$3&gt;G738,"Açık · vadesi geçti","Açık · vadesi gelmedi")))</f>
        <v/>
      </c>
      <c r="O738" s="30" t="str">
        <f aca="false">IF(F738="","",IF(AND(H738="",'Vade Sapması'!$D$3&gt;G738),'Vade Sapması'!$D$3-G738,0))</f>
        <v/>
      </c>
      <c r="P738" s="33" t="str">
        <f aca="false">IF(F738="","",F738*J738)</f>
        <v/>
      </c>
      <c r="Q738" s="33" t="str">
        <f aca="false">IF(F738="","",F738*L738)</f>
        <v/>
      </c>
      <c r="R738" s="33" t="str">
        <f aca="false">IF(F738="","",IF(H738="",F738,0))</f>
        <v/>
      </c>
      <c r="S738" s="32" t="str">
        <f aca="false">IF(F738="","",IF(N(O738)=0,"",IF(O738&lt;=30,"1-30",IF(O738&lt;=60,"31-60",IF(O738&lt;=90,"61-90","90+")))))</f>
        <v/>
      </c>
      <c r="T738" s="32" t="str">
        <f aca="false">IF(F738="","",IF(E738="","Diğer",E738))</f>
        <v/>
      </c>
      <c r="U738" s="32" t="str">
        <f aca="false">IF(OR(F738="",C738=""),"",IF(COUNTIF($C$2:C738,C738)=1,MAX($U$1:U737)+1,""))</f>
        <v/>
      </c>
    </row>
    <row r="739" customFormat="false" ht="15" hidden="false" customHeight="false" outlineLevel="0" collapsed="false">
      <c r="A739" s="34"/>
      <c r="B739" s="9"/>
      <c r="C739" s="34"/>
      <c r="D739" s="34"/>
      <c r="E739" s="34"/>
      <c r="F739" s="35"/>
      <c r="G739" s="9"/>
      <c r="H739" s="9"/>
      <c r="I739" s="34"/>
      <c r="J739" s="30" t="str">
        <f aca="false">IF(F739="","",G739-B739)</f>
        <v/>
      </c>
      <c r="K739" s="31" t="str">
        <f aca="false">IF(F739="","",IF(H739&lt;&gt;"",H739,MAX('Vade Sapması'!$D$3,G739)))</f>
        <v/>
      </c>
      <c r="L739" s="30" t="str">
        <f aca="false">IF(F739="","",K739-B739)</f>
        <v/>
      </c>
      <c r="M739" s="30" t="str">
        <f aca="false">IF(F739="","",L739-J739)</f>
        <v/>
      </c>
      <c r="N739" s="32" t="str">
        <f aca="false">IF(F739="","",IF(H739&lt;&gt;"","Kapandı",IF('Vade Sapması'!$D$3&gt;G739,"Açık · vadesi geçti","Açık · vadesi gelmedi")))</f>
        <v/>
      </c>
      <c r="O739" s="30" t="str">
        <f aca="false">IF(F739="","",IF(AND(H739="",'Vade Sapması'!$D$3&gt;G739),'Vade Sapması'!$D$3-G739,0))</f>
        <v/>
      </c>
      <c r="P739" s="33" t="str">
        <f aca="false">IF(F739="","",F739*J739)</f>
        <v/>
      </c>
      <c r="Q739" s="33" t="str">
        <f aca="false">IF(F739="","",F739*L739)</f>
        <v/>
      </c>
      <c r="R739" s="33" t="str">
        <f aca="false">IF(F739="","",IF(H739="",F739,0))</f>
        <v/>
      </c>
      <c r="S739" s="32" t="str">
        <f aca="false">IF(F739="","",IF(N(O739)=0,"",IF(O739&lt;=30,"1-30",IF(O739&lt;=60,"31-60",IF(O739&lt;=90,"61-90","90+")))))</f>
        <v/>
      </c>
      <c r="T739" s="32" t="str">
        <f aca="false">IF(F739="","",IF(E739="","Diğer",E739))</f>
        <v/>
      </c>
      <c r="U739" s="32" t="str">
        <f aca="false">IF(OR(F739="",C739=""),"",IF(COUNTIF($C$2:C739,C739)=1,MAX($U$1:U738)+1,""))</f>
        <v/>
      </c>
    </row>
    <row r="740" customFormat="false" ht="15" hidden="false" customHeight="false" outlineLevel="0" collapsed="false">
      <c r="A740" s="34"/>
      <c r="B740" s="9"/>
      <c r="C740" s="34"/>
      <c r="D740" s="34"/>
      <c r="E740" s="34"/>
      <c r="F740" s="35"/>
      <c r="G740" s="9"/>
      <c r="H740" s="9"/>
      <c r="I740" s="34"/>
      <c r="J740" s="30" t="str">
        <f aca="false">IF(F740="","",G740-B740)</f>
        <v/>
      </c>
      <c r="K740" s="31" t="str">
        <f aca="false">IF(F740="","",IF(H740&lt;&gt;"",H740,MAX('Vade Sapması'!$D$3,G740)))</f>
        <v/>
      </c>
      <c r="L740" s="30" t="str">
        <f aca="false">IF(F740="","",K740-B740)</f>
        <v/>
      </c>
      <c r="M740" s="30" t="str">
        <f aca="false">IF(F740="","",L740-J740)</f>
        <v/>
      </c>
      <c r="N740" s="32" t="str">
        <f aca="false">IF(F740="","",IF(H740&lt;&gt;"","Kapandı",IF('Vade Sapması'!$D$3&gt;G740,"Açık · vadesi geçti","Açık · vadesi gelmedi")))</f>
        <v/>
      </c>
      <c r="O740" s="30" t="str">
        <f aca="false">IF(F740="","",IF(AND(H740="",'Vade Sapması'!$D$3&gt;G740),'Vade Sapması'!$D$3-G740,0))</f>
        <v/>
      </c>
      <c r="P740" s="33" t="str">
        <f aca="false">IF(F740="","",F740*J740)</f>
        <v/>
      </c>
      <c r="Q740" s="33" t="str">
        <f aca="false">IF(F740="","",F740*L740)</f>
        <v/>
      </c>
      <c r="R740" s="33" t="str">
        <f aca="false">IF(F740="","",IF(H740="",F740,0))</f>
        <v/>
      </c>
      <c r="S740" s="32" t="str">
        <f aca="false">IF(F740="","",IF(N(O740)=0,"",IF(O740&lt;=30,"1-30",IF(O740&lt;=60,"31-60",IF(O740&lt;=90,"61-90","90+")))))</f>
        <v/>
      </c>
      <c r="T740" s="32" t="str">
        <f aca="false">IF(F740="","",IF(E740="","Diğer",E740))</f>
        <v/>
      </c>
      <c r="U740" s="32" t="str">
        <f aca="false">IF(OR(F740="",C740=""),"",IF(COUNTIF($C$2:C740,C740)=1,MAX($U$1:U739)+1,""))</f>
        <v/>
      </c>
    </row>
    <row r="741" customFormat="false" ht="15" hidden="false" customHeight="false" outlineLevel="0" collapsed="false">
      <c r="A741" s="34"/>
      <c r="B741" s="9"/>
      <c r="C741" s="34"/>
      <c r="D741" s="34"/>
      <c r="E741" s="34"/>
      <c r="F741" s="35"/>
      <c r="G741" s="9"/>
      <c r="H741" s="9"/>
      <c r="I741" s="34"/>
      <c r="J741" s="30" t="str">
        <f aca="false">IF(F741="","",G741-B741)</f>
        <v/>
      </c>
      <c r="K741" s="31" t="str">
        <f aca="false">IF(F741="","",IF(H741&lt;&gt;"",H741,MAX('Vade Sapması'!$D$3,G741)))</f>
        <v/>
      </c>
      <c r="L741" s="30" t="str">
        <f aca="false">IF(F741="","",K741-B741)</f>
        <v/>
      </c>
      <c r="M741" s="30" t="str">
        <f aca="false">IF(F741="","",L741-J741)</f>
        <v/>
      </c>
      <c r="N741" s="32" t="str">
        <f aca="false">IF(F741="","",IF(H741&lt;&gt;"","Kapandı",IF('Vade Sapması'!$D$3&gt;G741,"Açık · vadesi geçti","Açık · vadesi gelmedi")))</f>
        <v/>
      </c>
      <c r="O741" s="30" t="str">
        <f aca="false">IF(F741="","",IF(AND(H741="",'Vade Sapması'!$D$3&gt;G741),'Vade Sapması'!$D$3-G741,0))</f>
        <v/>
      </c>
      <c r="P741" s="33" t="str">
        <f aca="false">IF(F741="","",F741*J741)</f>
        <v/>
      </c>
      <c r="Q741" s="33" t="str">
        <f aca="false">IF(F741="","",F741*L741)</f>
        <v/>
      </c>
      <c r="R741" s="33" t="str">
        <f aca="false">IF(F741="","",IF(H741="",F741,0))</f>
        <v/>
      </c>
      <c r="S741" s="32" t="str">
        <f aca="false">IF(F741="","",IF(N(O741)=0,"",IF(O741&lt;=30,"1-30",IF(O741&lt;=60,"31-60",IF(O741&lt;=90,"61-90","90+")))))</f>
        <v/>
      </c>
      <c r="T741" s="32" t="str">
        <f aca="false">IF(F741="","",IF(E741="","Diğer",E741))</f>
        <v/>
      </c>
      <c r="U741" s="32" t="str">
        <f aca="false">IF(OR(F741="",C741=""),"",IF(COUNTIF($C$2:C741,C741)=1,MAX($U$1:U740)+1,""))</f>
        <v/>
      </c>
    </row>
    <row r="742" customFormat="false" ht="15" hidden="false" customHeight="false" outlineLevel="0" collapsed="false">
      <c r="A742" s="34"/>
      <c r="B742" s="9"/>
      <c r="C742" s="34"/>
      <c r="D742" s="34"/>
      <c r="E742" s="34"/>
      <c r="F742" s="35"/>
      <c r="G742" s="9"/>
      <c r="H742" s="9"/>
      <c r="I742" s="34"/>
      <c r="J742" s="30" t="str">
        <f aca="false">IF(F742="","",G742-B742)</f>
        <v/>
      </c>
      <c r="K742" s="31" t="str">
        <f aca="false">IF(F742="","",IF(H742&lt;&gt;"",H742,MAX('Vade Sapması'!$D$3,G742)))</f>
        <v/>
      </c>
      <c r="L742" s="30" t="str">
        <f aca="false">IF(F742="","",K742-B742)</f>
        <v/>
      </c>
      <c r="M742" s="30" t="str">
        <f aca="false">IF(F742="","",L742-J742)</f>
        <v/>
      </c>
      <c r="N742" s="32" t="str">
        <f aca="false">IF(F742="","",IF(H742&lt;&gt;"","Kapandı",IF('Vade Sapması'!$D$3&gt;G742,"Açık · vadesi geçti","Açık · vadesi gelmedi")))</f>
        <v/>
      </c>
      <c r="O742" s="30" t="str">
        <f aca="false">IF(F742="","",IF(AND(H742="",'Vade Sapması'!$D$3&gt;G742),'Vade Sapması'!$D$3-G742,0))</f>
        <v/>
      </c>
      <c r="P742" s="33" t="str">
        <f aca="false">IF(F742="","",F742*J742)</f>
        <v/>
      </c>
      <c r="Q742" s="33" t="str">
        <f aca="false">IF(F742="","",F742*L742)</f>
        <v/>
      </c>
      <c r="R742" s="33" t="str">
        <f aca="false">IF(F742="","",IF(H742="",F742,0))</f>
        <v/>
      </c>
      <c r="S742" s="32" t="str">
        <f aca="false">IF(F742="","",IF(N(O742)=0,"",IF(O742&lt;=30,"1-30",IF(O742&lt;=60,"31-60",IF(O742&lt;=90,"61-90","90+")))))</f>
        <v/>
      </c>
      <c r="T742" s="32" t="str">
        <f aca="false">IF(F742="","",IF(E742="","Diğer",E742))</f>
        <v/>
      </c>
      <c r="U742" s="32" t="str">
        <f aca="false">IF(OR(F742="",C742=""),"",IF(COUNTIF($C$2:C742,C742)=1,MAX($U$1:U741)+1,""))</f>
        <v/>
      </c>
    </row>
    <row r="743" customFormat="false" ht="15" hidden="false" customHeight="false" outlineLevel="0" collapsed="false">
      <c r="A743" s="34"/>
      <c r="B743" s="9"/>
      <c r="C743" s="34"/>
      <c r="D743" s="34"/>
      <c r="E743" s="34"/>
      <c r="F743" s="35"/>
      <c r="G743" s="9"/>
      <c r="H743" s="9"/>
      <c r="I743" s="34"/>
      <c r="J743" s="30" t="str">
        <f aca="false">IF(F743="","",G743-B743)</f>
        <v/>
      </c>
      <c r="K743" s="31" t="str">
        <f aca="false">IF(F743="","",IF(H743&lt;&gt;"",H743,MAX('Vade Sapması'!$D$3,G743)))</f>
        <v/>
      </c>
      <c r="L743" s="30" t="str">
        <f aca="false">IF(F743="","",K743-B743)</f>
        <v/>
      </c>
      <c r="M743" s="30" t="str">
        <f aca="false">IF(F743="","",L743-J743)</f>
        <v/>
      </c>
      <c r="N743" s="32" t="str">
        <f aca="false">IF(F743="","",IF(H743&lt;&gt;"","Kapandı",IF('Vade Sapması'!$D$3&gt;G743,"Açık · vadesi geçti","Açık · vadesi gelmedi")))</f>
        <v/>
      </c>
      <c r="O743" s="30" t="str">
        <f aca="false">IF(F743="","",IF(AND(H743="",'Vade Sapması'!$D$3&gt;G743),'Vade Sapması'!$D$3-G743,0))</f>
        <v/>
      </c>
      <c r="P743" s="33" t="str">
        <f aca="false">IF(F743="","",F743*J743)</f>
        <v/>
      </c>
      <c r="Q743" s="33" t="str">
        <f aca="false">IF(F743="","",F743*L743)</f>
        <v/>
      </c>
      <c r="R743" s="33" t="str">
        <f aca="false">IF(F743="","",IF(H743="",F743,0))</f>
        <v/>
      </c>
      <c r="S743" s="32" t="str">
        <f aca="false">IF(F743="","",IF(N(O743)=0,"",IF(O743&lt;=30,"1-30",IF(O743&lt;=60,"31-60",IF(O743&lt;=90,"61-90","90+")))))</f>
        <v/>
      </c>
      <c r="T743" s="32" t="str">
        <f aca="false">IF(F743="","",IF(E743="","Diğer",E743))</f>
        <v/>
      </c>
      <c r="U743" s="32" t="str">
        <f aca="false">IF(OR(F743="",C743=""),"",IF(COUNTIF($C$2:C743,C743)=1,MAX($U$1:U742)+1,""))</f>
        <v/>
      </c>
    </row>
    <row r="744" customFormat="false" ht="15" hidden="false" customHeight="false" outlineLevel="0" collapsed="false">
      <c r="A744" s="34"/>
      <c r="B744" s="9"/>
      <c r="C744" s="34"/>
      <c r="D744" s="34"/>
      <c r="E744" s="34"/>
      <c r="F744" s="35"/>
      <c r="G744" s="9"/>
      <c r="H744" s="9"/>
      <c r="I744" s="34"/>
      <c r="J744" s="30" t="str">
        <f aca="false">IF(F744="","",G744-B744)</f>
        <v/>
      </c>
      <c r="K744" s="31" t="str">
        <f aca="false">IF(F744="","",IF(H744&lt;&gt;"",H744,MAX('Vade Sapması'!$D$3,G744)))</f>
        <v/>
      </c>
      <c r="L744" s="30" t="str">
        <f aca="false">IF(F744="","",K744-B744)</f>
        <v/>
      </c>
      <c r="M744" s="30" t="str">
        <f aca="false">IF(F744="","",L744-J744)</f>
        <v/>
      </c>
      <c r="N744" s="32" t="str">
        <f aca="false">IF(F744="","",IF(H744&lt;&gt;"","Kapandı",IF('Vade Sapması'!$D$3&gt;G744,"Açık · vadesi geçti","Açık · vadesi gelmedi")))</f>
        <v/>
      </c>
      <c r="O744" s="30" t="str">
        <f aca="false">IF(F744="","",IF(AND(H744="",'Vade Sapması'!$D$3&gt;G744),'Vade Sapması'!$D$3-G744,0))</f>
        <v/>
      </c>
      <c r="P744" s="33" t="str">
        <f aca="false">IF(F744="","",F744*J744)</f>
        <v/>
      </c>
      <c r="Q744" s="33" t="str">
        <f aca="false">IF(F744="","",F744*L744)</f>
        <v/>
      </c>
      <c r="R744" s="33" t="str">
        <f aca="false">IF(F744="","",IF(H744="",F744,0))</f>
        <v/>
      </c>
      <c r="S744" s="32" t="str">
        <f aca="false">IF(F744="","",IF(N(O744)=0,"",IF(O744&lt;=30,"1-30",IF(O744&lt;=60,"31-60",IF(O744&lt;=90,"61-90","90+")))))</f>
        <v/>
      </c>
      <c r="T744" s="32" t="str">
        <f aca="false">IF(F744="","",IF(E744="","Diğer",E744))</f>
        <v/>
      </c>
      <c r="U744" s="32" t="str">
        <f aca="false">IF(OR(F744="",C744=""),"",IF(COUNTIF($C$2:C744,C744)=1,MAX($U$1:U743)+1,""))</f>
        <v/>
      </c>
    </row>
    <row r="745" customFormat="false" ht="15" hidden="false" customHeight="false" outlineLevel="0" collapsed="false">
      <c r="A745" s="34"/>
      <c r="B745" s="9"/>
      <c r="C745" s="34"/>
      <c r="D745" s="34"/>
      <c r="E745" s="34"/>
      <c r="F745" s="35"/>
      <c r="G745" s="9"/>
      <c r="H745" s="9"/>
      <c r="I745" s="34"/>
      <c r="J745" s="30" t="str">
        <f aca="false">IF(F745="","",G745-B745)</f>
        <v/>
      </c>
      <c r="K745" s="31" t="str">
        <f aca="false">IF(F745="","",IF(H745&lt;&gt;"",H745,MAX('Vade Sapması'!$D$3,G745)))</f>
        <v/>
      </c>
      <c r="L745" s="30" t="str">
        <f aca="false">IF(F745="","",K745-B745)</f>
        <v/>
      </c>
      <c r="M745" s="30" t="str">
        <f aca="false">IF(F745="","",L745-J745)</f>
        <v/>
      </c>
      <c r="N745" s="32" t="str">
        <f aca="false">IF(F745="","",IF(H745&lt;&gt;"","Kapandı",IF('Vade Sapması'!$D$3&gt;G745,"Açık · vadesi geçti","Açık · vadesi gelmedi")))</f>
        <v/>
      </c>
      <c r="O745" s="30" t="str">
        <f aca="false">IF(F745="","",IF(AND(H745="",'Vade Sapması'!$D$3&gt;G745),'Vade Sapması'!$D$3-G745,0))</f>
        <v/>
      </c>
      <c r="P745" s="33" t="str">
        <f aca="false">IF(F745="","",F745*J745)</f>
        <v/>
      </c>
      <c r="Q745" s="33" t="str">
        <f aca="false">IF(F745="","",F745*L745)</f>
        <v/>
      </c>
      <c r="R745" s="33" t="str">
        <f aca="false">IF(F745="","",IF(H745="",F745,0))</f>
        <v/>
      </c>
      <c r="S745" s="32" t="str">
        <f aca="false">IF(F745="","",IF(N(O745)=0,"",IF(O745&lt;=30,"1-30",IF(O745&lt;=60,"31-60",IF(O745&lt;=90,"61-90","90+")))))</f>
        <v/>
      </c>
      <c r="T745" s="32" t="str">
        <f aca="false">IF(F745="","",IF(E745="","Diğer",E745))</f>
        <v/>
      </c>
      <c r="U745" s="32" t="str">
        <f aca="false">IF(OR(F745="",C745=""),"",IF(COUNTIF($C$2:C745,C745)=1,MAX($U$1:U744)+1,""))</f>
        <v/>
      </c>
    </row>
    <row r="746" customFormat="false" ht="15" hidden="false" customHeight="false" outlineLevel="0" collapsed="false">
      <c r="A746" s="34"/>
      <c r="B746" s="9"/>
      <c r="C746" s="34"/>
      <c r="D746" s="34"/>
      <c r="E746" s="34"/>
      <c r="F746" s="35"/>
      <c r="G746" s="9"/>
      <c r="H746" s="9"/>
      <c r="I746" s="34"/>
      <c r="J746" s="30" t="str">
        <f aca="false">IF(F746="","",G746-B746)</f>
        <v/>
      </c>
      <c r="K746" s="31" t="str">
        <f aca="false">IF(F746="","",IF(H746&lt;&gt;"",H746,MAX('Vade Sapması'!$D$3,G746)))</f>
        <v/>
      </c>
      <c r="L746" s="30" t="str">
        <f aca="false">IF(F746="","",K746-B746)</f>
        <v/>
      </c>
      <c r="M746" s="30" t="str">
        <f aca="false">IF(F746="","",L746-J746)</f>
        <v/>
      </c>
      <c r="N746" s="32" t="str">
        <f aca="false">IF(F746="","",IF(H746&lt;&gt;"","Kapandı",IF('Vade Sapması'!$D$3&gt;G746,"Açık · vadesi geçti","Açık · vadesi gelmedi")))</f>
        <v/>
      </c>
      <c r="O746" s="30" t="str">
        <f aca="false">IF(F746="","",IF(AND(H746="",'Vade Sapması'!$D$3&gt;G746),'Vade Sapması'!$D$3-G746,0))</f>
        <v/>
      </c>
      <c r="P746" s="33" t="str">
        <f aca="false">IF(F746="","",F746*J746)</f>
        <v/>
      </c>
      <c r="Q746" s="33" t="str">
        <f aca="false">IF(F746="","",F746*L746)</f>
        <v/>
      </c>
      <c r="R746" s="33" t="str">
        <f aca="false">IF(F746="","",IF(H746="",F746,0))</f>
        <v/>
      </c>
      <c r="S746" s="32" t="str">
        <f aca="false">IF(F746="","",IF(N(O746)=0,"",IF(O746&lt;=30,"1-30",IF(O746&lt;=60,"31-60",IF(O746&lt;=90,"61-90","90+")))))</f>
        <v/>
      </c>
      <c r="T746" s="32" t="str">
        <f aca="false">IF(F746="","",IF(E746="","Diğer",E746))</f>
        <v/>
      </c>
      <c r="U746" s="32" t="str">
        <f aca="false">IF(OR(F746="",C746=""),"",IF(COUNTIF($C$2:C746,C746)=1,MAX($U$1:U745)+1,""))</f>
        <v/>
      </c>
    </row>
    <row r="747" customFormat="false" ht="15" hidden="false" customHeight="false" outlineLevel="0" collapsed="false">
      <c r="A747" s="34"/>
      <c r="B747" s="9"/>
      <c r="C747" s="34"/>
      <c r="D747" s="34"/>
      <c r="E747" s="34"/>
      <c r="F747" s="35"/>
      <c r="G747" s="9"/>
      <c r="H747" s="9"/>
      <c r="I747" s="34"/>
      <c r="J747" s="30" t="str">
        <f aca="false">IF(F747="","",G747-B747)</f>
        <v/>
      </c>
      <c r="K747" s="31" t="str">
        <f aca="false">IF(F747="","",IF(H747&lt;&gt;"",H747,MAX('Vade Sapması'!$D$3,G747)))</f>
        <v/>
      </c>
      <c r="L747" s="30" t="str">
        <f aca="false">IF(F747="","",K747-B747)</f>
        <v/>
      </c>
      <c r="M747" s="30" t="str">
        <f aca="false">IF(F747="","",L747-J747)</f>
        <v/>
      </c>
      <c r="N747" s="32" t="str">
        <f aca="false">IF(F747="","",IF(H747&lt;&gt;"","Kapandı",IF('Vade Sapması'!$D$3&gt;G747,"Açık · vadesi geçti","Açık · vadesi gelmedi")))</f>
        <v/>
      </c>
      <c r="O747" s="30" t="str">
        <f aca="false">IF(F747="","",IF(AND(H747="",'Vade Sapması'!$D$3&gt;G747),'Vade Sapması'!$D$3-G747,0))</f>
        <v/>
      </c>
      <c r="P747" s="33" t="str">
        <f aca="false">IF(F747="","",F747*J747)</f>
        <v/>
      </c>
      <c r="Q747" s="33" t="str">
        <f aca="false">IF(F747="","",F747*L747)</f>
        <v/>
      </c>
      <c r="R747" s="33" t="str">
        <f aca="false">IF(F747="","",IF(H747="",F747,0))</f>
        <v/>
      </c>
      <c r="S747" s="32" t="str">
        <f aca="false">IF(F747="","",IF(N(O747)=0,"",IF(O747&lt;=30,"1-30",IF(O747&lt;=60,"31-60",IF(O747&lt;=90,"61-90","90+")))))</f>
        <v/>
      </c>
      <c r="T747" s="32" t="str">
        <f aca="false">IF(F747="","",IF(E747="","Diğer",E747))</f>
        <v/>
      </c>
      <c r="U747" s="32" t="str">
        <f aca="false">IF(OR(F747="",C747=""),"",IF(COUNTIF($C$2:C747,C747)=1,MAX($U$1:U746)+1,""))</f>
        <v/>
      </c>
    </row>
    <row r="748" customFormat="false" ht="15" hidden="false" customHeight="false" outlineLevel="0" collapsed="false">
      <c r="A748" s="34"/>
      <c r="B748" s="9"/>
      <c r="C748" s="34"/>
      <c r="D748" s="34"/>
      <c r="E748" s="34"/>
      <c r="F748" s="35"/>
      <c r="G748" s="9"/>
      <c r="H748" s="9"/>
      <c r="I748" s="34"/>
      <c r="J748" s="30" t="str">
        <f aca="false">IF(F748="","",G748-B748)</f>
        <v/>
      </c>
      <c r="K748" s="31" t="str">
        <f aca="false">IF(F748="","",IF(H748&lt;&gt;"",H748,MAX('Vade Sapması'!$D$3,G748)))</f>
        <v/>
      </c>
      <c r="L748" s="30" t="str">
        <f aca="false">IF(F748="","",K748-B748)</f>
        <v/>
      </c>
      <c r="M748" s="30" t="str">
        <f aca="false">IF(F748="","",L748-J748)</f>
        <v/>
      </c>
      <c r="N748" s="32" t="str">
        <f aca="false">IF(F748="","",IF(H748&lt;&gt;"","Kapandı",IF('Vade Sapması'!$D$3&gt;G748,"Açık · vadesi geçti","Açık · vadesi gelmedi")))</f>
        <v/>
      </c>
      <c r="O748" s="30" t="str">
        <f aca="false">IF(F748="","",IF(AND(H748="",'Vade Sapması'!$D$3&gt;G748),'Vade Sapması'!$D$3-G748,0))</f>
        <v/>
      </c>
      <c r="P748" s="33" t="str">
        <f aca="false">IF(F748="","",F748*J748)</f>
        <v/>
      </c>
      <c r="Q748" s="33" t="str">
        <f aca="false">IF(F748="","",F748*L748)</f>
        <v/>
      </c>
      <c r="R748" s="33" t="str">
        <f aca="false">IF(F748="","",IF(H748="",F748,0))</f>
        <v/>
      </c>
      <c r="S748" s="32" t="str">
        <f aca="false">IF(F748="","",IF(N(O748)=0,"",IF(O748&lt;=30,"1-30",IF(O748&lt;=60,"31-60",IF(O748&lt;=90,"61-90","90+")))))</f>
        <v/>
      </c>
      <c r="T748" s="32" t="str">
        <f aca="false">IF(F748="","",IF(E748="","Diğer",E748))</f>
        <v/>
      </c>
      <c r="U748" s="32" t="str">
        <f aca="false">IF(OR(F748="",C748=""),"",IF(COUNTIF($C$2:C748,C748)=1,MAX($U$1:U747)+1,""))</f>
        <v/>
      </c>
    </row>
    <row r="749" customFormat="false" ht="15" hidden="false" customHeight="false" outlineLevel="0" collapsed="false">
      <c r="A749" s="34"/>
      <c r="B749" s="9"/>
      <c r="C749" s="34"/>
      <c r="D749" s="34"/>
      <c r="E749" s="34"/>
      <c r="F749" s="35"/>
      <c r="G749" s="9"/>
      <c r="H749" s="9"/>
      <c r="I749" s="34"/>
      <c r="J749" s="30" t="str">
        <f aca="false">IF(F749="","",G749-B749)</f>
        <v/>
      </c>
      <c r="K749" s="31" t="str">
        <f aca="false">IF(F749="","",IF(H749&lt;&gt;"",H749,MAX('Vade Sapması'!$D$3,G749)))</f>
        <v/>
      </c>
      <c r="L749" s="30" t="str">
        <f aca="false">IF(F749="","",K749-B749)</f>
        <v/>
      </c>
      <c r="M749" s="30" t="str">
        <f aca="false">IF(F749="","",L749-J749)</f>
        <v/>
      </c>
      <c r="N749" s="32" t="str">
        <f aca="false">IF(F749="","",IF(H749&lt;&gt;"","Kapandı",IF('Vade Sapması'!$D$3&gt;G749,"Açık · vadesi geçti","Açık · vadesi gelmedi")))</f>
        <v/>
      </c>
      <c r="O749" s="30" t="str">
        <f aca="false">IF(F749="","",IF(AND(H749="",'Vade Sapması'!$D$3&gt;G749),'Vade Sapması'!$D$3-G749,0))</f>
        <v/>
      </c>
      <c r="P749" s="33" t="str">
        <f aca="false">IF(F749="","",F749*J749)</f>
        <v/>
      </c>
      <c r="Q749" s="33" t="str">
        <f aca="false">IF(F749="","",F749*L749)</f>
        <v/>
      </c>
      <c r="R749" s="33" t="str">
        <f aca="false">IF(F749="","",IF(H749="",F749,0))</f>
        <v/>
      </c>
      <c r="S749" s="32" t="str">
        <f aca="false">IF(F749="","",IF(N(O749)=0,"",IF(O749&lt;=30,"1-30",IF(O749&lt;=60,"31-60",IF(O749&lt;=90,"61-90","90+")))))</f>
        <v/>
      </c>
      <c r="T749" s="32" t="str">
        <f aca="false">IF(F749="","",IF(E749="","Diğer",E749))</f>
        <v/>
      </c>
      <c r="U749" s="32" t="str">
        <f aca="false">IF(OR(F749="",C749=""),"",IF(COUNTIF($C$2:C749,C749)=1,MAX($U$1:U748)+1,""))</f>
        <v/>
      </c>
    </row>
    <row r="750" customFormat="false" ht="15" hidden="false" customHeight="false" outlineLevel="0" collapsed="false">
      <c r="A750" s="34"/>
      <c r="B750" s="9"/>
      <c r="C750" s="34"/>
      <c r="D750" s="34"/>
      <c r="E750" s="34"/>
      <c r="F750" s="35"/>
      <c r="G750" s="9"/>
      <c r="H750" s="9"/>
      <c r="I750" s="34"/>
      <c r="J750" s="30" t="str">
        <f aca="false">IF(F750="","",G750-B750)</f>
        <v/>
      </c>
      <c r="K750" s="31" t="str">
        <f aca="false">IF(F750="","",IF(H750&lt;&gt;"",H750,MAX('Vade Sapması'!$D$3,G750)))</f>
        <v/>
      </c>
      <c r="L750" s="30" t="str">
        <f aca="false">IF(F750="","",K750-B750)</f>
        <v/>
      </c>
      <c r="M750" s="30" t="str">
        <f aca="false">IF(F750="","",L750-J750)</f>
        <v/>
      </c>
      <c r="N750" s="32" t="str">
        <f aca="false">IF(F750="","",IF(H750&lt;&gt;"","Kapandı",IF('Vade Sapması'!$D$3&gt;G750,"Açık · vadesi geçti","Açık · vadesi gelmedi")))</f>
        <v/>
      </c>
      <c r="O750" s="30" t="str">
        <f aca="false">IF(F750="","",IF(AND(H750="",'Vade Sapması'!$D$3&gt;G750),'Vade Sapması'!$D$3-G750,0))</f>
        <v/>
      </c>
      <c r="P750" s="33" t="str">
        <f aca="false">IF(F750="","",F750*J750)</f>
        <v/>
      </c>
      <c r="Q750" s="33" t="str">
        <f aca="false">IF(F750="","",F750*L750)</f>
        <v/>
      </c>
      <c r="R750" s="33" t="str">
        <f aca="false">IF(F750="","",IF(H750="",F750,0))</f>
        <v/>
      </c>
      <c r="S750" s="32" t="str">
        <f aca="false">IF(F750="","",IF(N(O750)=0,"",IF(O750&lt;=30,"1-30",IF(O750&lt;=60,"31-60",IF(O750&lt;=90,"61-90","90+")))))</f>
        <v/>
      </c>
      <c r="T750" s="32" t="str">
        <f aca="false">IF(F750="","",IF(E750="","Diğer",E750))</f>
        <v/>
      </c>
      <c r="U750" s="32" t="str">
        <f aca="false">IF(OR(F750="",C750=""),"",IF(COUNTIF($C$2:C750,C750)=1,MAX($U$1:U749)+1,""))</f>
        <v/>
      </c>
    </row>
    <row r="751" customFormat="false" ht="15" hidden="false" customHeight="false" outlineLevel="0" collapsed="false">
      <c r="A751" s="34"/>
      <c r="B751" s="9"/>
      <c r="C751" s="34"/>
      <c r="D751" s="34"/>
      <c r="E751" s="34"/>
      <c r="F751" s="35"/>
      <c r="G751" s="9"/>
      <c r="H751" s="9"/>
      <c r="I751" s="34"/>
      <c r="J751" s="30" t="str">
        <f aca="false">IF(F751="","",G751-B751)</f>
        <v/>
      </c>
      <c r="K751" s="31" t="str">
        <f aca="false">IF(F751="","",IF(H751&lt;&gt;"",H751,MAX('Vade Sapması'!$D$3,G751)))</f>
        <v/>
      </c>
      <c r="L751" s="30" t="str">
        <f aca="false">IF(F751="","",K751-B751)</f>
        <v/>
      </c>
      <c r="M751" s="30" t="str">
        <f aca="false">IF(F751="","",L751-J751)</f>
        <v/>
      </c>
      <c r="N751" s="32" t="str">
        <f aca="false">IF(F751="","",IF(H751&lt;&gt;"","Kapandı",IF('Vade Sapması'!$D$3&gt;G751,"Açık · vadesi geçti","Açık · vadesi gelmedi")))</f>
        <v/>
      </c>
      <c r="O751" s="30" t="str">
        <f aca="false">IF(F751="","",IF(AND(H751="",'Vade Sapması'!$D$3&gt;G751),'Vade Sapması'!$D$3-G751,0))</f>
        <v/>
      </c>
      <c r="P751" s="33" t="str">
        <f aca="false">IF(F751="","",F751*J751)</f>
        <v/>
      </c>
      <c r="Q751" s="33" t="str">
        <f aca="false">IF(F751="","",F751*L751)</f>
        <v/>
      </c>
      <c r="R751" s="33" t="str">
        <f aca="false">IF(F751="","",IF(H751="",F751,0))</f>
        <v/>
      </c>
      <c r="S751" s="32" t="str">
        <f aca="false">IF(F751="","",IF(N(O751)=0,"",IF(O751&lt;=30,"1-30",IF(O751&lt;=60,"31-60",IF(O751&lt;=90,"61-90","90+")))))</f>
        <v/>
      </c>
      <c r="T751" s="32" t="str">
        <f aca="false">IF(F751="","",IF(E751="","Diğer",E751))</f>
        <v/>
      </c>
      <c r="U751" s="32" t="str">
        <f aca="false">IF(OR(F751="",C751=""),"",IF(COUNTIF($C$2:C751,C751)=1,MAX($U$1:U750)+1,""))</f>
        <v/>
      </c>
    </row>
    <row r="752" customFormat="false" ht="15" hidden="false" customHeight="false" outlineLevel="0" collapsed="false">
      <c r="A752" s="34"/>
      <c r="B752" s="9"/>
      <c r="C752" s="34"/>
      <c r="D752" s="34"/>
      <c r="E752" s="34"/>
      <c r="F752" s="35"/>
      <c r="G752" s="9"/>
      <c r="H752" s="9"/>
      <c r="I752" s="34"/>
      <c r="J752" s="30" t="str">
        <f aca="false">IF(F752="","",G752-B752)</f>
        <v/>
      </c>
      <c r="K752" s="31" t="str">
        <f aca="false">IF(F752="","",IF(H752&lt;&gt;"",H752,MAX('Vade Sapması'!$D$3,G752)))</f>
        <v/>
      </c>
      <c r="L752" s="30" t="str">
        <f aca="false">IF(F752="","",K752-B752)</f>
        <v/>
      </c>
      <c r="M752" s="30" t="str">
        <f aca="false">IF(F752="","",L752-J752)</f>
        <v/>
      </c>
      <c r="N752" s="32" t="str">
        <f aca="false">IF(F752="","",IF(H752&lt;&gt;"","Kapandı",IF('Vade Sapması'!$D$3&gt;G752,"Açık · vadesi geçti","Açık · vadesi gelmedi")))</f>
        <v/>
      </c>
      <c r="O752" s="30" t="str">
        <f aca="false">IF(F752="","",IF(AND(H752="",'Vade Sapması'!$D$3&gt;G752),'Vade Sapması'!$D$3-G752,0))</f>
        <v/>
      </c>
      <c r="P752" s="33" t="str">
        <f aca="false">IF(F752="","",F752*J752)</f>
        <v/>
      </c>
      <c r="Q752" s="33" t="str">
        <f aca="false">IF(F752="","",F752*L752)</f>
        <v/>
      </c>
      <c r="R752" s="33" t="str">
        <f aca="false">IF(F752="","",IF(H752="",F752,0))</f>
        <v/>
      </c>
      <c r="S752" s="32" t="str">
        <f aca="false">IF(F752="","",IF(N(O752)=0,"",IF(O752&lt;=30,"1-30",IF(O752&lt;=60,"31-60",IF(O752&lt;=90,"61-90","90+")))))</f>
        <v/>
      </c>
      <c r="T752" s="32" t="str">
        <f aca="false">IF(F752="","",IF(E752="","Diğer",E752))</f>
        <v/>
      </c>
      <c r="U752" s="32" t="str">
        <f aca="false">IF(OR(F752="",C752=""),"",IF(COUNTIF($C$2:C752,C752)=1,MAX($U$1:U751)+1,""))</f>
        <v/>
      </c>
    </row>
    <row r="753" customFormat="false" ht="15" hidden="false" customHeight="false" outlineLevel="0" collapsed="false">
      <c r="A753" s="34"/>
      <c r="B753" s="9"/>
      <c r="C753" s="34"/>
      <c r="D753" s="34"/>
      <c r="E753" s="34"/>
      <c r="F753" s="35"/>
      <c r="G753" s="9"/>
      <c r="H753" s="9"/>
      <c r="I753" s="34"/>
      <c r="J753" s="30" t="str">
        <f aca="false">IF(F753="","",G753-B753)</f>
        <v/>
      </c>
      <c r="K753" s="31" t="str">
        <f aca="false">IF(F753="","",IF(H753&lt;&gt;"",H753,MAX('Vade Sapması'!$D$3,G753)))</f>
        <v/>
      </c>
      <c r="L753" s="30" t="str">
        <f aca="false">IF(F753="","",K753-B753)</f>
        <v/>
      </c>
      <c r="M753" s="30" t="str">
        <f aca="false">IF(F753="","",L753-J753)</f>
        <v/>
      </c>
      <c r="N753" s="32" t="str">
        <f aca="false">IF(F753="","",IF(H753&lt;&gt;"","Kapandı",IF('Vade Sapması'!$D$3&gt;G753,"Açık · vadesi geçti","Açık · vadesi gelmedi")))</f>
        <v/>
      </c>
      <c r="O753" s="30" t="str">
        <f aca="false">IF(F753="","",IF(AND(H753="",'Vade Sapması'!$D$3&gt;G753),'Vade Sapması'!$D$3-G753,0))</f>
        <v/>
      </c>
      <c r="P753" s="33" t="str">
        <f aca="false">IF(F753="","",F753*J753)</f>
        <v/>
      </c>
      <c r="Q753" s="33" t="str">
        <f aca="false">IF(F753="","",F753*L753)</f>
        <v/>
      </c>
      <c r="R753" s="33" t="str">
        <f aca="false">IF(F753="","",IF(H753="",F753,0))</f>
        <v/>
      </c>
      <c r="S753" s="32" t="str">
        <f aca="false">IF(F753="","",IF(N(O753)=0,"",IF(O753&lt;=30,"1-30",IF(O753&lt;=60,"31-60",IF(O753&lt;=90,"61-90","90+")))))</f>
        <v/>
      </c>
      <c r="T753" s="32" t="str">
        <f aca="false">IF(F753="","",IF(E753="","Diğer",E753))</f>
        <v/>
      </c>
      <c r="U753" s="32" t="str">
        <f aca="false">IF(OR(F753="",C753=""),"",IF(COUNTIF($C$2:C753,C753)=1,MAX($U$1:U752)+1,""))</f>
        <v/>
      </c>
    </row>
    <row r="754" customFormat="false" ht="15" hidden="false" customHeight="false" outlineLevel="0" collapsed="false">
      <c r="A754" s="34"/>
      <c r="B754" s="9"/>
      <c r="C754" s="34"/>
      <c r="D754" s="34"/>
      <c r="E754" s="34"/>
      <c r="F754" s="35"/>
      <c r="G754" s="9"/>
      <c r="H754" s="9"/>
      <c r="I754" s="34"/>
      <c r="J754" s="30" t="str">
        <f aca="false">IF(F754="","",G754-B754)</f>
        <v/>
      </c>
      <c r="K754" s="31" t="str">
        <f aca="false">IF(F754="","",IF(H754&lt;&gt;"",H754,MAX('Vade Sapması'!$D$3,G754)))</f>
        <v/>
      </c>
      <c r="L754" s="30" t="str">
        <f aca="false">IF(F754="","",K754-B754)</f>
        <v/>
      </c>
      <c r="M754" s="30" t="str">
        <f aca="false">IF(F754="","",L754-J754)</f>
        <v/>
      </c>
      <c r="N754" s="32" t="str">
        <f aca="false">IF(F754="","",IF(H754&lt;&gt;"","Kapandı",IF('Vade Sapması'!$D$3&gt;G754,"Açık · vadesi geçti","Açık · vadesi gelmedi")))</f>
        <v/>
      </c>
      <c r="O754" s="30" t="str">
        <f aca="false">IF(F754="","",IF(AND(H754="",'Vade Sapması'!$D$3&gt;G754),'Vade Sapması'!$D$3-G754,0))</f>
        <v/>
      </c>
      <c r="P754" s="33" t="str">
        <f aca="false">IF(F754="","",F754*J754)</f>
        <v/>
      </c>
      <c r="Q754" s="33" t="str">
        <f aca="false">IF(F754="","",F754*L754)</f>
        <v/>
      </c>
      <c r="R754" s="33" t="str">
        <f aca="false">IF(F754="","",IF(H754="",F754,0))</f>
        <v/>
      </c>
      <c r="S754" s="32" t="str">
        <f aca="false">IF(F754="","",IF(N(O754)=0,"",IF(O754&lt;=30,"1-30",IF(O754&lt;=60,"31-60",IF(O754&lt;=90,"61-90","90+")))))</f>
        <v/>
      </c>
      <c r="T754" s="32" t="str">
        <f aca="false">IF(F754="","",IF(E754="","Diğer",E754))</f>
        <v/>
      </c>
      <c r="U754" s="32" t="str">
        <f aca="false">IF(OR(F754="",C754=""),"",IF(COUNTIF($C$2:C754,C754)=1,MAX($U$1:U753)+1,""))</f>
        <v/>
      </c>
    </row>
    <row r="755" customFormat="false" ht="15" hidden="false" customHeight="false" outlineLevel="0" collapsed="false">
      <c r="A755" s="34"/>
      <c r="B755" s="9"/>
      <c r="C755" s="34"/>
      <c r="D755" s="34"/>
      <c r="E755" s="34"/>
      <c r="F755" s="35"/>
      <c r="G755" s="9"/>
      <c r="H755" s="9"/>
      <c r="I755" s="34"/>
      <c r="J755" s="30" t="str">
        <f aca="false">IF(F755="","",G755-B755)</f>
        <v/>
      </c>
      <c r="K755" s="31" t="str">
        <f aca="false">IF(F755="","",IF(H755&lt;&gt;"",H755,MAX('Vade Sapması'!$D$3,G755)))</f>
        <v/>
      </c>
      <c r="L755" s="30" t="str">
        <f aca="false">IF(F755="","",K755-B755)</f>
        <v/>
      </c>
      <c r="M755" s="30" t="str">
        <f aca="false">IF(F755="","",L755-J755)</f>
        <v/>
      </c>
      <c r="N755" s="32" t="str">
        <f aca="false">IF(F755="","",IF(H755&lt;&gt;"","Kapandı",IF('Vade Sapması'!$D$3&gt;G755,"Açık · vadesi geçti","Açık · vadesi gelmedi")))</f>
        <v/>
      </c>
      <c r="O755" s="30" t="str">
        <f aca="false">IF(F755="","",IF(AND(H755="",'Vade Sapması'!$D$3&gt;G755),'Vade Sapması'!$D$3-G755,0))</f>
        <v/>
      </c>
      <c r="P755" s="33" t="str">
        <f aca="false">IF(F755="","",F755*J755)</f>
        <v/>
      </c>
      <c r="Q755" s="33" t="str">
        <f aca="false">IF(F755="","",F755*L755)</f>
        <v/>
      </c>
      <c r="R755" s="33" t="str">
        <f aca="false">IF(F755="","",IF(H755="",F755,0))</f>
        <v/>
      </c>
      <c r="S755" s="32" t="str">
        <f aca="false">IF(F755="","",IF(N(O755)=0,"",IF(O755&lt;=30,"1-30",IF(O755&lt;=60,"31-60",IF(O755&lt;=90,"61-90","90+")))))</f>
        <v/>
      </c>
      <c r="T755" s="32" t="str">
        <f aca="false">IF(F755="","",IF(E755="","Diğer",E755))</f>
        <v/>
      </c>
      <c r="U755" s="32" t="str">
        <f aca="false">IF(OR(F755="",C755=""),"",IF(COUNTIF($C$2:C755,C755)=1,MAX($U$1:U754)+1,""))</f>
        <v/>
      </c>
    </row>
    <row r="756" customFormat="false" ht="15" hidden="false" customHeight="false" outlineLevel="0" collapsed="false">
      <c r="A756" s="34"/>
      <c r="B756" s="9"/>
      <c r="C756" s="34"/>
      <c r="D756" s="34"/>
      <c r="E756" s="34"/>
      <c r="F756" s="35"/>
      <c r="G756" s="9"/>
      <c r="H756" s="9"/>
      <c r="I756" s="34"/>
      <c r="J756" s="30" t="str">
        <f aca="false">IF(F756="","",G756-B756)</f>
        <v/>
      </c>
      <c r="K756" s="31" t="str">
        <f aca="false">IF(F756="","",IF(H756&lt;&gt;"",H756,MAX('Vade Sapması'!$D$3,G756)))</f>
        <v/>
      </c>
      <c r="L756" s="30" t="str">
        <f aca="false">IF(F756="","",K756-B756)</f>
        <v/>
      </c>
      <c r="M756" s="30" t="str">
        <f aca="false">IF(F756="","",L756-J756)</f>
        <v/>
      </c>
      <c r="N756" s="32" t="str">
        <f aca="false">IF(F756="","",IF(H756&lt;&gt;"","Kapandı",IF('Vade Sapması'!$D$3&gt;G756,"Açık · vadesi geçti","Açık · vadesi gelmedi")))</f>
        <v/>
      </c>
      <c r="O756" s="30" t="str">
        <f aca="false">IF(F756="","",IF(AND(H756="",'Vade Sapması'!$D$3&gt;G756),'Vade Sapması'!$D$3-G756,0))</f>
        <v/>
      </c>
      <c r="P756" s="33" t="str">
        <f aca="false">IF(F756="","",F756*J756)</f>
        <v/>
      </c>
      <c r="Q756" s="33" t="str">
        <f aca="false">IF(F756="","",F756*L756)</f>
        <v/>
      </c>
      <c r="R756" s="33" t="str">
        <f aca="false">IF(F756="","",IF(H756="",F756,0))</f>
        <v/>
      </c>
      <c r="S756" s="32" t="str">
        <f aca="false">IF(F756="","",IF(N(O756)=0,"",IF(O756&lt;=30,"1-30",IF(O756&lt;=60,"31-60",IF(O756&lt;=90,"61-90","90+")))))</f>
        <v/>
      </c>
      <c r="T756" s="32" t="str">
        <f aca="false">IF(F756="","",IF(E756="","Diğer",E756))</f>
        <v/>
      </c>
      <c r="U756" s="32" t="str">
        <f aca="false">IF(OR(F756="",C756=""),"",IF(COUNTIF($C$2:C756,C756)=1,MAX($U$1:U755)+1,""))</f>
        <v/>
      </c>
    </row>
    <row r="757" customFormat="false" ht="15" hidden="false" customHeight="false" outlineLevel="0" collapsed="false">
      <c r="A757" s="34"/>
      <c r="B757" s="9"/>
      <c r="C757" s="34"/>
      <c r="D757" s="34"/>
      <c r="E757" s="34"/>
      <c r="F757" s="35"/>
      <c r="G757" s="9"/>
      <c r="H757" s="9"/>
      <c r="I757" s="34"/>
      <c r="J757" s="30" t="str">
        <f aca="false">IF(F757="","",G757-B757)</f>
        <v/>
      </c>
      <c r="K757" s="31" t="str">
        <f aca="false">IF(F757="","",IF(H757&lt;&gt;"",H757,MAX('Vade Sapması'!$D$3,G757)))</f>
        <v/>
      </c>
      <c r="L757" s="30" t="str">
        <f aca="false">IF(F757="","",K757-B757)</f>
        <v/>
      </c>
      <c r="M757" s="30" t="str">
        <f aca="false">IF(F757="","",L757-J757)</f>
        <v/>
      </c>
      <c r="N757" s="32" t="str">
        <f aca="false">IF(F757="","",IF(H757&lt;&gt;"","Kapandı",IF('Vade Sapması'!$D$3&gt;G757,"Açık · vadesi geçti","Açık · vadesi gelmedi")))</f>
        <v/>
      </c>
      <c r="O757" s="30" t="str">
        <f aca="false">IF(F757="","",IF(AND(H757="",'Vade Sapması'!$D$3&gt;G757),'Vade Sapması'!$D$3-G757,0))</f>
        <v/>
      </c>
      <c r="P757" s="33" t="str">
        <f aca="false">IF(F757="","",F757*J757)</f>
        <v/>
      </c>
      <c r="Q757" s="33" t="str">
        <f aca="false">IF(F757="","",F757*L757)</f>
        <v/>
      </c>
      <c r="R757" s="33" t="str">
        <f aca="false">IF(F757="","",IF(H757="",F757,0))</f>
        <v/>
      </c>
      <c r="S757" s="32" t="str">
        <f aca="false">IF(F757="","",IF(N(O757)=0,"",IF(O757&lt;=30,"1-30",IF(O757&lt;=60,"31-60",IF(O757&lt;=90,"61-90","90+")))))</f>
        <v/>
      </c>
      <c r="T757" s="32" t="str">
        <f aca="false">IF(F757="","",IF(E757="","Diğer",E757))</f>
        <v/>
      </c>
      <c r="U757" s="32" t="str">
        <f aca="false">IF(OR(F757="",C757=""),"",IF(COUNTIF($C$2:C757,C757)=1,MAX($U$1:U756)+1,""))</f>
        <v/>
      </c>
    </row>
    <row r="758" customFormat="false" ht="15" hidden="false" customHeight="false" outlineLevel="0" collapsed="false">
      <c r="A758" s="34"/>
      <c r="B758" s="9"/>
      <c r="C758" s="34"/>
      <c r="D758" s="34"/>
      <c r="E758" s="34"/>
      <c r="F758" s="35"/>
      <c r="G758" s="9"/>
      <c r="H758" s="9"/>
      <c r="I758" s="34"/>
      <c r="J758" s="30" t="str">
        <f aca="false">IF(F758="","",G758-B758)</f>
        <v/>
      </c>
      <c r="K758" s="31" t="str">
        <f aca="false">IF(F758="","",IF(H758&lt;&gt;"",H758,MAX('Vade Sapması'!$D$3,G758)))</f>
        <v/>
      </c>
      <c r="L758" s="30" t="str">
        <f aca="false">IF(F758="","",K758-B758)</f>
        <v/>
      </c>
      <c r="M758" s="30" t="str">
        <f aca="false">IF(F758="","",L758-J758)</f>
        <v/>
      </c>
      <c r="N758" s="32" t="str">
        <f aca="false">IF(F758="","",IF(H758&lt;&gt;"","Kapandı",IF('Vade Sapması'!$D$3&gt;G758,"Açık · vadesi geçti","Açık · vadesi gelmedi")))</f>
        <v/>
      </c>
      <c r="O758" s="30" t="str">
        <f aca="false">IF(F758="","",IF(AND(H758="",'Vade Sapması'!$D$3&gt;G758),'Vade Sapması'!$D$3-G758,0))</f>
        <v/>
      </c>
      <c r="P758" s="33" t="str">
        <f aca="false">IF(F758="","",F758*J758)</f>
        <v/>
      </c>
      <c r="Q758" s="33" t="str">
        <f aca="false">IF(F758="","",F758*L758)</f>
        <v/>
      </c>
      <c r="R758" s="33" t="str">
        <f aca="false">IF(F758="","",IF(H758="",F758,0))</f>
        <v/>
      </c>
      <c r="S758" s="32" t="str">
        <f aca="false">IF(F758="","",IF(N(O758)=0,"",IF(O758&lt;=30,"1-30",IF(O758&lt;=60,"31-60",IF(O758&lt;=90,"61-90","90+")))))</f>
        <v/>
      </c>
      <c r="T758" s="32" t="str">
        <f aca="false">IF(F758="","",IF(E758="","Diğer",E758))</f>
        <v/>
      </c>
      <c r="U758" s="32" t="str">
        <f aca="false">IF(OR(F758="",C758=""),"",IF(COUNTIF($C$2:C758,C758)=1,MAX($U$1:U757)+1,""))</f>
        <v/>
      </c>
    </row>
    <row r="759" customFormat="false" ht="15" hidden="false" customHeight="false" outlineLevel="0" collapsed="false">
      <c r="A759" s="34"/>
      <c r="B759" s="9"/>
      <c r="C759" s="34"/>
      <c r="D759" s="34"/>
      <c r="E759" s="34"/>
      <c r="F759" s="35"/>
      <c r="G759" s="9"/>
      <c r="H759" s="9"/>
      <c r="I759" s="34"/>
      <c r="J759" s="30" t="str">
        <f aca="false">IF(F759="","",G759-B759)</f>
        <v/>
      </c>
      <c r="K759" s="31" t="str">
        <f aca="false">IF(F759="","",IF(H759&lt;&gt;"",H759,MAX('Vade Sapması'!$D$3,G759)))</f>
        <v/>
      </c>
      <c r="L759" s="30" t="str">
        <f aca="false">IF(F759="","",K759-B759)</f>
        <v/>
      </c>
      <c r="M759" s="30" t="str">
        <f aca="false">IF(F759="","",L759-J759)</f>
        <v/>
      </c>
      <c r="N759" s="32" t="str">
        <f aca="false">IF(F759="","",IF(H759&lt;&gt;"","Kapandı",IF('Vade Sapması'!$D$3&gt;G759,"Açık · vadesi geçti","Açık · vadesi gelmedi")))</f>
        <v/>
      </c>
      <c r="O759" s="30" t="str">
        <f aca="false">IF(F759="","",IF(AND(H759="",'Vade Sapması'!$D$3&gt;G759),'Vade Sapması'!$D$3-G759,0))</f>
        <v/>
      </c>
      <c r="P759" s="33" t="str">
        <f aca="false">IF(F759="","",F759*J759)</f>
        <v/>
      </c>
      <c r="Q759" s="33" t="str">
        <f aca="false">IF(F759="","",F759*L759)</f>
        <v/>
      </c>
      <c r="R759" s="33" t="str">
        <f aca="false">IF(F759="","",IF(H759="",F759,0))</f>
        <v/>
      </c>
      <c r="S759" s="32" t="str">
        <f aca="false">IF(F759="","",IF(N(O759)=0,"",IF(O759&lt;=30,"1-30",IF(O759&lt;=60,"31-60",IF(O759&lt;=90,"61-90","90+")))))</f>
        <v/>
      </c>
      <c r="T759" s="32" t="str">
        <f aca="false">IF(F759="","",IF(E759="","Diğer",E759))</f>
        <v/>
      </c>
      <c r="U759" s="32" t="str">
        <f aca="false">IF(OR(F759="",C759=""),"",IF(COUNTIF($C$2:C759,C759)=1,MAX($U$1:U758)+1,""))</f>
        <v/>
      </c>
    </row>
    <row r="760" customFormat="false" ht="15" hidden="false" customHeight="false" outlineLevel="0" collapsed="false">
      <c r="A760" s="34"/>
      <c r="B760" s="9"/>
      <c r="C760" s="34"/>
      <c r="D760" s="34"/>
      <c r="E760" s="34"/>
      <c r="F760" s="35"/>
      <c r="G760" s="9"/>
      <c r="H760" s="9"/>
      <c r="I760" s="34"/>
      <c r="J760" s="30" t="str">
        <f aca="false">IF(F760="","",G760-B760)</f>
        <v/>
      </c>
      <c r="K760" s="31" t="str">
        <f aca="false">IF(F760="","",IF(H760&lt;&gt;"",H760,MAX('Vade Sapması'!$D$3,G760)))</f>
        <v/>
      </c>
      <c r="L760" s="30" t="str">
        <f aca="false">IF(F760="","",K760-B760)</f>
        <v/>
      </c>
      <c r="M760" s="30" t="str">
        <f aca="false">IF(F760="","",L760-J760)</f>
        <v/>
      </c>
      <c r="N760" s="32" t="str">
        <f aca="false">IF(F760="","",IF(H760&lt;&gt;"","Kapandı",IF('Vade Sapması'!$D$3&gt;G760,"Açık · vadesi geçti","Açık · vadesi gelmedi")))</f>
        <v/>
      </c>
      <c r="O760" s="30" t="str">
        <f aca="false">IF(F760="","",IF(AND(H760="",'Vade Sapması'!$D$3&gt;G760),'Vade Sapması'!$D$3-G760,0))</f>
        <v/>
      </c>
      <c r="P760" s="33" t="str">
        <f aca="false">IF(F760="","",F760*J760)</f>
        <v/>
      </c>
      <c r="Q760" s="33" t="str">
        <f aca="false">IF(F760="","",F760*L760)</f>
        <v/>
      </c>
      <c r="R760" s="33" t="str">
        <f aca="false">IF(F760="","",IF(H760="",F760,0))</f>
        <v/>
      </c>
      <c r="S760" s="32" t="str">
        <f aca="false">IF(F760="","",IF(N(O760)=0,"",IF(O760&lt;=30,"1-30",IF(O760&lt;=60,"31-60",IF(O760&lt;=90,"61-90","90+")))))</f>
        <v/>
      </c>
      <c r="T760" s="32" t="str">
        <f aca="false">IF(F760="","",IF(E760="","Diğer",E760))</f>
        <v/>
      </c>
      <c r="U760" s="32" t="str">
        <f aca="false">IF(OR(F760="",C760=""),"",IF(COUNTIF($C$2:C760,C760)=1,MAX($U$1:U759)+1,""))</f>
        <v/>
      </c>
    </row>
    <row r="761" customFormat="false" ht="15" hidden="false" customHeight="false" outlineLevel="0" collapsed="false">
      <c r="A761" s="34"/>
      <c r="B761" s="9"/>
      <c r="C761" s="34"/>
      <c r="D761" s="34"/>
      <c r="E761" s="34"/>
      <c r="F761" s="35"/>
      <c r="G761" s="9"/>
      <c r="H761" s="9"/>
      <c r="I761" s="34"/>
      <c r="J761" s="30" t="str">
        <f aca="false">IF(F761="","",G761-B761)</f>
        <v/>
      </c>
      <c r="K761" s="31" t="str">
        <f aca="false">IF(F761="","",IF(H761&lt;&gt;"",H761,MAX('Vade Sapması'!$D$3,G761)))</f>
        <v/>
      </c>
      <c r="L761" s="30" t="str">
        <f aca="false">IF(F761="","",K761-B761)</f>
        <v/>
      </c>
      <c r="M761" s="30" t="str">
        <f aca="false">IF(F761="","",L761-J761)</f>
        <v/>
      </c>
      <c r="N761" s="32" t="str">
        <f aca="false">IF(F761="","",IF(H761&lt;&gt;"","Kapandı",IF('Vade Sapması'!$D$3&gt;G761,"Açık · vadesi geçti","Açık · vadesi gelmedi")))</f>
        <v/>
      </c>
      <c r="O761" s="30" t="str">
        <f aca="false">IF(F761="","",IF(AND(H761="",'Vade Sapması'!$D$3&gt;G761),'Vade Sapması'!$D$3-G761,0))</f>
        <v/>
      </c>
      <c r="P761" s="33" t="str">
        <f aca="false">IF(F761="","",F761*J761)</f>
        <v/>
      </c>
      <c r="Q761" s="33" t="str">
        <f aca="false">IF(F761="","",F761*L761)</f>
        <v/>
      </c>
      <c r="R761" s="33" t="str">
        <f aca="false">IF(F761="","",IF(H761="",F761,0))</f>
        <v/>
      </c>
      <c r="S761" s="32" t="str">
        <f aca="false">IF(F761="","",IF(N(O761)=0,"",IF(O761&lt;=30,"1-30",IF(O761&lt;=60,"31-60",IF(O761&lt;=90,"61-90","90+")))))</f>
        <v/>
      </c>
      <c r="T761" s="32" t="str">
        <f aca="false">IF(F761="","",IF(E761="","Diğer",E761))</f>
        <v/>
      </c>
      <c r="U761" s="32" t="str">
        <f aca="false">IF(OR(F761="",C761=""),"",IF(COUNTIF($C$2:C761,C761)=1,MAX($U$1:U760)+1,""))</f>
        <v/>
      </c>
    </row>
    <row r="762" customFormat="false" ht="15" hidden="false" customHeight="false" outlineLevel="0" collapsed="false">
      <c r="A762" s="34"/>
      <c r="B762" s="9"/>
      <c r="C762" s="34"/>
      <c r="D762" s="34"/>
      <c r="E762" s="34"/>
      <c r="F762" s="35"/>
      <c r="G762" s="9"/>
      <c r="H762" s="9"/>
      <c r="I762" s="34"/>
      <c r="J762" s="30" t="str">
        <f aca="false">IF(F762="","",G762-B762)</f>
        <v/>
      </c>
      <c r="K762" s="31" t="str">
        <f aca="false">IF(F762="","",IF(H762&lt;&gt;"",H762,MAX('Vade Sapması'!$D$3,G762)))</f>
        <v/>
      </c>
      <c r="L762" s="30" t="str">
        <f aca="false">IF(F762="","",K762-B762)</f>
        <v/>
      </c>
      <c r="M762" s="30" t="str">
        <f aca="false">IF(F762="","",L762-J762)</f>
        <v/>
      </c>
      <c r="N762" s="32" t="str">
        <f aca="false">IF(F762="","",IF(H762&lt;&gt;"","Kapandı",IF('Vade Sapması'!$D$3&gt;G762,"Açık · vadesi geçti","Açık · vadesi gelmedi")))</f>
        <v/>
      </c>
      <c r="O762" s="30" t="str">
        <f aca="false">IF(F762="","",IF(AND(H762="",'Vade Sapması'!$D$3&gt;G762),'Vade Sapması'!$D$3-G762,0))</f>
        <v/>
      </c>
      <c r="P762" s="33" t="str">
        <f aca="false">IF(F762="","",F762*J762)</f>
        <v/>
      </c>
      <c r="Q762" s="33" t="str">
        <f aca="false">IF(F762="","",F762*L762)</f>
        <v/>
      </c>
      <c r="R762" s="33" t="str">
        <f aca="false">IF(F762="","",IF(H762="",F762,0))</f>
        <v/>
      </c>
      <c r="S762" s="32" t="str">
        <f aca="false">IF(F762="","",IF(N(O762)=0,"",IF(O762&lt;=30,"1-30",IF(O762&lt;=60,"31-60",IF(O762&lt;=90,"61-90","90+")))))</f>
        <v/>
      </c>
      <c r="T762" s="32" t="str">
        <f aca="false">IF(F762="","",IF(E762="","Diğer",E762))</f>
        <v/>
      </c>
      <c r="U762" s="32" t="str">
        <f aca="false">IF(OR(F762="",C762=""),"",IF(COUNTIF($C$2:C762,C762)=1,MAX($U$1:U761)+1,""))</f>
        <v/>
      </c>
    </row>
    <row r="763" customFormat="false" ht="15" hidden="false" customHeight="false" outlineLevel="0" collapsed="false">
      <c r="A763" s="34"/>
      <c r="B763" s="9"/>
      <c r="C763" s="34"/>
      <c r="D763" s="34"/>
      <c r="E763" s="34"/>
      <c r="F763" s="35"/>
      <c r="G763" s="9"/>
      <c r="H763" s="9"/>
      <c r="I763" s="34"/>
      <c r="J763" s="30" t="str">
        <f aca="false">IF(F763="","",G763-B763)</f>
        <v/>
      </c>
      <c r="K763" s="31" t="str">
        <f aca="false">IF(F763="","",IF(H763&lt;&gt;"",H763,MAX('Vade Sapması'!$D$3,G763)))</f>
        <v/>
      </c>
      <c r="L763" s="30" t="str">
        <f aca="false">IF(F763="","",K763-B763)</f>
        <v/>
      </c>
      <c r="M763" s="30" t="str">
        <f aca="false">IF(F763="","",L763-J763)</f>
        <v/>
      </c>
      <c r="N763" s="32" t="str">
        <f aca="false">IF(F763="","",IF(H763&lt;&gt;"","Kapandı",IF('Vade Sapması'!$D$3&gt;G763,"Açık · vadesi geçti","Açık · vadesi gelmedi")))</f>
        <v/>
      </c>
      <c r="O763" s="30" t="str">
        <f aca="false">IF(F763="","",IF(AND(H763="",'Vade Sapması'!$D$3&gt;G763),'Vade Sapması'!$D$3-G763,0))</f>
        <v/>
      </c>
      <c r="P763" s="33" t="str">
        <f aca="false">IF(F763="","",F763*J763)</f>
        <v/>
      </c>
      <c r="Q763" s="33" t="str">
        <f aca="false">IF(F763="","",F763*L763)</f>
        <v/>
      </c>
      <c r="R763" s="33" t="str">
        <f aca="false">IF(F763="","",IF(H763="",F763,0))</f>
        <v/>
      </c>
      <c r="S763" s="32" t="str">
        <f aca="false">IF(F763="","",IF(N(O763)=0,"",IF(O763&lt;=30,"1-30",IF(O763&lt;=60,"31-60",IF(O763&lt;=90,"61-90","90+")))))</f>
        <v/>
      </c>
      <c r="T763" s="32" t="str">
        <f aca="false">IF(F763="","",IF(E763="","Diğer",E763))</f>
        <v/>
      </c>
      <c r="U763" s="32" t="str">
        <f aca="false">IF(OR(F763="",C763=""),"",IF(COUNTIF($C$2:C763,C763)=1,MAX($U$1:U762)+1,""))</f>
        <v/>
      </c>
    </row>
    <row r="764" customFormat="false" ht="15" hidden="false" customHeight="false" outlineLevel="0" collapsed="false">
      <c r="A764" s="34"/>
      <c r="B764" s="9"/>
      <c r="C764" s="34"/>
      <c r="D764" s="34"/>
      <c r="E764" s="34"/>
      <c r="F764" s="35"/>
      <c r="G764" s="9"/>
      <c r="H764" s="9"/>
      <c r="I764" s="34"/>
      <c r="J764" s="30" t="str">
        <f aca="false">IF(F764="","",G764-B764)</f>
        <v/>
      </c>
      <c r="K764" s="31" t="str">
        <f aca="false">IF(F764="","",IF(H764&lt;&gt;"",H764,MAX('Vade Sapması'!$D$3,G764)))</f>
        <v/>
      </c>
      <c r="L764" s="30" t="str">
        <f aca="false">IF(F764="","",K764-B764)</f>
        <v/>
      </c>
      <c r="M764" s="30" t="str">
        <f aca="false">IF(F764="","",L764-J764)</f>
        <v/>
      </c>
      <c r="N764" s="32" t="str">
        <f aca="false">IF(F764="","",IF(H764&lt;&gt;"","Kapandı",IF('Vade Sapması'!$D$3&gt;G764,"Açık · vadesi geçti","Açık · vadesi gelmedi")))</f>
        <v/>
      </c>
      <c r="O764" s="30" t="str">
        <f aca="false">IF(F764="","",IF(AND(H764="",'Vade Sapması'!$D$3&gt;G764),'Vade Sapması'!$D$3-G764,0))</f>
        <v/>
      </c>
      <c r="P764" s="33" t="str">
        <f aca="false">IF(F764="","",F764*J764)</f>
        <v/>
      </c>
      <c r="Q764" s="33" t="str">
        <f aca="false">IF(F764="","",F764*L764)</f>
        <v/>
      </c>
      <c r="R764" s="33" t="str">
        <f aca="false">IF(F764="","",IF(H764="",F764,0))</f>
        <v/>
      </c>
      <c r="S764" s="32" t="str">
        <f aca="false">IF(F764="","",IF(N(O764)=0,"",IF(O764&lt;=30,"1-30",IF(O764&lt;=60,"31-60",IF(O764&lt;=90,"61-90","90+")))))</f>
        <v/>
      </c>
      <c r="T764" s="32" t="str">
        <f aca="false">IF(F764="","",IF(E764="","Diğer",E764))</f>
        <v/>
      </c>
      <c r="U764" s="32" t="str">
        <f aca="false">IF(OR(F764="",C764=""),"",IF(COUNTIF($C$2:C764,C764)=1,MAX($U$1:U763)+1,""))</f>
        <v/>
      </c>
    </row>
    <row r="765" customFormat="false" ht="15" hidden="false" customHeight="false" outlineLevel="0" collapsed="false">
      <c r="A765" s="34"/>
      <c r="B765" s="9"/>
      <c r="C765" s="34"/>
      <c r="D765" s="34"/>
      <c r="E765" s="34"/>
      <c r="F765" s="35"/>
      <c r="G765" s="9"/>
      <c r="H765" s="9"/>
      <c r="I765" s="34"/>
      <c r="J765" s="30" t="str">
        <f aca="false">IF(F765="","",G765-B765)</f>
        <v/>
      </c>
      <c r="K765" s="31" t="str">
        <f aca="false">IF(F765="","",IF(H765&lt;&gt;"",H765,MAX('Vade Sapması'!$D$3,G765)))</f>
        <v/>
      </c>
      <c r="L765" s="30" t="str">
        <f aca="false">IF(F765="","",K765-B765)</f>
        <v/>
      </c>
      <c r="M765" s="30" t="str">
        <f aca="false">IF(F765="","",L765-J765)</f>
        <v/>
      </c>
      <c r="N765" s="32" t="str">
        <f aca="false">IF(F765="","",IF(H765&lt;&gt;"","Kapandı",IF('Vade Sapması'!$D$3&gt;G765,"Açık · vadesi geçti","Açık · vadesi gelmedi")))</f>
        <v/>
      </c>
      <c r="O765" s="30" t="str">
        <f aca="false">IF(F765="","",IF(AND(H765="",'Vade Sapması'!$D$3&gt;G765),'Vade Sapması'!$D$3-G765,0))</f>
        <v/>
      </c>
      <c r="P765" s="33" t="str">
        <f aca="false">IF(F765="","",F765*J765)</f>
        <v/>
      </c>
      <c r="Q765" s="33" t="str">
        <f aca="false">IF(F765="","",F765*L765)</f>
        <v/>
      </c>
      <c r="R765" s="33" t="str">
        <f aca="false">IF(F765="","",IF(H765="",F765,0))</f>
        <v/>
      </c>
      <c r="S765" s="32" t="str">
        <f aca="false">IF(F765="","",IF(N(O765)=0,"",IF(O765&lt;=30,"1-30",IF(O765&lt;=60,"31-60",IF(O765&lt;=90,"61-90","90+")))))</f>
        <v/>
      </c>
      <c r="T765" s="32" t="str">
        <f aca="false">IF(F765="","",IF(E765="","Diğer",E765))</f>
        <v/>
      </c>
      <c r="U765" s="32" t="str">
        <f aca="false">IF(OR(F765="",C765=""),"",IF(COUNTIF($C$2:C765,C765)=1,MAX($U$1:U764)+1,""))</f>
        <v/>
      </c>
    </row>
    <row r="766" customFormat="false" ht="15" hidden="false" customHeight="false" outlineLevel="0" collapsed="false">
      <c r="A766" s="34"/>
      <c r="B766" s="9"/>
      <c r="C766" s="34"/>
      <c r="D766" s="34"/>
      <c r="E766" s="34"/>
      <c r="F766" s="35"/>
      <c r="G766" s="9"/>
      <c r="H766" s="9"/>
      <c r="I766" s="34"/>
      <c r="J766" s="30" t="str">
        <f aca="false">IF(F766="","",G766-B766)</f>
        <v/>
      </c>
      <c r="K766" s="31" t="str">
        <f aca="false">IF(F766="","",IF(H766&lt;&gt;"",H766,MAX('Vade Sapması'!$D$3,G766)))</f>
        <v/>
      </c>
      <c r="L766" s="30" t="str">
        <f aca="false">IF(F766="","",K766-B766)</f>
        <v/>
      </c>
      <c r="M766" s="30" t="str">
        <f aca="false">IF(F766="","",L766-J766)</f>
        <v/>
      </c>
      <c r="N766" s="32" t="str">
        <f aca="false">IF(F766="","",IF(H766&lt;&gt;"","Kapandı",IF('Vade Sapması'!$D$3&gt;G766,"Açık · vadesi geçti","Açık · vadesi gelmedi")))</f>
        <v/>
      </c>
      <c r="O766" s="30" t="str">
        <f aca="false">IF(F766="","",IF(AND(H766="",'Vade Sapması'!$D$3&gt;G766),'Vade Sapması'!$D$3-G766,0))</f>
        <v/>
      </c>
      <c r="P766" s="33" t="str">
        <f aca="false">IF(F766="","",F766*J766)</f>
        <v/>
      </c>
      <c r="Q766" s="33" t="str">
        <f aca="false">IF(F766="","",F766*L766)</f>
        <v/>
      </c>
      <c r="R766" s="33" t="str">
        <f aca="false">IF(F766="","",IF(H766="",F766,0))</f>
        <v/>
      </c>
      <c r="S766" s="32" t="str">
        <f aca="false">IF(F766="","",IF(N(O766)=0,"",IF(O766&lt;=30,"1-30",IF(O766&lt;=60,"31-60",IF(O766&lt;=90,"61-90","90+")))))</f>
        <v/>
      </c>
      <c r="T766" s="32" t="str">
        <f aca="false">IF(F766="","",IF(E766="","Diğer",E766))</f>
        <v/>
      </c>
      <c r="U766" s="32" t="str">
        <f aca="false">IF(OR(F766="",C766=""),"",IF(COUNTIF($C$2:C766,C766)=1,MAX($U$1:U765)+1,""))</f>
        <v/>
      </c>
    </row>
    <row r="767" customFormat="false" ht="15" hidden="false" customHeight="false" outlineLevel="0" collapsed="false">
      <c r="A767" s="34"/>
      <c r="B767" s="9"/>
      <c r="C767" s="34"/>
      <c r="D767" s="34"/>
      <c r="E767" s="34"/>
      <c r="F767" s="35"/>
      <c r="G767" s="9"/>
      <c r="H767" s="9"/>
      <c r="I767" s="34"/>
      <c r="J767" s="30" t="str">
        <f aca="false">IF(F767="","",G767-B767)</f>
        <v/>
      </c>
      <c r="K767" s="31" t="str">
        <f aca="false">IF(F767="","",IF(H767&lt;&gt;"",H767,MAX('Vade Sapması'!$D$3,G767)))</f>
        <v/>
      </c>
      <c r="L767" s="30" t="str">
        <f aca="false">IF(F767="","",K767-B767)</f>
        <v/>
      </c>
      <c r="M767" s="30" t="str">
        <f aca="false">IF(F767="","",L767-J767)</f>
        <v/>
      </c>
      <c r="N767" s="32" t="str">
        <f aca="false">IF(F767="","",IF(H767&lt;&gt;"","Kapandı",IF('Vade Sapması'!$D$3&gt;G767,"Açık · vadesi geçti","Açık · vadesi gelmedi")))</f>
        <v/>
      </c>
      <c r="O767" s="30" t="str">
        <f aca="false">IF(F767="","",IF(AND(H767="",'Vade Sapması'!$D$3&gt;G767),'Vade Sapması'!$D$3-G767,0))</f>
        <v/>
      </c>
      <c r="P767" s="33" t="str">
        <f aca="false">IF(F767="","",F767*J767)</f>
        <v/>
      </c>
      <c r="Q767" s="33" t="str">
        <f aca="false">IF(F767="","",F767*L767)</f>
        <v/>
      </c>
      <c r="R767" s="33" t="str">
        <f aca="false">IF(F767="","",IF(H767="",F767,0))</f>
        <v/>
      </c>
      <c r="S767" s="32" t="str">
        <f aca="false">IF(F767="","",IF(N(O767)=0,"",IF(O767&lt;=30,"1-30",IF(O767&lt;=60,"31-60",IF(O767&lt;=90,"61-90","90+")))))</f>
        <v/>
      </c>
      <c r="T767" s="32" t="str">
        <f aca="false">IF(F767="","",IF(E767="","Diğer",E767))</f>
        <v/>
      </c>
      <c r="U767" s="32" t="str">
        <f aca="false">IF(OR(F767="",C767=""),"",IF(COUNTIF($C$2:C767,C767)=1,MAX($U$1:U766)+1,""))</f>
        <v/>
      </c>
    </row>
    <row r="768" customFormat="false" ht="15" hidden="false" customHeight="false" outlineLevel="0" collapsed="false">
      <c r="A768" s="34"/>
      <c r="B768" s="9"/>
      <c r="C768" s="34"/>
      <c r="D768" s="34"/>
      <c r="E768" s="34"/>
      <c r="F768" s="35"/>
      <c r="G768" s="9"/>
      <c r="H768" s="9"/>
      <c r="I768" s="34"/>
      <c r="J768" s="30" t="str">
        <f aca="false">IF(F768="","",G768-B768)</f>
        <v/>
      </c>
      <c r="K768" s="31" t="str">
        <f aca="false">IF(F768="","",IF(H768&lt;&gt;"",H768,MAX('Vade Sapması'!$D$3,G768)))</f>
        <v/>
      </c>
      <c r="L768" s="30" t="str">
        <f aca="false">IF(F768="","",K768-B768)</f>
        <v/>
      </c>
      <c r="M768" s="30" t="str">
        <f aca="false">IF(F768="","",L768-J768)</f>
        <v/>
      </c>
      <c r="N768" s="32" t="str">
        <f aca="false">IF(F768="","",IF(H768&lt;&gt;"","Kapandı",IF('Vade Sapması'!$D$3&gt;G768,"Açık · vadesi geçti","Açık · vadesi gelmedi")))</f>
        <v/>
      </c>
      <c r="O768" s="30" t="str">
        <f aca="false">IF(F768="","",IF(AND(H768="",'Vade Sapması'!$D$3&gt;G768),'Vade Sapması'!$D$3-G768,0))</f>
        <v/>
      </c>
      <c r="P768" s="33" t="str">
        <f aca="false">IF(F768="","",F768*J768)</f>
        <v/>
      </c>
      <c r="Q768" s="33" t="str">
        <f aca="false">IF(F768="","",F768*L768)</f>
        <v/>
      </c>
      <c r="R768" s="33" t="str">
        <f aca="false">IF(F768="","",IF(H768="",F768,0))</f>
        <v/>
      </c>
      <c r="S768" s="32" t="str">
        <f aca="false">IF(F768="","",IF(N(O768)=0,"",IF(O768&lt;=30,"1-30",IF(O768&lt;=60,"31-60",IF(O768&lt;=90,"61-90","90+")))))</f>
        <v/>
      </c>
      <c r="T768" s="32" t="str">
        <f aca="false">IF(F768="","",IF(E768="","Diğer",E768))</f>
        <v/>
      </c>
      <c r="U768" s="32" t="str">
        <f aca="false">IF(OR(F768="",C768=""),"",IF(COUNTIF($C$2:C768,C768)=1,MAX($U$1:U767)+1,""))</f>
        <v/>
      </c>
    </row>
    <row r="769" customFormat="false" ht="15" hidden="false" customHeight="false" outlineLevel="0" collapsed="false">
      <c r="A769" s="34"/>
      <c r="B769" s="9"/>
      <c r="C769" s="34"/>
      <c r="D769" s="34"/>
      <c r="E769" s="34"/>
      <c r="F769" s="35"/>
      <c r="G769" s="9"/>
      <c r="H769" s="9"/>
      <c r="I769" s="34"/>
      <c r="J769" s="30" t="str">
        <f aca="false">IF(F769="","",G769-B769)</f>
        <v/>
      </c>
      <c r="K769" s="31" t="str">
        <f aca="false">IF(F769="","",IF(H769&lt;&gt;"",H769,MAX('Vade Sapması'!$D$3,G769)))</f>
        <v/>
      </c>
      <c r="L769" s="30" t="str">
        <f aca="false">IF(F769="","",K769-B769)</f>
        <v/>
      </c>
      <c r="M769" s="30" t="str">
        <f aca="false">IF(F769="","",L769-J769)</f>
        <v/>
      </c>
      <c r="N769" s="32" t="str">
        <f aca="false">IF(F769="","",IF(H769&lt;&gt;"","Kapandı",IF('Vade Sapması'!$D$3&gt;G769,"Açık · vadesi geçti","Açık · vadesi gelmedi")))</f>
        <v/>
      </c>
      <c r="O769" s="30" t="str">
        <f aca="false">IF(F769="","",IF(AND(H769="",'Vade Sapması'!$D$3&gt;G769),'Vade Sapması'!$D$3-G769,0))</f>
        <v/>
      </c>
      <c r="P769" s="33" t="str">
        <f aca="false">IF(F769="","",F769*J769)</f>
        <v/>
      </c>
      <c r="Q769" s="33" t="str">
        <f aca="false">IF(F769="","",F769*L769)</f>
        <v/>
      </c>
      <c r="R769" s="33" t="str">
        <f aca="false">IF(F769="","",IF(H769="",F769,0))</f>
        <v/>
      </c>
      <c r="S769" s="32" t="str">
        <f aca="false">IF(F769="","",IF(N(O769)=0,"",IF(O769&lt;=30,"1-30",IF(O769&lt;=60,"31-60",IF(O769&lt;=90,"61-90","90+")))))</f>
        <v/>
      </c>
      <c r="T769" s="32" t="str">
        <f aca="false">IF(F769="","",IF(E769="","Diğer",E769))</f>
        <v/>
      </c>
      <c r="U769" s="32" t="str">
        <f aca="false">IF(OR(F769="",C769=""),"",IF(COUNTIF($C$2:C769,C769)=1,MAX($U$1:U768)+1,""))</f>
        <v/>
      </c>
    </row>
    <row r="770" customFormat="false" ht="15" hidden="false" customHeight="false" outlineLevel="0" collapsed="false">
      <c r="A770" s="34"/>
      <c r="B770" s="9"/>
      <c r="C770" s="34"/>
      <c r="D770" s="34"/>
      <c r="E770" s="34"/>
      <c r="F770" s="35"/>
      <c r="G770" s="9"/>
      <c r="H770" s="9"/>
      <c r="I770" s="34"/>
      <c r="J770" s="30" t="str">
        <f aca="false">IF(F770="","",G770-B770)</f>
        <v/>
      </c>
      <c r="K770" s="31" t="str">
        <f aca="false">IF(F770="","",IF(H770&lt;&gt;"",H770,MAX('Vade Sapması'!$D$3,G770)))</f>
        <v/>
      </c>
      <c r="L770" s="30" t="str">
        <f aca="false">IF(F770="","",K770-B770)</f>
        <v/>
      </c>
      <c r="M770" s="30" t="str">
        <f aca="false">IF(F770="","",L770-J770)</f>
        <v/>
      </c>
      <c r="N770" s="32" t="str">
        <f aca="false">IF(F770="","",IF(H770&lt;&gt;"","Kapandı",IF('Vade Sapması'!$D$3&gt;G770,"Açık · vadesi geçti","Açık · vadesi gelmedi")))</f>
        <v/>
      </c>
      <c r="O770" s="30" t="str">
        <f aca="false">IF(F770="","",IF(AND(H770="",'Vade Sapması'!$D$3&gt;G770),'Vade Sapması'!$D$3-G770,0))</f>
        <v/>
      </c>
      <c r="P770" s="33" t="str">
        <f aca="false">IF(F770="","",F770*J770)</f>
        <v/>
      </c>
      <c r="Q770" s="33" t="str">
        <f aca="false">IF(F770="","",F770*L770)</f>
        <v/>
      </c>
      <c r="R770" s="33" t="str">
        <f aca="false">IF(F770="","",IF(H770="",F770,0))</f>
        <v/>
      </c>
      <c r="S770" s="32" t="str">
        <f aca="false">IF(F770="","",IF(N(O770)=0,"",IF(O770&lt;=30,"1-30",IF(O770&lt;=60,"31-60",IF(O770&lt;=90,"61-90","90+")))))</f>
        <v/>
      </c>
      <c r="T770" s="32" t="str">
        <f aca="false">IF(F770="","",IF(E770="","Diğer",E770))</f>
        <v/>
      </c>
      <c r="U770" s="32" t="str">
        <f aca="false">IF(OR(F770="",C770=""),"",IF(COUNTIF($C$2:C770,C770)=1,MAX($U$1:U769)+1,""))</f>
        <v/>
      </c>
    </row>
    <row r="771" customFormat="false" ht="15" hidden="false" customHeight="false" outlineLevel="0" collapsed="false">
      <c r="A771" s="34"/>
      <c r="B771" s="9"/>
      <c r="C771" s="34"/>
      <c r="D771" s="34"/>
      <c r="E771" s="34"/>
      <c r="F771" s="35"/>
      <c r="G771" s="9"/>
      <c r="H771" s="9"/>
      <c r="I771" s="34"/>
      <c r="J771" s="30" t="str">
        <f aca="false">IF(F771="","",G771-B771)</f>
        <v/>
      </c>
      <c r="K771" s="31" t="str">
        <f aca="false">IF(F771="","",IF(H771&lt;&gt;"",H771,MAX('Vade Sapması'!$D$3,G771)))</f>
        <v/>
      </c>
      <c r="L771" s="30" t="str">
        <f aca="false">IF(F771="","",K771-B771)</f>
        <v/>
      </c>
      <c r="M771" s="30" t="str">
        <f aca="false">IF(F771="","",L771-J771)</f>
        <v/>
      </c>
      <c r="N771" s="32" t="str">
        <f aca="false">IF(F771="","",IF(H771&lt;&gt;"","Kapandı",IF('Vade Sapması'!$D$3&gt;G771,"Açık · vadesi geçti","Açık · vadesi gelmedi")))</f>
        <v/>
      </c>
      <c r="O771" s="30" t="str">
        <f aca="false">IF(F771="","",IF(AND(H771="",'Vade Sapması'!$D$3&gt;G771),'Vade Sapması'!$D$3-G771,0))</f>
        <v/>
      </c>
      <c r="P771" s="33" t="str">
        <f aca="false">IF(F771="","",F771*J771)</f>
        <v/>
      </c>
      <c r="Q771" s="33" t="str">
        <f aca="false">IF(F771="","",F771*L771)</f>
        <v/>
      </c>
      <c r="R771" s="33" t="str">
        <f aca="false">IF(F771="","",IF(H771="",F771,0))</f>
        <v/>
      </c>
      <c r="S771" s="32" t="str">
        <f aca="false">IF(F771="","",IF(N(O771)=0,"",IF(O771&lt;=30,"1-30",IF(O771&lt;=60,"31-60",IF(O771&lt;=90,"61-90","90+")))))</f>
        <v/>
      </c>
      <c r="T771" s="32" t="str">
        <f aca="false">IF(F771="","",IF(E771="","Diğer",E771))</f>
        <v/>
      </c>
      <c r="U771" s="32" t="str">
        <f aca="false">IF(OR(F771="",C771=""),"",IF(COUNTIF($C$2:C771,C771)=1,MAX($U$1:U770)+1,""))</f>
        <v/>
      </c>
    </row>
    <row r="772" customFormat="false" ht="15" hidden="false" customHeight="false" outlineLevel="0" collapsed="false">
      <c r="A772" s="34"/>
      <c r="B772" s="9"/>
      <c r="C772" s="34"/>
      <c r="D772" s="34"/>
      <c r="E772" s="34"/>
      <c r="F772" s="35"/>
      <c r="G772" s="9"/>
      <c r="H772" s="9"/>
      <c r="I772" s="34"/>
      <c r="J772" s="30" t="str">
        <f aca="false">IF(F772="","",G772-B772)</f>
        <v/>
      </c>
      <c r="K772" s="31" t="str">
        <f aca="false">IF(F772="","",IF(H772&lt;&gt;"",H772,MAX('Vade Sapması'!$D$3,G772)))</f>
        <v/>
      </c>
      <c r="L772" s="30" t="str">
        <f aca="false">IF(F772="","",K772-B772)</f>
        <v/>
      </c>
      <c r="M772" s="30" t="str">
        <f aca="false">IF(F772="","",L772-J772)</f>
        <v/>
      </c>
      <c r="N772" s="32" t="str">
        <f aca="false">IF(F772="","",IF(H772&lt;&gt;"","Kapandı",IF('Vade Sapması'!$D$3&gt;G772,"Açık · vadesi geçti","Açık · vadesi gelmedi")))</f>
        <v/>
      </c>
      <c r="O772" s="30" t="str">
        <f aca="false">IF(F772="","",IF(AND(H772="",'Vade Sapması'!$D$3&gt;G772),'Vade Sapması'!$D$3-G772,0))</f>
        <v/>
      </c>
      <c r="P772" s="33" t="str">
        <f aca="false">IF(F772="","",F772*J772)</f>
        <v/>
      </c>
      <c r="Q772" s="33" t="str">
        <f aca="false">IF(F772="","",F772*L772)</f>
        <v/>
      </c>
      <c r="R772" s="33" t="str">
        <f aca="false">IF(F772="","",IF(H772="",F772,0))</f>
        <v/>
      </c>
      <c r="S772" s="32" t="str">
        <f aca="false">IF(F772="","",IF(N(O772)=0,"",IF(O772&lt;=30,"1-30",IF(O772&lt;=60,"31-60",IF(O772&lt;=90,"61-90","90+")))))</f>
        <v/>
      </c>
      <c r="T772" s="32" t="str">
        <f aca="false">IF(F772="","",IF(E772="","Diğer",E772))</f>
        <v/>
      </c>
      <c r="U772" s="32" t="str">
        <f aca="false">IF(OR(F772="",C772=""),"",IF(COUNTIF($C$2:C772,C772)=1,MAX($U$1:U771)+1,""))</f>
        <v/>
      </c>
    </row>
    <row r="773" customFormat="false" ht="15" hidden="false" customHeight="false" outlineLevel="0" collapsed="false">
      <c r="A773" s="34"/>
      <c r="B773" s="9"/>
      <c r="C773" s="34"/>
      <c r="D773" s="34"/>
      <c r="E773" s="34"/>
      <c r="F773" s="35"/>
      <c r="G773" s="9"/>
      <c r="H773" s="9"/>
      <c r="I773" s="34"/>
      <c r="J773" s="30" t="str">
        <f aca="false">IF(F773="","",G773-B773)</f>
        <v/>
      </c>
      <c r="K773" s="31" t="str">
        <f aca="false">IF(F773="","",IF(H773&lt;&gt;"",H773,MAX('Vade Sapması'!$D$3,G773)))</f>
        <v/>
      </c>
      <c r="L773" s="30" t="str">
        <f aca="false">IF(F773="","",K773-B773)</f>
        <v/>
      </c>
      <c r="M773" s="30" t="str">
        <f aca="false">IF(F773="","",L773-J773)</f>
        <v/>
      </c>
      <c r="N773" s="32" t="str">
        <f aca="false">IF(F773="","",IF(H773&lt;&gt;"","Kapandı",IF('Vade Sapması'!$D$3&gt;G773,"Açık · vadesi geçti","Açık · vadesi gelmedi")))</f>
        <v/>
      </c>
      <c r="O773" s="30" t="str">
        <f aca="false">IF(F773="","",IF(AND(H773="",'Vade Sapması'!$D$3&gt;G773),'Vade Sapması'!$D$3-G773,0))</f>
        <v/>
      </c>
      <c r="P773" s="33" t="str">
        <f aca="false">IF(F773="","",F773*J773)</f>
        <v/>
      </c>
      <c r="Q773" s="33" t="str">
        <f aca="false">IF(F773="","",F773*L773)</f>
        <v/>
      </c>
      <c r="R773" s="33" t="str">
        <f aca="false">IF(F773="","",IF(H773="",F773,0))</f>
        <v/>
      </c>
      <c r="S773" s="32" t="str">
        <f aca="false">IF(F773="","",IF(N(O773)=0,"",IF(O773&lt;=30,"1-30",IF(O773&lt;=60,"31-60",IF(O773&lt;=90,"61-90","90+")))))</f>
        <v/>
      </c>
      <c r="T773" s="32" t="str">
        <f aca="false">IF(F773="","",IF(E773="","Diğer",E773))</f>
        <v/>
      </c>
      <c r="U773" s="32" t="str">
        <f aca="false">IF(OR(F773="",C773=""),"",IF(COUNTIF($C$2:C773,C773)=1,MAX($U$1:U772)+1,""))</f>
        <v/>
      </c>
    </row>
    <row r="774" customFormat="false" ht="15" hidden="false" customHeight="false" outlineLevel="0" collapsed="false">
      <c r="A774" s="34"/>
      <c r="B774" s="9"/>
      <c r="C774" s="34"/>
      <c r="D774" s="34"/>
      <c r="E774" s="34"/>
      <c r="F774" s="35"/>
      <c r="G774" s="9"/>
      <c r="H774" s="9"/>
      <c r="I774" s="34"/>
      <c r="J774" s="30" t="str">
        <f aca="false">IF(F774="","",G774-B774)</f>
        <v/>
      </c>
      <c r="K774" s="31" t="str">
        <f aca="false">IF(F774="","",IF(H774&lt;&gt;"",H774,MAX('Vade Sapması'!$D$3,G774)))</f>
        <v/>
      </c>
      <c r="L774" s="30" t="str">
        <f aca="false">IF(F774="","",K774-B774)</f>
        <v/>
      </c>
      <c r="M774" s="30" t="str">
        <f aca="false">IF(F774="","",L774-J774)</f>
        <v/>
      </c>
      <c r="N774" s="32" t="str">
        <f aca="false">IF(F774="","",IF(H774&lt;&gt;"","Kapandı",IF('Vade Sapması'!$D$3&gt;G774,"Açık · vadesi geçti","Açık · vadesi gelmedi")))</f>
        <v/>
      </c>
      <c r="O774" s="30" t="str">
        <f aca="false">IF(F774="","",IF(AND(H774="",'Vade Sapması'!$D$3&gt;G774),'Vade Sapması'!$D$3-G774,0))</f>
        <v/>
      </c>
      <c r="P774" s="33" t="str">
        <f aca="false">IF(F774="","",F774*J774)</f>
        <v/>
      </c>
      <c r="Q774" s="33" t="str">
        <f aca="false">IF(F774="","",F774*L774)</f>
        <v/>
      </c>
      <c r="R774" s="33" t="str">
        <f aca="false">IF(F774="","",IF(H774="",F774,0))</f>
        <v/>
      </c>
      <c r="S774" s="32" t="str">
        <f aca="false">IF(F774="","",IF(N(O774)=0,"",IF(O774&lt;=30,"1-30",IF(O774&lt;=60,"31-60",IF(O774&lt;=90,"61-90","90+")))))</f>
        <v/>
      </c>
      <c r="T774" s="32" t="str">
        <f aca="false">IF(F774="","",IF(E774="","Diğer",E774))</f>
        <v/>
      </c>
      <c r="U774" s="32" t="str">
        <f aca="false">IF(OR(F774="",C774=""),"",IF(COUNTIF($C$2:C774,C774)=1,MAX($U$1:U773)+1,""))</f>
        <v/>
      </c>
    </row>
    <row r="775" customFormat="false" ht="15" hidden="false" customHeight="false" outlineLevel="0" collapsed="false">
      <c r="A775" s="34"/>
      <c r="B775" s="9"/>
      <c r="C775" s="34"/>
      <c r="D775" s="34"/>
      <c r="E775" s="34"/>
      <c r="F775" s="35"/>
      <c r="G775" s="9"/>
      <c r="H775" s="9"/>
      <c r="I775" s="34"/>
      <c r="J775" s="30" t="str">
        <f aca="false">IF(F775="","",G775-B775)</f>
        <v/>
      </c>
      <c r="K775" s="31" t="str">
        <f aca="false">IF(F775="","",IF(H775&lt;&gt;"",H775,MAX('Vade Sapması'!$D$3,G775)))</f>
        <v/>
      </c>
      <c r="L775" s="30" t="str">
        <f aca="false">IF(F775="","",K775-B775)</f>
        <v/>
      </c>
      <c r="M775" s="30" t="str">
        <f aca="false">IF(F775="","",L775-J775)</f>
        <v/>
      </c>
      <c r="N775" s="32" t="str">
        <f aca="false">IF(F775="","",IF(H775&lt;&gt;"","Kapandı",IF('Vade Sapması'!$D$3&gt;G775,"Açık · vadesi geçti","Açık · vadesi gelmedi")))</f>
        <v/>
      </c>
      <c r="O775" s="30" t="str">
        <f aca="false">IF(F775="","",IF(AND(H775="",'Vade Sapması'!$D$3&gt;G775),'Vade Sapması'!$D$3-G775,0))</f>
        <v/>
      </c>
      <c r="P775" s="33" t="str">
        <f aca="false">IF(F775="","",F775*J775)</f>
        <v/>
      </c>
      <c r="Q775" s="33" t="str">
        <f aca="false">IF(F775="","",F775*L775)</f>
        <v/>
      </c>
      <c r="R775" s="33" t="str">
        <f aca="false">IF(F775="","",IF(H775="",F775,0))</f>
        <v/>
      </c>
      <c r="S775" s="32" t="str">
        <f aca="false">IF(F775="","",IF(N(O775)=0,"",IF(O775&lt;=30,"1-30",IF(O775&lt;=60,"31-60",IF(O775&lt;=90,"61-90","90+")))))</f>
        <v/>
      </c>
      <c r="T775" s="32" t="str">
        <f aca="false">IF(F775="","",IF(E775="","Diğer",E775))</f>
        <v/>
      </c>
      <c r="U775" s="32" t="str">
        <f aca="false">IF(OR(F775="",C775=""),"",IF(COUNTIF($C$2:C775,C775)=1,MAX($U$1:U774)+1,""))</f>
        <v/>
      </c>
    </row>
    <row r="776" customFormat="false" ht="15" hidden="false" customHeight="false" outlineLevel="0" collapsed="false">
      <c r="A776" s="34"/>
      <c r="B776" s="9"/>
      <c r="C776" s="34"/>
      <c r="D776" s="34"/>
      <c r="E776" s="34"/>
      <c r="F776" s="35"/>
      <c r="G776" s="9"/>
      <c r="H776" s="9"/>
      <c r="I776" s="34"/>
      <c r="J776" s="30" t="str">
        <f aca="false">IF(F776="","",G776-B776)</f>
        <v/>
      </c>
      <c r="K776" s="31" t="str">
        <f aca="false">IF(F776="","",IF(H776&lt;&gt;"",H776,MAX('Vade Sapması'!$D$3,G776)))</f>
        <v/>
      </c>
      <c r="L776" s="30" t="str">
        <f aca="false">IF(F776="","",K776-B776)</f>
        <v/>
      </c>
      <c r="M776" s="30" t="str">
        <f aca="false">IF(F776="","",L776-J776)</f>
        <v/>
      </c>
      <c r="N776" s="32" t="str">
        <f aca="false">IF(F776="","",IF(H776&lt;&gt;"","Kapandı",IF('Vade Sapması'!$D$3&gt;G776,"Açık · vadesi geçti","Açık · vadesi gelmedi")))</f>
        <v/>
      </c>
      <c r="O776" s="30" t="str">
        <f aca="false">IF(F776="","",IF(AND(H776="",'Vade Sapması'!$D$3&gt;G776),'Vade Sapması'!$D$3-G776,0))</f>
        <v/>
      </c>
      <c r="P776" s="33" t="str">
        <f aca="false">IF(F776="","",F776*J776)</f>
        <v/>
      </c>
      <c r="Q776" s="33" t="str">
        <f aca="false">IF(F776="","",F776*L776)</f>
        <v/>
      </c>
      <c r="R776" s="33" t="str">
        <f aca="false">IF(F776="","",IF(H776="",F776,0))</f>
        <v/>
      </c>
      <c r="S776" s="32" t="str">
        <f aca="false">IF(F776="","",IF(N(O776)=0,"",IF(O776&lt;=30,"1-30",IF(O776&lt;=60,"31-60",IF(O776&lt;=90,"61-90","90+")))))</f>
        <v/>
      </c>
      <c r="T776" s="32" t="str">
        <f aca="false">IF(F776="","",IF(E776="","Diğer",E776))</f>
        <v/>
      </c>
      <c r="U776" s="32" t="str">
        <f aca="false">IF(OR(F776="",C776=""),"",IF(COUNTIF($C$2:C776,C776)=1,MAX($U$1:U775)+1,""))</f>
        <v/>
      </c>
    </row>
    <row r="777" customFormat="false" ht="15" hidden="false" customHeight="false" outlineLevel="0" collapsed="false">
      <c r="A777" s="34"/>
      <c r="B777" s="9"/>
      <c r="C777" s="34"/>
      <c r="D777" s="34"/>
      <c r="E777" s="34"/>
      <c r="F777" s="35"/>
      <c r="G777" s="9"/>
      <c r="H777" s="9"/>
      <c r="I777" s="34"/>
      <c r="J777" s="30" t="str">
        <f aca="false">IF(F777="","",G777-B777)</f>
        <v/>
      </c>
      <c r="K777" s="31" t="str">
        <f aca="false">IF(F777="","",IF(H777&lt;&gt;"",H777,MAX('Vade Sapması'!$D$3,G777)))</f>
        <v/>
      </c>
      <c r="L777" s="30" t="str">
        <f aca="false">IF(F777="","",K777-B777)</f>
        <v/>
      </c>
      <c r="M777" s="30" t="str">
        <f aca="false">IF(F777="","",L777-J777)</f>
        <v/>
      </c>
      <c r="N777" s="32" t="str">
        <f aca="false">IF(F777="","",IF(H777&lt;&gt;"","Kapandı",IF('Vade Sapması'!$D$3&gt;G777,"Açık · vadesi geçti","Açık · vadesi gelmedi")))</f>
        <v/>
      </c>
      <c r="O777" s="30" t="str">
        <f aca="false">IF(F777="","",IF(AND(H777="",'Vade Sapması'!$D$3&gt;G777),'Vade Sapması'!$D$3-G777,0))</f>
        <v/>
      </c>
      <c r="P777" s="33" t="str">
        <f aca="false">IF(F777="","",F777*J777)</f>
        <v/>
      </c>
      <c r="Q777" s="33" t="str">
        <f aca="false">IF(F777="","",F777*L777)</f>
        <v/>
      </c>
      <c r="R777" s="33" t="str">
        <f aca="false">IF(F777="","",IF(H777="",F777,0))</f>
        <v/>
      </c>
      <c r="S777" s="32" t="str">
        <f aca="false">IF(F777="","",IF(N(O777)=0,"",IF(O777&lt;=30,"1-30",IF(O777&lt;=60,"31-60",IF(O777&lt;=90,"61-90","90+")))))</f>
        <v/>
      </c>
      <c r="T777" s="32" t="str">
        <f aca="false">IF(F777="","",IF(E777="","Diğer",E777))</f>
        <v/>
      </c>
      <c r="U777" s="32" t="str">
        <f aca="false">IF(OR(F777="",C777=""),"",IF(COUNTIF($C$2:C777,C777)=1,MAX($U$1:U776)+1,""))</f>
        <v/>
      </c>
    </row>
    <row r="778" customFormat="false" ht="15" hidden="false" customHeight="false" outlineLevel="0" collapsed="false">
      <c r="A778" s="34"/>
      <c r="B778" s="9"/>
      <c r="C778" s="34"/>
      <c r="D778" s="34"/>
      <c r="E778" s="34"/>
      <c r="F778" s="35"/>
      <c r="G778" s="9"/>
      <c r="H778" s="9"/>
      <c r="I778" s="34"/>
      <c r="J778" s="30" t="str">
        <f aca="false">IF(F778="","",G778-B778)</f>
        <v/>
      </c>
      <c r="K778" s="31" t="str">
        <f aca="false">IF(F778="","",IF(H778&lt;&gt;"",H778,MAX('Vade Sapması'!$D$3,G778)))</f>
        <v/>
      </c>
      <c r="L778" s="30" t="str">
        <f aca="false">IF(F778="","",K778-B778)</f>
        <v/>
      </c>
      <c r="M778" s="30" t="str">
        <f aca="false">IF(F778="","",L778-J778)</f>
        <v/>
      </c>
      <c r="N778" s="32" t="str">
        <f aca="false">IF(F778="","",IF(H778&lt;&gt;"","Kapandı",IF('Vade Sapması'!$D$3&gt;G778,"Açık · vadesi geçti","Açık · vadesi gelmedi")))</f>
        <v/>
      </c>
      <c r="O778" s="30" t="str">
        <f aca="false">IF(F778="","",IF(AND(H778="",'Vade Sapması'!$D$3&gt;G778),'Vade Sapması'!$D$3-G778,0))</f>
        <v/>
      </c>
      <c r="P778" s="33" t="str">
        <f aca="false">IF(F778="","",F778*J778)</f>
        <v/>
      </c>
      <c r="Q778" s="33" t="str">
        <f aca="false">IF(F778="","",F778*L778)</f>
        <v/>
      </c>
      <c r="R778" s="33" t="str">
        <f aca="false">IF(F778="","",IF(H778="",F778,0))</f>
        <v/>
      </c>
      <c r="S778" s="32" t="str">
        <f aca="false">IF(F778="","",IF(N(O778)=0,"",IF(O778&lt;=30,"1-30",IF(O778&lt;=60,"31-60",IF(O778&lt;=90,"61-90","90+")))))</f>
        <v/>
      </c>
      <c r="T778" s="32" t="str">
        <f aca="false">IF(F778="","",IF(E778="","Diğer",E778))</f>
        <v/>
      </c>
      <c r="U778" s="32" t="str">
        <f aca="false">IF(OR(F778="",C778=""),"",IF(COUNTIF($C$2:C778,C778)=1,MAX($U$1:U777)+1,""))</f>
        <v/>
      </c>
    </row>
    <row r="779" customFormat="false" ht="15" hidden="false" customHeight="false" outlineLevel="0" collapsed="false">
      <c r="A779" s="34"/>
      <c r="B779" s="9"/>
      <c r="C779" s="34"/>
      <c r="D779" s="34"/>
      <c r="E779" s="34"/>
      <c r="F779" s="35"/>
      <c r="G779" s="9"/>
      <c r="H779" s="9"/>
      <c r="I779" s="34"/>
      <c r="J779" s="30" t="str">
        <f aca="false">IF(F779="","",G779-B779)</f>
        <v/>
      </c>
      <c r="K779" s="31" t="str">
        <f aca="false">IF(F779="","",IF(H779&lt;&gt;"",H779,MAX('Vade Sapması'!$D$3,G779)))</f>
        <v/>
      </c>
      <c r="L779" s="30" t="str">
        <f aca="false">IF(F779="","",K779-B779)</f>
        <v/>
      </c>
      <c r="M779" s="30" t="str">
        <f aca="false">IF(F779="","",L779-J779)</f>
        <v/>
      </c>
      <c r="N779" s="32" t="str">
        <f aca="false">IF(F779="","",IF(H779&lt;&gt;"","Kapandı",IF('Vade Sapması'!$D$3&gt;G779,"Açık · vadesi geçti","Açık · vadesi gelmedi")))</f>
        <v/>
      </c>
      <c r="O779" s="30" t="str">
        <f aca="false">IF(F779="","",IF(AND(H779="",'Vade Sapması'!$D$3&gt;G779),'Vade Sapması'!$D$3-G779,0))</f>
        <v/>
      </c>
      <c r="P779" s="33" t="str">
        <f aca="false">IF(F779="","",F779*J779)</f>
        <v/>
      </c>
      <c r="Q779" s="33" t="str">
        <f aca="false">IF(F779="","",F779*L779)</f>
        <v/>
      </c>
      <c r="R779" s="33" t="str">
        <f aca="false">IF(F779="","",IF(H779="",F779,0))</f>
        <v/>
      </c>
      <c r="S779" s="32" t="str">
        <f aca="false">IF(F779="","",IF(N(O779)=0,"",IF(O779&lt;=30,"1-30",IF(O779&lt;=60,"31-60",IF(O779&lt;=90,"61-90","90+")))))</f>
        <v/>
      </c>
      <c r="T779" s="32" t="str">
        <f aca="false">IF(F779="","",IF(E779="","Diğer",E779))</f>
        <v/>
      </c>
      <c r="U779" s="32" t="str">
        <f aca="false">IF(OR(F779="",C779=""),"",IF(COUNTIF($C$2:C779,C779)=1,MAX($U$1:U778)+1,""))</f>
        <v/>
      </c>
    </row>
    <row r="780" customFormat="false" ht="15" hidden="false" customHeight="false" outlineLevel="0" collapsed="false">
      <c r="A780" s="34"/>
      <c r="B780" s="9"/>
      <c r="C780" s="34"/>
      <c r="D780" s="34"/>
      <c r="E780" s="34"/>
      <c r="F780" s="35"/>
      <c r="G780" s="9"/>
      <c r="H780" s="9"/>
      <c r="I780" s="34"/>
      <c r="J780" s="30" t="str">
        <f aca="false">IF(F780="","",G780-B780)</f>
        <v/>
      </c>
      <c r="K780" s="31" t="str">
        <f aca="false">IF(F780="","",IF(H780&lt;&gt;"",H780,MAX('Vade Sapması'!$D$3,G780)))</f>
        <v/>
      </c>
      <c r="L780" s="30" t="str">
        <f aca="false">IF(F780="","",K780-B780)</f>
        <v/>
      </c>
      <c r="M780" s="30" t="str">
        <f aca="false">IF(F780="","",L780-J780)</f>
        <v/>
      </c>
      <c r="N780" s="32" t="str">
        <f aca="false">IF(F780="","",IF(H780&lt;&gt;"","Kapandı",IF('Vade Sapması'!$D$3&gt;G780,"Açık · vadesi geçti","Açık · vadesi gelmedi")))</f>
        <v/>
      </c>
      <c r="O780" s="30" t="str">
        <f aca="false">IF(F780="","",IF(AND(H780="",'Vade Sapması'!$D$3&gt;G780),'Vade Sapması'!$D$3-G780,0))</f>
        <v/>
      </c>
      <c r="P780" s="33" t="str">
        <f aca="false">IF(F780="","",F780*J780)</f>
        <v/>
      </c>
      <c r="Q780" s="33" t="str">
        <f aca="false">IF(F780="","",F780*L780)</f>
        <v/>
      </c>
      <c r="R780" s="33" t="str">
        <f aca="false">IF(F780="","",IF(H780="",F780,0))</f>
        <v/>
      </c>
      <c r="S780" s="32" t="str">
        <f aca="false">IF(F780="","",IF(N(O780)=0,"",IF(O780&lt;=30,"1-30",IF(O780&lt;=60,"31-60",IF(O780&lt;=90,"61-90","90+")))))</f>
        <v/>
      </c>
      <c r="T780" s="32" t="str">
        <f aca="false">IF(F780="","",IF(E780="","Diğer",E780))</f>
        <v/>
      </c>
      <c r="U780" s="32" t="str">
        <f aca="false">IF(OR(F780="",C780=""),"",IF(COUNTIF($C$2:C780,C780)=1,MAX($U$1:U779)+1,""))</f>
        <v/>
      </c>
    </row>
    <row r="781" customFormat="false" ht="15" hidden="false" customHeight="false" outlineLevel="0" collapsed="false">
      <c r="A781" s="34"/>
      <c r="B781" s="9"/>
      <c r="C781" s="34"/>
      <c r="D781" s="34"/>
      <c r="E781" s="34"/>
      <c r="F781" s="35"/>
      <c r="G781" s="9"/>
      <c r="H781" s="9"/>
      <c r="I781" s="34"/>
      <c r="J781" s="30" t="str">
        <f aca="false">IF(F781="","",G781-B781)</f>
        <v/>
      </c>
      <c r="K781" s="31" t="str">
        <f aca="false">IF(F781="","",IF(H781&lt;&gt;"",H781,MAX('Vade Sapması'!$D$3,G781)))</f>
        <v/>
      </c>
      <c r="L781" s="30" t="str">
        <f aca="false">IF(F781="","",K781-B781)</f>
        <v/>
      </c>
      <c r="M781" s="30" t="str">
        <f aca="false">IF(F781="","",L781-J781)</f>
        <v/>
      </c>
      <c r="N781" s="32" t="str">
        <f aca="false">IF(F781="","",IF(H781&lt;&gt;"","Kapandı",IF('Vade Sapması'!$D$3&gt;G781,"Açık · vadesi geçti","Açık · vadesi gelmedi")))</f>
        <v/>
      </c>
      <c r="O781" s="30" t="str">
        <f aca="false">IF(F781="","",IF(AND(H781="",'Vade Sapması'!$D$3&gt;G781),'Vade Sapması'!$D$3-G781,0))</f>
        <v/>
      </c>
      <c r="P781" s="33" t="str">
        <f aca="false">IF(F781="","",F781*J781)</f>
        <v/>
      </c>
      <c r="Q781" s="33" t="str">
        <f aca="false">IF(F781="","",F781*L781)</f>
        <v/>
      </c>
      <c r="R781" s="33" t="str">
        <f aca="false">IF(F781="","",IF(H781="",F781,0))</f>
        <v/>
      </c>
      <c r="S781" s="32" t="str">
        <f aca="false">IF(F781="","",IF(N(O781)=0,"",IF(O781&lt;=30,"1-30",IF(O781&lt;=60,"31-60",IF(O781&lt;=90,"61-90","90+")))))</f>
        <v/>
      </c>
      <c r="T781" s="32" t="str">
        <f aca="false">IF(F781="","",IF(E781="","Diğer",E781))</f>
        <v/>
      </c>
      <c r="U781" s="32" t="str">
        <f aca="false">IF(OR(F781="",C781=""),"",IF(COUNTIF($C$2:C781,C781)=1,MAX($U$1:U780)+1,""))</f>
        <v/>
      </c>
    </row>
    <row r="782" customFormat="false" ht="15" hidden="false" customHeight="false" outlineLevel="0" collapsed="false">
      <c r="A782" s="34"/>
      <c r="B782" s="9"/>
      <c r="C782" s="34"/>
      <c r="D782" s="34"/>
      <c r="E782" s="34"/>
      <c r="F782" s="35"/>
      <c r="G782" s="9"/>
      <c r="H782" s="9"/>
      <c r="I782" s="34"/>
      <c r="J782" s="30" t="str">
        <f aca="false">IF(F782="","",G782-B782)</f>
        <v/>
      </c>
      <c r="K782" s="31" t="str">
        <f aca="false">IF(F782="","",IF(H782&lt;&gt;"",H782,MAX('Vade Sapması'!$D$3,G782)))</f>
        <v/>
      </c>
      <c r="L782" s="30" t="str">
        <f aca="false">IF(F782="","",K782-B782)</f>
        <v/>
      </c>
      <c r="M782" s="30" t="str">
        <f aca="false">IF(F782="","",L782-J782)</f>
        <v/>
      </c>
      <c r="N782" s="32" t="str">
        <f aca="false">IF(F782="","",IF(H782&lt;&gt;"","Kapandı",IF('Vade Sapması'!$D$3&gt;G782,"Açık · vadesi geçti","Açık · vadesi gelmedi")))</f>
        <v/>
      </c>
      <c r="O782" s="30" t="str">
        <f aca="false">IF(F782="","",IF(AND(H782="",'Vade Sapması'!$D$3&gt;G782),'Vade Sapması'!$D$3-G782,0))</f>
        <v/>
      </c>
      <c r="P782" s="33" t="str">
        <f aca="false">IF(F782="","",F782*J782)</f>
        <v/>
      </c>
      <c r="Q782" s="33" t="str">
        <f aca="false">IF(F782="","",F782*L782)</f>
        <v/>
      </c>
      <c r="R782" s="33" t="str">
        <f aca="false">IF(F782="","",IF(H782="",F782,0))</f>
        <v/>
      </c>
      <c r="S782" s="32" t="str">
        <f aca="false">IF(F782="","",IF(N(O782)=0,"",IF(O782&lt;=30,"1-30",IF(O782&lt;=60,"31-60",IF(O782&lt;=90,"61-90","90+")))))</f>
        <v/>
      </c>
      <c r="T782" s="32" t="str">
        <f aca="false">IF(F782="","",IF(E782="","Diğer",E782))</f>
        <v/>
      </c>
      <c r="U782" s="32" t="str">
        <f aca="false">IF(OR(F782="",C782=""),"",IF(COUNTIF($C$2:C782,C782)=1,MAX($U$1:U781)+1,""))</f>
        <v/>
      </c>
    </row>
    <row r="783" customFormat="false" ht="15" hidden="false" customHeight="false" outlineLevel="0" collapsed="false">
      <c r="A783" s="34"/>
      <c r="B783" s="9"/>
      <c r="C783" s="34"/>
      <c r="D783" s="34"/>
      <c r="E783" s="34"/>
      <c r="F783" s="35"/>
      <c r="G783" s="9"/>
      <c r="H783" s="9"/>
      <c r="I783" s="34"/>
      <c r="J783" s="30" t="str">
        <f aca="false">IF(F783="","",G783-B783)</f>
        <v/>
      </c>
      <c r="K783" s="31" t="str">
        <f aca="false">IF(F783="","",IF(H783&lt;&gt;"",H783,MAX('Vade Sapması'!$D$3,G783)))</f>
        <v/>
      </c>
      <c r="L783" s="30" t="str">
        <f aca="false">IF(F783="","",K783-B783)</f>
        <v/>
      </c>
      <c r="M783" s="30" t="str">
        <f aca="false">IF(F783="","",L783-J783)</f>
        <v/>
      </c>
      <c r="N783" s="32" t="str">
        <f aca="false">IF(F783="","",IF(H783&lt;&gt;"","Kapandı",IF('Vade Sapması'!$D$3&gt;G783,"Açık · vadesi geçti","Açık · vadesi gelmedi")))</f>
        <v/>
      </c>
      <c r="O783" s="30" t="str">
        <f aca="false">IF(F783="","",IF(AND(H783="",'Vade Sapması'!$D$3&gt;G783),'Vade Sapması'!$D$3-G783,0))</f>
        <v/>
      </c>
      <c r="P783" s="33" t="str">
        <f aca="false">IF(F783="","",F783*J783)</f>
        <v/>
      </c>
      <c r="Q783" s="33" t="str">
        <f aca="false">IF(F783="","",F783*L783)</f>
        <v/>
      </c>
      <c r="R783" s="33" t="str">
        <f aca="false">IF(F783="","",IF(H783="",F783,0))</f>
        <v/>
      </c>
      <c r="S783" s="32" t="str">
        <f aca="false">IF(F783="","",IF(N(O783)=0,"",IF(O783&lt;=30,"1-30",IF(O783&lt;=60,"31-60",IF(O783&lt;=90,"61-90","90+")))))</f>
        <v/>
      </c>
      <c r="T783" s="32" t="str">
        <f aca="false">IF(F783="","",IF(E783="","Diğer",E783))</f>
        <v/>
      </c>
      <c r="U783" s="32" t="str">
        <f aca="false">IF(OR(F783="",C783=""),"",IF(COUNTIF($C$2:C783,C783)=1,MAX($U$1:U782)+1,""))</f>
        <v/>
      </c>
    </row>
    <row r="784" customFormat="false" ht="15" hidden="false" customHeight="false" outlineLevel="0" collapsed="false">
      <c r="A784" s="34"/>
      <c r="B784" s="9"/>
      <c r="C784" s="34"/>
      <c r="D784" s="34"/>
      <c r="E784" s="34"/>
      <c r="F784" s="35"/>
      <c r="G784" s="9"/>
      <c r="H784" s="9"/>
      <c r="I784" s="34"/>
      <c r="J784" s="30" t="str">
        <f aca="false">IF(F784="","",G784-B784)</f>
        <v/>
      </c>
      <c r="K784" s="31" t="str">
        <f aca="false">IF(F784="","",IF(H784&lt;&gt;"",H784,MAX('Vade Sapması'!$D$3,G784)))</f>
        <v/>
      </c>
      <c r="L784" s="30" t="str">
        <f aca="false">IF(F784="","",K784-B784)</f>
        <v/>
      </c>
      <c r="M784" s="30" t="str">
        <f aca="false">IF(F784="","",L784-J784)</f>
        <v/>
      </c>
      <c r="N784" s="32" t="str">
        <f aca="false">IF(F784="","",IF(H784&lt;&gt;"","Kapandı",IF('Vade Sapması'!$D$3&gt;G784,"Açık · vadesi geçti","Açık · vadesi gelmedi")))</f>
        <v/>
      </c>
      <c r="O784" s="30" t="str">
        <f aca="false">IF(F784="","",IF(AND(H784="",'Vade Sapması'!$D$3&gt;G784),'Vade Sapması'!$D$3-G784,0))</f>
        <v/>
      </c>
      <c r="P784" s="33" t="str">
        <f aca="false">IF(F784="","",F784*J784)</f>
        <v/>
      </c>
      <c r="Q784" s="33" t="str">
        <f aca="false">IF(F784="","",F784*L784)</f>
        <v/>
      </c>
      <c r="R784" s="33" t="str">
        <f aca="false">IF(F784="","",IF(H784="",F784,0))</f>
        <v/>
      </c>
      <c r="S784" s="32" t="str">
        <f aca="false">IF(F784="","",IF(N(O784)=0,"",IF(O784&lt;=30,"1-30",IF(O784&lt;=60,"31-60",IF(O784&lt;=90,"61-90","90+")))))</f>
        <v/>
      </c>
      <c r="T784" s="32" t="str">
        <f aca="false">IF(F784="","",IF(E784="","Diğer",E784))</f>
        <v/>
      </c>
      <c r="U784" s="32" t="str">
        <f aca="false">IF(OR(F784="",C784=""),"",IF(COUNTIF($C$2:C784,C784)=1,MAX($U$1:U783)+1,""))</f>
        <v/>
      </c>
    </row>
    <row r="785" customFormat="false" ht="15" hidden="false" customHeight="false" outlineLevel="0" collapsed="false">
      <c r="A785" s="34"/>
      <c r="B785" s="9"/>
      <c r="C785" s="34"/>
      <c r="D785" s="34"/>
      <c r="E785" s="34"/>
      <c r="F785" s="35"/>
      <c r="G785" s="9"/>
      <c r="H785" s="9"/>
      <c r="I785" s="34"/>
      <c r="J785" s="30" t="str">
        <f aca="false">IF(F785="","",G785-B785)</f>
        <v/>
      </c>
      <c r="K785" s="31" t="str">
        <f aca="false">IF(F785="","",IF(H785&lt;&gt;"",H785,MAX('Vade Sapması'!$D$3,G785)))</f>
        <v/>
      </c>
      <c r="L785" s="30" t="str">
        <f aca="false">IF(F785="","",K785-B785)</f>
        <v/>
      </c>
      <c r="M785" s="30" t="str">
        <f aca="false">IF(F785="","",L785-J785)</f>
        <v/>
      </c>
      <c r="N785" s="32" t="str">
        <f aca="false">IF(F785="","",IF(H785&lt;&gt;"","Kapandı",IF('Vade Sapması'!$D$3&gt;G785,"Açık · vadesi geçti","Açık · vadesi gelmedi")))</f>
        <v/>
      </c>
      <c r="O785" s="30" t="str">
        <f aca="false">IF(F785="","",IF(AND(H785="",'Vade Sapması'!$D$3&gt;G785),'Vade Sapması'!$D$3-G785,0))</f>
        <v/>
      </c>
      <c r="P785" s="33" t="str">
        <f aca="false">IF(F785="","",F785*J785)</f>
        <v/>
      </c>
      <c r="Q785" s="33" t="str">
        <f aca="false">IF(F785="","",F785*L785)</f>
        <v/>
      </c>
      <c r="R785" s="33" t="str">
        <f aca="false">IF(F785="","",IF(H785="",F785,0))</f>
        <v/>
      </c>
      <c r="S785" s="32" t="str">
        <f aca="false">IF(F785="","",IF(N(O785)=0,"",IF(O785&lt;=30,"1-30",IF(O785&lt;=60,"31-60",IF(O785&lt;=90,"61-90","90+")))))</f>
        <v/>
      </c>
      <c r="T785" s="32" t="str">
        <f aca="false">IF(F785="","",IF(E785="","Diğer",E785))</f>
        <v/>
      </c>
      <c r="U785" s="32" t="str">
        <f aca="false">IF(OR(F785="",C785=""),"",IF(COUNTIF($C$2:C785,C785)=1,MAX($U$1:U784)+1,""))</f>
        <v/>
      </c>
    </row>
    <row r="786" customFormat="false" ht="15" hidden="false" customHeight="false" outlineLevel="0" collapsed="false">
      <c r="A786" s="34"/>
      <c r="B786" s="9"/>
      <c r="C786" s="34"/>
      <c r="D786" s="34"/>
      <c r="E786" s="34"/>
      <c r="F786" s="35"/>
      <c r="G786" s="9"/>
      <c r="H786" s="9"/>
      <c r="I786" s="34"/>
      <c r="J786" s="30" t="str">
        <f aca="false">IF(F786="","",G786-B786)</f>
        <v/>
      </c>
      <c r="K786" s="31" t="str">
        <f aca="false">IF(F786="","",IF(H786&lt;&gt;"",H786,MAX('Vade Sapması'!$D$3,G786)))</f>
        <v/>
      </c>
      <c r="L786" s="30" t="str">
        <f aca="false">IF(F786="","",K786-B786)</f>
        <v/>
      </c>
      <c r="M786" s="30" t="str">
        <f aca="false">IF(F786="","",L786-J786)</f>
        <v/>
      </c>
      <c r="N786" s="32" t="str">
        <f aca="false">IF(F786="","",IF(H786&lt;&gt;"","Kapandı",IF('Vade Sapması'!$D$3&gt;G786,"Açık · vadesi geçti","Açık · vadesi gelmedi")))</f>
        <v/>
      </c>
      <c r="O786" s="30" t="str">
        <f aca="false">IF(F786="","",IF(AND(H786="",'Vade Sapması'!$D$3&gt;G786),'Vade Sapması'!$D$3-G786,0))</f>
        <v/>
      </c>
      <c r="P786" s="33" t="str">
        <f aca="false">IF(F786="","",F786*J786)</f>
        <v/>
      </c>
      <c r="Q786" s="33" t="str">
        <f aca="false">IF(F786="","",F786*L786)</f>
        <v/>
      </c>
      <c r="R786" s="33" t="str">
        <f aca="false">IF(F786="","",IF(H786="",F786,0))</f>
        <v/>
      </c>
      <c r="S786" s="32" t="str">
        <f aca="false">IF(F786="","",IF(N(O786)=0,"",IF(O786&lt;=30,"1-30",IF(O786&lt;=60,"31-60",IF(O786&lt;=90,"61-90","90+")))))</f>
        <v/>
      </c>
      <c r="T786" s="32" t="str">
        <f aca="false">IF(F786="","",IF(E786="","Diğer",E786))</f>
        <v/>
      </c>
      <c r="U786" s="32" t="str">
        <f aca="false">IF(OR(F786="",C786=""),"",IF(COUNTIF($C$2:C786,C786)=1,MAX($U$1:U785)+1,""))</f>
        <v/>
      </c>
    </row>
    <row r="787" customFormat="false" ht="15" hidden="false" customHeight="false" outlineLevel="0" collapsed="false">
      <c r="A787" s="34"/>
      <c r="B787" s="9"/>
      <c r="C787" s="34"/>
      <c r="D787" s="34"/>
      <c r="E787" s="34"/>
      <c r="F787" s="35"/>
      <c r="G787" s="9"/>
      <c r="H787" s="9"/>
      <c r="I787" s="34"/>
      <c r="J787" s="30" t="str">
        <f aca="false">IF(F787="","",G787-B787)</f>
        <v/>
      </c>
      <c r="K787" s="31" t="str">
        <f aca="false">IF(F787="","",IF(H787&lt;&gt;"",H787,MAX('Vade Sapması'!$D$3,G787)))</f>
        <v/>
      </c>
      <c r="L787" s="30" t="str">
        <f aca="false">IF(F787="","",K787-B787)</f>
        <v/>
      </c>
      <c r="M787" s="30" t="str">
        <f aca="false">IF(F787="","",L787-J787)</f>
        <v/>
      </c>
      <c r="N787" s="32" t="str">
        <f aca="false">IF(F787="","",IF(H787&lt;&gt;"","Kapandı",IF('Vade Sapması'!$D$3&gt;G787,"Açık · vadesi geçti","Açık · vadesi gelmedi")))</f>
        <v/>
      </c>
      <c r="O787" s="30" t="str">
        <f aca="false">IF(F787="","",IF(AND(H787="",'Vade Sapması'!$D$3&gt;G787),'Vade Sapması'!$D$3-G787,0))</f>
        <v/>
      </c>
      <c r="P787" s="33" t="str">
        <f aca="false">IF(F787="","",F787*J787)</f>
        <v/>
      </c>
      <c r="Q787" s="33" t="str">
        <f aca="false">IF(F787="","",F787*L787)</f>
        <v/>
      </c>
      <c r="R787" s="33" t="str">
        <f aca="false">IF(F787="","",IF(H787="",F787,0))</f>
        <v/>
      </c>
      <c r="S787" s="32" t="str">
        <f aca="false">IF(F787="","",IF(N(O787)=0,"",IF(O787&lt;=30,"1-30",IF(O787&lt;=60,"31-60",IF(O787&lt;=90,"61-90","90+")))))</f>
        <v/>
      </c>
      <c r="T787" s="32" t="str">
        <f aca="false">IF(F787="","",IF(E787="","Diğer",E787))</f>
        <v/>
      </c>
      <c r="U787" s="32" t="str">
        <f aca="false">IF(OR(F787="",C787=""),"",IF(COUNTIF($C$2:C787,C787)=1,MAX($U$1:U786)+1,""))</f>
        <v/>
      </c>
    </row>
    <row r="788" customFormat="false" ht="15" hidden="false" customHeight="false" outlineLevel="0" collapsed="false">
      <c r="A788" s="34"/>
      <c r="B788" s="9"/>
      <c r="C788" s="34"/>
      <c r="D788" s="34"/>
      <c r="E788" s="34"/>
      <c r="F788" s="35"/>
      <c r="G788" s="9"/>
      <c r="H788" s="9"/>
      <c r="I788" s="34"/>
      <c r="J788" s="30" t="str">
        <f aca="false">IF(F788="","",G788-B788)</f>
        <v/>
      </c>
      <c r="K788" s="31" t="str">
        <f aca="false">IF(F788="","",IF(H788&lt;&gt;"",H788,MAX('Vade Sapması'!$D$3,G788)))</f>
        <v/>
      </c>
      <c r="L788" s="30" t="str">
        <f aca="false">IF(F788="","",K788-B788)</f>
        <v/>
      </c>
      <c r="M788" s="30" t="str">
        <f aca="false">IF(F788="","",L788-J788)</f>
        <v/>
      </c>
      <c r="N788" s="32" t="str">
        <f aca="false">IF(F788="","",IF(H788&lt;&gt;"","Kapandı",IF('Vade Sapması'!$D$3&gt;G788,"Açık · vadesi geçti","Açık · vadesi gelmedi")))</f>
        <v/>
      </c>
      <c r="O788" s="30" t="str">
        <f aca="false">IF(F788="","",IF(AND(H788="",'Vade Sapması'!$D$3&gt;G788),'Vade Sapması'!$D$3-G788,0))</f>
        <v/>
      </c>
      <c r="P788" s="33" t="str">
        <f aca="false">IF(F788="","",F788*J788)</f>
        <v/>
      </c>
      <c r="Q788" s="33" t="str">
        <f aca="false">IF(F788="","",F788*L788)</f>
        <v/>
      </c>
      <c r="R788" s="33" t="str">
        <f aca="false">IF(F788="","",IF(H788="",F788,0))</f>
        <v/>
      </c>
      <c r="S788" s="32" t="str">
        <f aca="false">IF(F788="","",IF(N(O788)=0,"",IF(O788&lt;=30,"1-30",IF(O788&lt;=60,"31-60",IF(O788&lt;=90,"61-90","90+")))))</f>
        <v/>
      </c>
      <c r="T788" s="32" t="str">
        <f aca="false">IF(F788="","",IF(E788="","Diğer",E788))</f>
        <v/>
      </c>
      <c r="U788" s="32" t="str">
        <f aca="false">IF(OR(F788="",C788=""),"",IF(COUNTIF($C$2:C788,C788)=1,MAX($U$1:U787)+1,""))</f>
        <v/>
      </c>
    </row>
    <row r="789" customFormat="false" ht="15" hidden="false" customHeight="false" outlineLevel="0" collapsed="false">
      <c r="A789" s="34"/>
      <c r="B789" s="9"/>
      <c r="C789" s="34"/>
      <c r="D789" s="34"/>
      <c r="E789" s="34"/>
      <c r="F789" s="35"/>
      <c r="G789" s="9"/>
      <c r="H789" s="9"/>
      <c r="I789" s="34"/>
      <c r="J789" s="30" t="str">
        <f aca="false">IF(F789="","",G789-B789)</f>
        <v/>
      </c>
      <c r="K789" s="31" t="str">
        <f aca="false">IF(F789="","",IF(H789&lt;&gt;"",H789,MAX('Vade Sapması'!$D$3,G789)))</f>
        <v/>
      </c>
      <c r="L789" s="30" t="str">
        <f aca="false">IF(F789="","",K789-B789)</f>
        <v/>
      </c>
      <c r="M789" s="30" t="str">
        <f aca="false">IF(F789="","",L789-J789)</f>
        <v/>
      </c>
      <c r="N789" s="32" t="str">
        <f aca="false">IF(F789="","",IF(H789&lt;&gt;"","Kapandı",IF('Vade Sapması'!$D$3&gt;G789,"Açık · vadesi geçti","Açık · vadesi gelmedi")))</f>
        <v/>
      </c>
      <c r="O789" s="30" t="str">
        <f aca="false">IF(F789="","",IF(AND(H789="",'Vade Sapması'!$D$3&gt;G789),'Vade Sapması'!$D$3-G789,0))</f>
        <v/>
      </c>
      <c r="P789" s="33" t="str">
        <f aca="false">IF(F789="","",F789*J789)</f>
        <v/>
      </c>
      <c r="Q789" s="33" t="str">
        <f aca="false">IF(F789="","",F789*L789)</f>
        <v/>
      </c>
      <c r="R789" s="33" t="str">
        <f aca="false">IF(F789="","",IF(H789="",F789,0))</f>
        <v/>
      </c>
      <c r="S789" s="32" t="str">
        <f aca="false">IF(F789="","",IF(N(O789)=0,"",IF(O789&lt;=30,"1-30",IF(O789&lt;=60,"31-60",IF(O789&lt;=90,"61-90","90+")))))</f>
        <v/>
      </c>
      <c r="T789" s="32" t="str">
        <f aca="false">IF(F789="","",IF(E789="","Diğer",E789))</f>
        <v/>
      </c>
      <c r="U789" s="32" t="str">
        <f aca="false">IF(OR(F789="",C789=""),"",IF(COUNTIF($C$2:C789,C789)=1,MAX($U$1:U788)+1,""))</f>
        <v/>
      </c>
    </row>
    <row r="790" customFormat="false" ht="15" hidden="false" customHeight="false" outlineLevel="0" collapsed="false">
      <c r="A790" s="34"/>
      <c r="B790" s="9"/>
      <c r="C790" s="34"/>
      <c r="D790" s="34"/>
      <c r="E790" s="34"/>
      <c r="F790" s="35"/>
      <c r="G790" s="9"/>
      <c r="H790" s="9"/>
      <c r="I790" s="34"/>
      <c r="J790" s="30" t="str">
        <f aca="false">IF(F790="","",G790-B790)</f>
        <v/>
      </c>
      <c r="K790" s="31" t="str">
        <f aca="false">IF(F790="","",IF(H790&lt;&gt;"",H790,MAX('Vade Sapması'!$D$3,G790)))</f>
        <v/>
      </c>
      <c r="L790" s="30" t="str">
        <f aca="false">IF(F790="","",K790-B790)</f>
        <v/>
      </c>
      <c r="M790" s="30" t="str">
        <f aca="false">IF(F790="","",L790-J790)</f>
        <v/>
      </c>
      <c r="N790" s="32" t="str">
        <f aca="false">IF(F790="","",IF(H790&lt;&gt;"","Kapandı",IF('Vade Sapması'!$D$3&gt;G790,"Açık · vadesi geçti","Açık · vadesi gelmedi")))</f>
        <v/>
      </c>
      <c r="O790" s="30" t="str">
        <f aca="false">IF(F790="","",IF(AND(H790="",'Vade Sapması'!$D$3&gt;G790),'Vade Sapması'!$D$3-G790,0))</f>
        <v/>
      </c>
      <c r="P790" s="33" t="str">
        <f aca="false">IF(F790="","",F790*J790)</f>
        <v/>
      </c>
      <c r="Q790" s="33" t="str">
        <f aca="false">IF(F790="","",F790*L790)</f>
        <v/>
      </c>
      <c r="R790" s="33" t="str">
        <f aca="false">IF(F790="","",IF(H790="",F790,0))</f>
        <v/>
      </c>
      <c r="S790" s="32" t="str">
        <f aca="false">IF(F790="","",IF(N(O790)=0,"",IF(O790&lt;=30,"1-30",IF(O790&lt;=60,"31-60",IF(O790&lt;=90,"61-90","90+")))))</f>
        <v/>
      </c>
      <c r="T790" s="32" t="str">
        <f aca="false">IF(F790="","",IF(E790="","Diğer",E790))</f>
        <v/>
      </c>
      <c r="U790" s="32" t="str">
        <f aca="false">IF(OR(F790="",C790=""),"",IF(COUNTIF($C$2:C790,C790)=1,MAX($U$1:U789)+1,""))</f>
        <v/>
      </c>
    </row>
    <row r="791" customFormat="false" ht="15" hidden="false" customHeight="false" outlineLevel="0" collapsed="false">
      <c r="A791" s="34"/>
      <c r="B791" s="9"/>
      <c r="C791" s="34"/>
      <c r="D791" s="34"/>
      <c r="E791" s="34"/>
      <c r="F791" s="35"/>
      <c r="G791" s="9"/>
      <c r="H791" s="9"/>
      <c r="I791" s="34"/>
      <c r="J791" s="30" t="str">
        <f aca="false">IF(F791="","",G791-B791)</f>
        <v/>
      </c>
      <c r="K791" s="31" t="str">
        <f aca="false">IF(F791="","",IF(H791&lt;&gt;"",H791,MAX('Vade Sapması'!$D$3,G791)))</f>
        <v/>
      </c>
      <c r="L791" s="30" t="str">
        <f aca="false">IF(F791="","",K791-B791)</f>
        <v/>
      </c>
      <c r="M791" s="30" t="str">
        <f aca="false">IF(F791="","",L791-J791)</f>
        <v/>
      </c>
      <c r="N791" s="32" t="str">
        <f aca="false">IF(F791="","",IF(H791&lt;&gt;"","Kapandı",IF('Vade Sapması'!$D$3&gt;G791,"Açık · vadesi geçti","Açık · vadesi gelmedi")))</f>
        <v/>
      </c>
      <c r="O791" s="30" t="str">
        <f aca="false">IF(F791="","",IF(AND(H791="",'Vade Sapması'!$D$3&gt;G791),'Vade Sapması'!$D$3-G791,0))</f>
        <v/>
      </c>
      <c r="P791" s="33" t="str">
        <f aca="false">IF(F791="","",F791*J791)</f>
        <v/>
      </c>
      <c r="Q791" s="33" t="str">
        <f aca="false">IF(F791="","",F791*L791)</f>
        <v/>
      </c>
      <c r="R791" s="33" t="str">
        <f aca="false">IF(F791="","",IF(H791="",F791,0))</f>
        <v/>
      </c>
      <c r="S791" s="32" t="str">
        <f aca="false">IF(F791="","",IF(N(O791)=0,"",IF(O791&lt;=30,"1-30",IF(O791&lt;=60,"31-60",IF(O791&lt;=90,"61-90","90+")))))</f>
        <v/>
      </c>
      <c r="T791" s="32" t="str">
        <f aca="false">IF(F791="","",IF(E791="","Diğer",E791))</f>
        <v/>
      </c>
      <c r="U791" s="32" t="str">
        <f aca="false">IF(OR(F791="",C791=""),"",IF(COUNTIF($C$2:C791,C791)=1,MAX($U$1:U790)+1,""))</f>
        <v/>
      </c>
    </row>
    <row r="792" customFormat="false" ht="15" hidden="false" customHeight="false" outlineLevel="0" collapsed="false">
      <c r="A792" s="34"/>
      <c r="B792" s="9"/>
      <c r="C792" s="34"/>
      <c r="D792" s="34"/>
      <c r="E792" s="34"/>
      <c r="F792" s="35"/>
      <c r="G792" s="9"/>
      <c r="H792" s="9"/>
      <c r="I792" s="34"/>
      <c r="J792" s="30" t="str">
        <f aca="false">IF(F792="","",G792-B792)</f>
        <v/>
      </c>
      <c r="K792" s="31" t="str">
        <f aca="false">IF(F792="","",IF(H792&lt;&gt;"",H792,MAX('Vade Sapması'!$D$3,G792)))</f>
        <v/>
      </c>
      <c r="L792" s="30" t="str">
        <f aca="false">IF(F792="","",K792-B792)</f>
        <v/>
      </c>
      <c r="M792" s="30" t="str">
        <f aca="false">IF(F792="","",L792-J792)</f>
        <v/>
      </c>
      <c r="N792" s="32" t="str">
        <f aca="false">IF(F792="","",IF(H792&lt;&gt;"","Kapandı",IF('Vade Sapması'!$D$3&gt;G792,"Açık · vadesi geçti","Açık · vadesi gelmedi")))</f>
        <v/>
      </c>
      <c r="O792" s="30" t="str">
        <f aca="false">IF(F792="","",IF(AND(H792="",'Vade Sapması'!$D$3&gt;G792),'Vade Sapması'!$D$3-G792,0))</f>
        <v/>
      </c>
      <c r="P792" s="33" t="str">
        <f aca="false">IF(F792="","",F792*J792)</f>
        <v/>
      </c>
      <c r="Q792" s="33" t="str">
        <f aca="false">IF(F792="","",F792*L792)</f>
        <v/>
      </c>
      <c r="R792" s="33" t="str">
        <f aca="false">IF(F792="","",IF(H792="",F792,0))</f>
        <v/>
      </c>
      <c r="S792" s="32" t="str">
        <f aca="false">IF(F792="","",IF(N(O792)=0,"",IF(O792&lt;=30,"1-30",IF(O792&lt;=60,"31-60",IF(O792&lt;=90,"61-90","90+")))))</f>
        <v/>
      </c>
      <c r="T792" s="32" t="str">
        <f aca="false">IF(F792="","",IF(E792="","Diğer",E792))</f>
        <v/>
      </c>
      <c r="U792" s="32" t="str">
        <f aca="false">IF(OR(F792="",C792=""),"",IF(COUNTIF($C$2:C792,C792)=1,MAX($U$1:U791)+1,""))</f>
        <v/>
      </c>
    </row>
    <row r="793" customFormat="false" ht="15" hidden="false" customHeight="false" outlineLevel="0" collapsed="false">
      <c r="A793" s="34"/>
      <c r="B793" s="9"/>
      <c r="C793" s="34"/>
      <c r="D793" s="34"/>
      <c r="E793" s="34"/>
      <c r="F793" s="35"/>
      <c r="G793" s="9"/>
      <c r="H793" s="9"/>
      <c r="I793" s="34"/>
      <c r="J793" s="30" t="str">
        <f aca="false">IF(F793="","",G793-B793)</f>
        <v/>
      </c>
      <c r="K793" s="31" t="str">
        <f aca="false">IF(F793="","",IF(H793&lt;&gt;"",H793,MAX('Vade Sapması'!$D$3,G793)))</f>
        <v/>
      </c>
      <c r="L793" s="30" t="str">
        <f aca="false">IF(F793="","",K793-B793)</f>
        <v/>
      </c>
      <c r="M793" s="30" t="str">
        <f aca="false">IF(F793="","",L793-J793)</f>
        <v/>
      </c>
      <c r="N793" s="32" t="str">
        <f aca="false">IF(F793="","",IF(H793&lt;&gt;"","Kapandı",IF('Vade Sapması'!$D$3&gt;G793,"Açık · vadesi geçti","Açık · vadesi gelmedi")))</f>
        <v/>
      </c>
      <c r="O793" s="30" t="str">
        <f aca="false">IF(F793="","",IF(AND(H793="",'Vade Sapması'!$D$3&gt;G793),'Vade Sapması'!$D$3-G793,0))</f>
        <v/>
      </c>
      <c r="P793" s="33" t="str">
        <f aca="false">IF(F793="","",F793*J793)</f>
        <v/>
      </c>
      <c r="Q793" s="33" t="str">
        <f aca="false">IF(F793="","",F793*L793)</f>
        <v/>
      </c>
      <c r="R793" s="33" t="str">
        <f aca="false">IF(F793="","",IF(H793="",F793,0))</f>
        <v/>
      </c>
      <c r="S793" s="32" t="str">
        <f aca="false">IF(F793="","",IF(N(O793)=0,"",IF(O793&lt;=30,"1-30",IF(O793&lt;=60,"31-60",IF(O793&lt;=90,"61-90","90+")))))</f>
        <v/>
      </c>
      <c r="T793" s="32" t="str">
        <f aca="false">IF(F793="","",IF(E793="","Diğer",E793))</f>
        <v/>
      </c>
      <c r="U793" s="32" t="str">
        <f aca="false">IF(OR(F793="",C793=""),"",IF(COUNTIF($C$2:C793,C793)=1,MAX($U$1:U792)+1,""))</f>
        <v/>
      </c>
    </row>
    <row r="794" customFormat="false" ht="15" hidden="false" customHeight="false" outlineLevel="0" collapsed="false">
      <c r="A794" s="34"/>
      <c r="B794" s="9"/>
      <c r="C794" s="34"/>
      <c r="D794" s="34"/>
      <c r="E794" s="34"/>
      <c r="F794" s="35"/>
      <c r="G794" s="9"/>
      <c r="H794" s="9"/>
      <c r="I794" s="34"/>
      <c r="J794" s="30" t="str">
        <f aca="false">IF(F794="","",G794-B794)</f>
        <v/>
      </c>
      <c r="K794" s="31" t="str">
        <f aca="false">IF(F794="","",IF(H794&lt;&gt;"",H794,MAX('Vade Sapması'!$D$3,G794)))</f>
        <v/>
      </c>
      <c r="L794" s="30" t="str">
        <f aca="false">IF(F794="","",K794-B794)</f>
        <v/>
      </c>
      <c r="M794" s="30" t="str">
        <f aca="false">IF(F794="","",L794-J794)</f>
        <v/>
      </c>
      <c r="N794" s="32" t="str">
        <f aca="false">IF(F794="","",IF(H794&lt;&gt;"","Kapandı",IF('Vade Sapması'!$D$3&gt;G794,"Açık · vadesi geçti","Açık · vadesi gelmedi")))</f>
        <v/>
      </c>
      <c r="O794" s="30" t="str">
        <f aca="false">IF(F794="","",IF(AND(H794="",'Vade Sapması'!$D$3&gt;G794),'Vade Sapması'!$D$3-G794,0))</f>
        <v/>
      </c>
      <c r="P794" s="33" t="str">
        <f aca="false">IF(F794="","",F794*J794)</f>
        <v/>
      </c>
      <c r="Q794" s="33" t="str">
        <f aca="false">IF(F794="","",F794*L794)</f>
        <v/>
      </c>
      <c r="R794" s="33" t="str">
        <f aca="false">IF(F794="","",IF(H794="",F794,0))</f>
        <v/>
      </c>
      <c r="S794" s="32" t="str">
        <f aca="false">IF(F794="","",IF(N(O794)=0,"",IF(O794&lt;=30,"1-30",IF(O794&lt;=60,"31-60",IF(O794&lt;=90,"61-90","90+")))))</f>
        <v/>
      </c>
      <c r="T794" s="32" t="str">
        <f aca="false">IF(F794="","",IF(E794="","Diğer",E794))</f>
        <v/>
      </c>
      <c r="U794" s="32" t="str">
        <f aca="false">IF(OR(F794="",C794=""),"",IF(COUNTIF($C$2:C794,C794)=1,MAX($U$1:U793)+1,""))</f>
        <v/>
      </c>
    </row>
    <row r="795" customFormat="false" ht="15" hidden="false" customHeight="false" outlineLevel="0" collapsed="false">
      <c r="A795" s="34"/>
      <c r="B795" s="9"/>
      <c r="C795" s="34"/>
      <c r="D795" s="34"/>
      <c r="E795" s="34"/>
      <c r="F795" s="35"/>
      <c r="G795" s="9"/>
      <c r="H795" s="9"/>
      <c r="I795" s="34"/>
      <c r="J795" s="30" t="str">
        <f aca="false">IF(F795="","",G795-B795)</f>
        <v/>
      </c>
      <c r="K795" s="31" t="str">
        <f aca="false">IF(F795="","",IF(H795&lt;&gt;"",H795,MAX('Vade Sapması'!$D$3,G795)))</f>
        <v/>
      </c>
      <c r="L795" s="30" t="str">
        <f aca="false">IF(F795="","",K795-B795)</f>
        <v/>
      </c>
      <c r="M795" s="30" t="str">
        <f aca="false">IF(F795="","",L795-J795)</f>
        <v/>
      </c>
      <c r="N795" s="32" t="str">
        <f aca="false">IF(F795="","",IF(H795&lt;&gt;"","Kapandı",IF('Vade Sapması'!$D$3&gt;G795,"Açık · vadesi geçti","Açık · vadesi gelmedi")))</f>
        <v/>
      </c>
      <c r="O795" s="30" t="str">
        <f aca="false">IF(F795="","",IF(AND(H795="",'Vade Sapması'!$D$3&gt;G795),'Vade Sapması'!$D$3-G795,0))</f>
        <v/>
      </c>
      <c r="P795" s="33" t="str">
        <f aca="false">IF(F795="","",F795*J795)</f>
        <v/>
      </c>
      <c r="Q795" s="33" t="str">
        <f aca="false">IF(F795="","",F795*L795)</f>
        <v/>
      </c>
      <c r="R795" s="33" t="str">
        <f aca="false">IF(F795="","",IF(H795="",F795,0))</f>
        <v/>
      </c>
      <c r="S795" s="32" t="str">
        <f aca="false">IF(F795="","",IF(N(O795)=0,"",IF(O795&lt;=30,"1-30",IF(O795&lt;=60,"31-60",IF(O795&lt;=90,"61-90","90+")))))</f>
        <v/>
      </c>
      <c r="T795" s="32" t="str">
        <f aca="false">IF(F795="","",IF(E795="","Diğer",E795))</f>
        <v/>
      </c>
      <c r="U795" s="32" t="str">
        <f aca="false">IF(OR(F795="",C795=""),"",IF(COUNTIF($C$2:C795,C795)=1,MAX($U$1:U794)+1,""))</f>
        <v/>
      </c>
    </row>
    <row r="796" customFormat="false" ht="15" hidden="false" customHeight="false" outlineLevel="0" collapsed="false">
      <c r="A796" s="34"/>
      <c r="B796" s="9"/>
      <c r="C796" s="34"/>
      <c r="D796" s="34"/>
      <c r="E796" s="34"/>
      <c r="F796" s="35"/>
      <c r="G796" s="9"/>
      <c r="H796" s="9"/>
      <c r="I796" s="34"/>
      <c r="J796" s="30" t="str">
        <f aca="false">IF(F796="","",G796-B796)</f>
        <v/>
      </c>
      <c r="K796" s="31" t="str">
        <f aca="false">IF(F796="","",IF(H796&lt;&gt;"",H796,MAX('Vade Sapması'!$D$3,G796)))</f>
        <v/>
      </c>
      <c r="L796" s="30" t="str">
        <f aca="false">IF(F796="","",K796-B796)</f>
        <v/>
      </c>
      <c r="M796" s="30" t="str">
        <f aca="false">IF(F796="","",L796-J796)</f>
        <v/>
      </c>
      <c r="N796" s="32" t="str">
        <f aca="false">IF(F796="","",IF(H796&lt;&gt;"","Kapandı",IF('Vade Sapması'!$D$3&gt;G796,"Açık · vadesi geçti","Açık · vadesi gelmedi")))</f>
        <v/>
      </c>
      <c r="O796" s="30" t="str">
        <f aca="false">IF(F796="","",IF(AND(H796="",'Vade Sapması'!$D$3&gt;G796),'Vade Sapması'!$D$3-G796,0))</f>
        <v/>
      </c>
      <c r="P796" s="33" t="str">
        <f aca="false">IF(F796="","",F796*J796)</f>
        <v/>
      </c>
      <c r="Q796" s="33" t="str">
        <f aca="false">IF(F796="","",F796*L796)</f>
        <v/>
      </c>
      <c r="R796" s="33" t="str">
        <f aca="false">IF(F796="","",IF(H796="",F796,0))</f>
        <v/>
      </c>
      <c r="S796" s="32" t="str">
        <f aca="false">IF(F796="","",IF(N(O796)=0,"",IF(O796&lt;=30,"1-30",IF(O796&lt;=60,"31-60",IF(O796&lt;=90,"61-90","90+")))))</f>
        <v/>
      </c>
      <c r="T796" s="32" t="str">
        <f aca="false">IF(F796="","",IF(E796="","Diğer",E796))</f>
        <v/>
      </c>
      <c r="U796" s="32" t="str">
        <f aca="false">IF(OR(F796="",C796=""),"",IF(COUNTIF($C$2:C796,C796)=1,MAX($U$1:U795)+1,""))</f>
        <v/>
      </c>
    </row>
    <row r="797" customFormat="false" ht="15" hidden="false" customHeight="false" outlineLevel="0" collapsed="false">
      <c r="A797" s="34"/>
      <c r="B797" s="9"/>
      <c r="C797" s="34"/>
      <c r="D797" s="34"/>
      <c r="E797" s="34"/>
      <c r="F797" s="35"/>
      <c r="G797" s="9"/>
      <c r="H797" s="9"/>
      <c r="I797" s="34"/>
      <c r="J797" s="30" t="str">
        <f aca="false">IF(F797="","",G797-B797)</f>
        <v/>
      </c>
      <c r="K797" s="31" t="str">
        <f aca="false">IF(F797="","",IF(H797&lt;&gt;"",H797,MAX('Vade Sapması'!$D$3,G797)))</f>
        <v/>
      </c>
      <c r="L797" s="30" t="str">
        <f aca="false">IF(F797="","",K797-B797)</f>
        <v/>
      </c>
      <c r="M797" s="30" t="str">
        <f aca="false">IF(F797="","",L797-J797)</f>
        <v/>
      </c>
      <c r="N797" s="32" t="str">
        <f aca="false">IF(F797="","",IF(H797&lt;&gt;"","Kapandı",IF('Vade Sapması'!$D$3&gt;G797,"Açık · vadesi geçti","Açık · vadesi gelmedi")))</f>
        <v/>
      </c>
      <c r="O797" s="30" t="str">
        <f aca="false">IF(F797="","",IF(AND(H797="",'Vade Sapması'!$D$3&gt;G797),'Vade Sapması'!$D$3-G797,0))</f>
        <v/>
      </c>
      <c r="P797" s="33" t="str">
        <f aca="false">IF(F797="","",F797*J797)</f>
        <v/>
      </c>
      <c r="Q797" s="33" t="str">
        <f aca="false">IF(F797="","",F797*L797)</f>
        <v/>
      </c>
      <c r="R797" s="33" t="str">
        <f aca="false">IF(F797="","",IF(H797="",F797,0))</f>
        <v/>
      </c>
      <c r="S797" s="32" t="str">
        <f aca="false">IF(F797="","",IF(N(O797)=0,"",IF(O797&lt;=30,"1-30",IF(O797&lt;=60,"31-60",IF(O797&lt;=90,"61-90","90+")))))</f>
        <v/>
      </c>
      <c r="T797" s="32" t="str">
        <f aca="false">IF(F797="","",IF(E797="","Diğer",E797))</f>
        <v/>
      </c>
      <c r="U797" s="32" t="str">
        <f aca="false">IF(OR(F797="",C797=""),"",IF(COUNTIF($C$2:C797,C797)=1,MAX($U$1:U796)+1,""))</f>
        <v/>
      </c>
    </row>
    <row r="798" customFormat="false" ht="15" hidden="false" customHeight="false" outlineLevel="0" collapsed="false">
      <c r="A798" s="34"/>
      <c r="B798" s="9"/>
      <c r="C798" s="34"/>
      <c r="D798" s="34"/>
      <c r="E798" s="34"/>
      <c r="F798" s="35"/>
      <c r="G798" s="9"/>
      <c r="H798" s="9"/>
      <c r="I798" s="34"/>
      <c r="J798" s="30" t="str">
        <f aca="false">IF(F798="","",G798-B798)</f>
        <v/>
      </c>
      <c r="K798" s="31" t="str">
        <f aca="false">IF(F798="","",IF(H798&lt;&gt;"",H798,MAX('Vade Sapması'!$D$3,G798)))</f>
        <v/>
      </c>
      <c r="L798" s="30" t="str">
        <f aca="false">IF(F798="","",K798-B798)</f>
        <v/>
      </c>
      <c r="M798" s="30" t="str">
        <f aca="false">IF(F798="","",L798-J798)</f>
        <v/>
      </c>
      <c r="N798" s="32" t="str">
        <f aca="false">IF(F798="","",IF(H798&lt;&gt;"","Kapandı",IF('Vade Sapması'!$D$3&gt;G798,"Açık · vadesi geçti","Açık · vadesi gelmedi")))</f>
        <v/>
      </c>
      <c r="O798" s="30" t="str">
        <f aca="false">IF(F798="","",IF(AND(H798="",'Vade Sapması'!$D$3&gt;G798),'Vade Sapması'!$D$3-G798,0))</f>
        <v/>
      </c>
      <c r="P798" s="33" t="str">
        <f aca="false">IF(F798="","",F798*J798)</f>
        <v/>
      </c>
      <c r="Q798" s="33" t="str">
        <f aca="false">IF(F798="","",F798*L798)</f>
        <v/>
      </c>
      <c r="R798" s="33" t="str">
        <f aca="false">IF(F798="","",IF(H798="",F798,0))</f>
        <v/>
      </c>
      <c r="S798" s="32" t="str">
        <f aca="false">IF(F798="","",IF(N(O798)=0,"",IF(O798&lt;=30,"1-30",IF(O798&lt;=60,"31-60",IF(O798&lt;=90,"61-90","90+")))))</f>
        <v/>
      </c>
      <c r="T798" s="32" t="str">
        <f aca="false">IF(F798="","",IF(E798="","Diğer",E798))</f>
        <v/>
      </c>
      <c r="U798" s="32" t="str">
        <f aca="false">IF(OR(F798="",C798=""),"",IF(COUNTIF($C$2:C798,C798)=1,MAX($U$1:U797)+1,""))</f>
        <v/>
      </c>
    </row>
    <row r="799" customFormat="false" ht="15" hidden="false" customHeight="false" outlineLevel="0" collapsed="false">
      <c r="A799" s="34"/>
      <c r="B799" s="9"/>
      <c r="C799" s="34"/>
      <c r="D799" s="34"/>
      <c r="E799" s="34"/>
      <c r="F799" s="35"/>
      <c r="G799" s="9"/>
      <c r="H799" s="9"/>
      <c r="I799" s="34"/>
      <c r="J799" s="30" t="str">
        <f aca="false">IF(F799="","",G799-B799)</f>
        <v/>
      </c>
      <c r="K799" s="31" t="str">
        <f aca="false">IF(F799="","",IF(H799&lt;&gt;"",H799,MAX('Vade Sapması'!$D$3,G799)))</f>
        <v/>
      </c>
      <c r="L799" s="30" t="str">
        <f aca="false">IF(F799="","",K799-B799)</f>
        <v/>
      </c>
      <c r="M799" s="30" t="str">
        <f aca="false">IF(F799="","",L799-J799)</f>
        <v/>
      </c>
      <c r="N799" s="32" t="str">
        <f aca="false">IF(F799="","",IF(H799&lt;&gt;"","Kapandı",IF('Vade Sapması'!$D$3&gt;G799,"Açık · vadesi geçti","Açık · vadesi gelmedi")))</f>
        <v/>
      </c>
      <c r="O799" s="30" t="str">
        <f aca="false">IF(F799="","",IF(AND(H799="",'Vade Sapması'!$D$3&gt;G799),'Vade Sapması'!$D$3-G799,0))</f>
        <v/>
      </c>
      <c r="P799" s="33" t="str">
        <f aca="false">IF(F799="","",F799*J799)</f>
        <v/>
      </c>
      <c r="Q799" s="33" t="str">
        <f aca="false">IF(F799="","",F799*L799)</f>
        <v/>
      </c>
      <c r="R799" s="33" t="str">
        <f aca="false">IF(F799="","",IF(H799="",F799,0))</f>
        <v/>
      </c>
      <c r="S799" s="32" t="str">
        <f aca="false">IF(F799="","",IF(N(O799)=0,"",IF(O799&lt;=30,"1-30",IF(O799&lt;=60,"31-60",IF(O799&lt;=90,"61-90","90+")))))</f>
        <v/>
      </c>
      <c r="T799" s="32" t="str">
        <f aca="false">IF(F799="","",IF(E799="","Diğer",E799))</f>
        <v/>
      </c>
      <c r="U799" s="32" t="str">
        <f aca="false">IF(OR(F799="",C799=""),"",IF(COUNTIF($C$2:C799,C799)=1,MAX($U$1:U798)+1,""))</f>
        <v/>
      </c>
    </row>
    <row r="800" customFormat="false" ht="15" hidden="false" customHeight="false" outlineLevel="0" collapsed="false">
      <c r="A800" s="34"/>
      <c r="B800" s="9"/>
      <c r="C800" s="34"/>
      <c r="D800" s="34"/>
      <c r="E800" s="34"/>
      <c r="F800" s="35"/>
      <c r="G800" s="9"/>
      <c r="H800" s="9"/>
      <c r="I800" s="34"/>
      <c r="J800" s="30" t="str">
        <f aca="false">IF(F800="","",G800-B800)</f>
        <v/>
      </c>
      <c r="K800" s="31" t="str">
        <f aca="false">IF(F800="","",IF(H800&lt;&gt;"",H800,MAX('Vade Sapması'!$D$3,G800)))</f>
        <v/>
      </c>
      <c r="L800" s="30" t="str">
        <f aca="false">IF(F800="","",K800-B800)</f>
        <v/>
      </c>
      <c r="M800" s="30" t="str">
        <f aca="false">IF(F800="","",L800-J800)</f>
        <v/>
      </c>
      <c r="N800" s="32" t="str">
        <f aca="false">IF(F800="","",IF(H800&lt;&gt;"","Kapandı",IF('Vade Sapması'!$D$3&gt;G800,"Açık · vadesi geçti","Açık · vadesi gelmedi")))</f>
        <v/>
      </c>
      <c r="O800" s="30" t="str">
        <f aca="false">IF(F800="","",IF(AND(H800="",'Vade Sapması'!$D$3&gt;G800),'Vade Sapması'!$D$3-G800,0))</f>
        <v/>
      </c>
      <c r="P800" s="33" t="str">
        <f aca="false">IF(F800="","",F800*J800)</f>
        <v/>
      </c>
      <c r="Q800" s="33" t="str">
        <f aca="false">IF(F800="","",F800*L800)</f>
        <v/>
      </c>
      <c r="R800" s="33" t="str">
        <f aca="false">IF(F800="","",IF(H800="",F800,0))</f>
        <v/>
      </c>
      <c r="S800" s="32" t="str">
        <f aca="false">IF(F800="","",IF(N(O800)=0,"",IF(O800&lt;=30,"1-30",IF(O800&lt;=60,"31-60",IF(O800&lt;=90,"61-90","90+")))))</f>
        <v/>
      </c>
      <c r="T800" s="32" t="str">
        <f aca="false">IF(F800="","",IF(E800="","Diğer",E800))</f>
        <v/>
      </c>
      <c r="U800" s="32" t="str">
        <f aca="false">IF(OR(F800="",C800=""),"",IF(COUNTIF($C$2:C800,C800)=1,MAX($U$1:U799)+1,""))</f>
        <v/>
      </c>
    </row>
    <row r="801" customFormat="false" ht="15" hidden="false" customHeight="false" outlineLevel="0" collapsed="false">
      <c r="A801" s="34"/>
      <c r="B801" s="9"/>
      <c r="C801" s="34"/>
      <c r="D801" s="34"/>
      <c r="E801" s="34"/>
      <c r="F801" s="35"/>
      <c r="G801" s="9"/>
      <c r="H801" s="9"/>
      <c r="I801" s="34"/>
      <c r="J801" s="30" t="str">
        <f aca="false">IF(F801="","",G801-B801)</f>
        <v/>
      </c>
      <c r="K801" s="31" t="str">
        <f aca="false">IF(F801="","",IF(H801&lt;&gt;"",H801,MAX('Vade Sapması'!$D$3,G801)))</f>
        <v/>
      </c>
      <c r="L801" s="30" t="str">
        <f aca="false">IF(F801="","",K801-B801)</f>
        <v/>
      </c>
      <c r="M801" s="30" t="str">
        <f aca="false">IF(F801="","",L801-J801)</f>
        <v/>
      </c>
      <c r="N801" s="32" t="str">
        <f aca="false">IF(F801="","",IF(H801&lt;&gt;"","Kapandı",IF('Vade Sapması'!$D$3&gt;G801,"Açık · vadesi geçti","Açık · vadesi gelmedi")))</f>
        <v/>
      </c>
      <c r="O801" s="30" t="str">
        <f aca="false">IF(F801="","",IF(AND(H801="",'Vade Sapması'!$D$3&gt;G801),'Vade Sapması'!$D$3-G801,0))</f>
        <v/>
      </c>
      <c r="P801" s="33" t="str">
        <f aca="false">IF(F801="","",F801*J801)</f>
        <v/>
      </c>
      <c r="Q801" s="33" t="str">
        <f aca="false">IF(F801="","",F801*L801)</f>
        <v/>
      </c>
      <c r="R801" s="33" t="str">
        <f aca="false">IF(F801="","",IF(H801="",F801,0))</f>
        <v/>
      </c>
      <c r="S801" s="32" t="str">
        <f aca="false">IF(F801="","",IF(N(O801)=0,"",IF(O801&lt;=30,"1-30",IF(O801&lt;=60,"31-60",IF(O801&lt;=90,"61-90","90+")))))</f>
        <v/>
      </c>
      <c r="T801" s="32" t="str">
        <f aca="false">IF(F801="","",IF(E801="","Diğer",E801))</f>
        <v/>
      </c>
      <c r="U801" s="32" t="str">
        <f aca="false">IF(OR(F801="",C801=""),"",IF(COUNTIF($C$2:C801,C801)=1,MAX($U$1:U800)+1,""))</f>
        <v/>
      </c>
    </row>
    <row r="802" customFormat="false" ht="15" hidden="false" customHeight="false" outlineLevel="0" collapsed="false">
      <c r="A802" s="34"/>
      <c r="B802" s="9"/>
      <c r="C802" s="34"/>
      <c r="D802" s="34"/>
      <c r="E802" s="34"/>
      <c r="F802" s="35"/>
      <c r="G802" s="9"/>
      <c r="H802" s="9"/>
      <c r="I802" s="34"/>
      <c r="J802" s="30" t="str">
        <f aca="false">IF(F802="","",G802-B802)</f>
        <v/>
      </c>
      <c r="K802" s="31" t="str">
        <f aca="false">IF(F802="","",IF(H802&lt;&gt;"",H802,MAX('Vade Sapması'!$D$3,G802)))</f>
        <v/>
      </c>
      <c r="L802" s="30" t="str">
        <f aca="false">IF(F802="","",K802-B802)</f>
        <v/>
      </c>
      <c r="M802" s="30" t="str">
        <f aca="false">IF(F802="","",L802-J802)</f>
        <v/>
      </c>
      <c r="N802" s="32" t="str">
        <f aca="false">IF(F802="","",IF(H802&lt;&gt;"","Kapandı",IF('Vade Sapması'!$D$3&gt;G802,"Açık · vadesi geçti","Açık · vadesi gelmedi")))</f>
        <v/>
      </c>
      <c r="O802" s="30" t="str">
        <f aca="false">IF(F802="","",IF(AND(H802="",'Vade Sapması'!$D$3&gt;G802),'Vade Sapması'!$D$3-G802,0))</f>
        <v/>
      </c>
      <c r="P802" s="33" t="str">
        <f aca="false">IF(F802="","",F802*J802)</f>
        <v/>
      </c>
      <c r="Q802" s="33" t="str">
        <f aca="false">IF(F802="","",F802*L802)</f>
        <v/>
      </c>
      <c r="R802" s="33" t="str">
        <f aca="false">IF(F802="","",IF(H802="",F802,0))</f>
        <v/>
      </c>
      <c r="S802" s="32" t="str">
        <f aca="false">IF(F802="","",IF(N(O802)=0,"",IF(O802&lt;=30,"1-30",IF(O802&lt;=60,"31-60",IF(O802&lt;=90,"61-90","90+")))))</f>
        <v/>
      </c>
      <c r="T802" s="32" t="str">
        <f aca="false">IF(F802="","",IF(E802="","Diğer",E802))</f>
        <v/>
      </c>
      <c r="U802" s="32" t="str">
        <f aca="false">IF(OR(F802="",C802=""),"",IF(COUNTIF($C$2:C802,C802)=1,MAX($U$1:U801)+1,""))</f>
        <v/>
      </c>
    </row>
    <row r="803" customFormat="false" ht="15" hidden="false" customHeight="false" outlineLevel="0" collapsed="false">
      <c r="A803" s="34"/>
      <c r="B803" s="9"/>
      <c r="C803" s="34"/>
      <c r="D803" s="34"/>
      <c r="E803" s="34"/>
      <c r="F803" s="35"/>
      <c r="G803" s="9"/>
      <c r="H803" s="9"/>
      <c r="I803" s="34"/>
      <c r="J803" s="30" t="str">
        <f aca="false">IF(F803="","",G803-B803)</f>
        <v/>
      </c>
      <c r="K803" s="31" t="str">
        <f aca="false">IF(F803="","",IF(H803&lt;&gt;"",H803,MAX('Vade Sapması'!$D$3,G803)))</f>
        <v/>
      </c>
      <c r="L803" s="30" t="str">
        <f aca="false">IF(F803="","",K803-B803)</f>
        <v/>
      </c>
      <c r="M803" s="30" t="str">
        <f aca="false">IF(F803="","",L803-J803)</f>
        <v/>
      </c>
      <c r="N803" s="32" t="str">
        <f aca="false">IF(F803="","",IF(H803&lt;&gt;"","Kapandı",IF('Vade Sapması'!$D$3&gt;G803,"Açık · vadesi geçti","Açık · vadesi gelmedi")))</f>
        <v/>
      </c>
      <c r="O803" s="30" t="str">
        <f aca="false">IF(F803="","",IF(AND(H803="",'Vade Sapması'!$D$3&gt;G803),'Vade Sapması'!$D$3-G803,0))</f>
        <v/>
      </c>
      <c r="P803" s="33" t="str">
        <f aca="false">IF(F803="","",F803*J803)</f>
        <v/>
      </c>
      <c r="Q803" s="33" t="str">
        <f aca="false">IF(F803="","",F803*L803)</f>
        <v/>
      </c>
      <c r="R803" s="33" t="str">
        <f aca="false">IF(F803="","",IF(H803="",F803,0))</f>
        <v/>
      </c>
      <c r="S803" s="32" t="str">
        <f aca="false">IF(F803="","",IF(N(O803)=0,"",IF(O803&lt;=30,"1-30",IF(O803&lt;=60,"31-60",IF(O803&lt;=90,"61-90","90+")))))</f>
        <v/>
      </c>
      <c r="T803" s="32" t="str">
        <f aca="false">IF(F803="","",IF(E803="","Diğer",E803))</f>
        <v/>
      </c>
      <c r="U803" s="32" t="str">
        <f aca="false">IF(OR(F803="",C803=""),"",IF(COUNTIF($C$2:C803,C803)=1,MAX($U$1:U802)+1,""))</f>
        <v/>
      </c>
    </row>
    <row r="804" customFormat="false" ht="15" hidden="false" customHeight="false" outlineLevel="0" collapsed="false">
      <c r="A804" s="34"/>
      <c r="B804" s="9"/>
      <c r="C804" s="34"/>
      <c r="D804" s="34"/>
      <c r="E804" s="34"/>
      <c r="F804" s="35"/>
      <c r="G804" s="9"/>
      <c r="H804" s="9"/>
      <c r="I804" s="34"/>
      <c r="J804" s="30" t="str">
        <f aca="false">IF(F804="","",G804-B804)</f>
        <v/>
      </c>
      <c r="K804" s="31" t="str">
        <f aca="false">IF(F804="","",IF(H804&lt;&gt;"",H804,MAX('Vade Sapması'!$D$3,G804)))</f>
        <v/>
      </c>
      <c r="L804" s="30" t="str">
        <f aca="false">IF(F804="","",K804-B804)</f>
        <v/>
      </c>
      <c r="M804" s="30" t="str">
        <f aca="false">IF(F804="","",L804-J804)</f>
        <v/>
      </c>
      <c r="N804" s="32" t="str">
        <f aca="false">IF(F804="","",IF(H804&lt;&gt;"","Kapandı",IF('Vade Sapması'!$D$3&gt;G804,"Açık · vadesi geçti","Açık · vadesi gelmedi")))</f>
        <v/>
      </c>
      <c r="O804" s="30" t="str">
        <f aca="false">IF(F804="","",IF(AND(H804="",'Vade Sapması'!$D$3&gt;G804),'Vade Sapması'!$D$3-G804,0))</f>
        <v/>
      </c>
      <c r="P804" s="33" t="str">
        <f aca="false">IF(F804="","",F804*J804)</f>
        <v/>
      </c>
      <c r="Q804" s="33" t="str">
        <f aca="false">IF(F804="","",F804*L804)</f>
        <v/>
      </c>
      <c r="R804" s="33" t="str">
        <f aca="false">IF(F804="","",IF(H804="",F804,0))</f>
        <v/>
      </c>
      <c r="S804" s="32" t="str">
        <f aca="false">IF(F804="","",IF(N(O804)=0,"",IF(O804&lt;=30,"1-30",IF(O804&lt;=60,"31-60",IF(O804&lt;=90,"61-90","90+")))))</f>
        <v/>
      </c>
      <c r="T804" s="32" t="str">
        <f aca="false">IF(F804="","",IF(E804="","Diğer",E804))</f>
        <v/>
      </c>
      <c r="U804" s="32" t="str">
        <f aca="false">IF(OR(F804="",C804=""),"",IF(COUNTIF($C$2:C804,C804)=1,MAX($U$1:U803)+1,""))</f>
        <v/>
      </c>
    </row>
    <row r="805" customFormat="false" ht="15" hidden="false" customHeight="false" outlineLevel="0" collapsed="false">
      <c r="A805" s="34"/>
      <c r="B805" s="9"/>
      <c r="C805" s="34"/>
      <c r="D805" s="34"/>
      <c r="E805" s="34"/>
      <c r="F805" s="35"/>
      <c r="G805" s="9"/>
      <c r="H805" s="9"/>
      <c r="I805" s="34"/>
      <c r="J805" s="30" t="str">
        <f aca="false">IF(F805="","",G805-B805)</f>
        <v/>
      </c>
      <c r="K805" s="31" t="str">
        <f aca="false">IF(F805="","",IF(H805&lt;&gt;"",H805,MAX('Vade Sapması'!$D$3,G805)))</f>
        <v/>
      </c>
      <c r="L805" s="30" t="str">
        <f aca="false">IF(F805="","",K805-B805)</f>
        <v/>
      </c>
      <c r="M805" s="30" t="str">
        <f aca="false">IF(F805="","",L805-J805)</f>
        <v/>
      </c>
      <c r="N805" s="32" t="str">
        <f aca="false">IF(F805="","",IF(H805&lt;&gt;"","Kapandı",IF('Vade Sapması'!$D$3&gt;G805,"Açık · vadesi geçti","Açık · vadesi gelmedi")))</f>
        <v/>
      </c>
      <c r="O805" s="30" t="str">
        <f aca="false">IF(F805="","",IF(AND(H805="",'Vade Sapması'!$D$3&gt;G805),'Vade Sapması'!$D$3-G805,0))</f>
        <v/>
      </c>
      <c r="P805" s="33" t="str">
        <f aca="false">IF(F805="","",F805*J805)</f>
        <v/>
      </c>
      <c r="Q805" s="33" t="str">
        <f aca="false">IF(F805="","",F805*L805)</f>
        <v/>
      </c>
      <c r="R805" s="33" t="str">
        <f aca="false">IF(F805="","",IF(H805="",F805,0))</f>
        <v/>
      </c>
      <c r="S805" s="32" t="str">
        <f aca="false">IF(F805="","",IF(N(O805)=0,"",IF(O805&lt;=30,"1-30",IF(O805&lt;=60,"31-60",IF(O805&lt;=90,"61-90","90+")))))</f>
        <v/>
      </c>
      <c r="T805" s="32" t="str">
        <f aca="false">IF(F805="","",IF(E805="","Diğer",E805))</f>
        <v/>
      </c>
      <c r="U805" s="32" t="str">
        <f aca="false">IF(OR(F805="",C805=""),"",IF(COUNTIF($C$2:C805,C805)=1,MAX($U$1:U804)+1,""))</f>
        <v/>
      </c>
    </row>
    <row r="806" customFormat="false" ht="15" hidden="false" customHeight="false" outlineLevel="0" collapsed="false">
      <c r="A806" s="34"/>
      <c r="B806" s="9"/>
      <c r="C806" s="34"/>
      <c r="D806" s="34"/>
      <c r="E806" s="34"/>
      <c r="F806" s="35"/>
      <c r="G806" s="9"/>
      <c r="H806" s="9"/>
      <c r="I806" s="34"/>
      <c r="J806" s="30" t="str">
        <f aca="false">IF(F806="","",G806-B806)</f>
        <v/>
      </c>
      <c r="K806" s="31" t="str">
        <f aca="false">IF(F806="","",IF(H806&lt;&gt;"",H806,MAX('Vade Sapması'!$D$3,G806)))</f>
        <v/>
      </c>
      <c r="L806" s="30" t="str">
        <f aca="false">IF(F806="","",K806-B806)</f>
        <v/>
      </c>
      <c r="M806" s="30" t="str">
        <f aca="false">IF(F806="","",L806-J806)</f>
        <v/>
      </c>
      <c r="N806" s="32" t="str">
        <f aca="false">IF(F806="","",IF(H806&lt;&gt;"","Kapandı",IF('Vade Sapması'!$D$3&gt;G806,"Açık · vadesi geçti","Açık · vadesi gelmedi")))</f>
        <v/>
      </c>
      <c r="O806" s="30" t="str">
        <f aca="false">IF(F806="","",IF(AND(H806="",'Vade Sapması'!$D$3&gt;G806),'Vade Sapması'!$D$3-G806,0))</f>
        <v/>
      </c>
      <c r="P806" s="33" t="str">
        <f aca="false">IF(F806="","",F806*J806)</f>
        <v/>
      </c>
      <c r="Q806" s="33" t="str">
        <f aca="false">IF(F806="","",F806*L806)</f>
        <v/>
      </c>
      <c r="R806" s="33" t="str">
        <f aca="false">IF(F806="","",IF(H806="",F806,0))</f>
        <v/>
      </c>
      <c r="S806" s="32" t="str">
        <f aca="false">IF(F806="","",IF(N(O806)=0,"",IF(O806&lt;=30,"1-30",IF(O806&lt;=60,"31-60",IF(O806&lt;=90,"61-90","90+")))))</f>
        <v/>
      </c>
      <c r="T806" s="32" t="str">
        <f aca="false">IF(F806="","",IF(E806="","Diğer",E806))</f>
        <v/>
      </c>
      <c r="U806" s="32" t="str">
        <f aca="false">IF(OR(F806="",C806=""),"",IF(COUNTIF($C$2:C806,C806)=1,MAX($U$1:U805)+1,""))</f>
        <v/>
      </c>
    </row>
    <row r="807" customFormat="false" ht="15" hidden="false" customHeight="false" outlineLevel="0" collapsed="false">
      <c r="A807" s="34"/>
      <c r="B807" s="9"/>
      <c r="C807" s="34"/>
      <c r="D807" s="34"/>
      <c r="E807" s="34"/>
      <c r="F807" s="35"/>
      <c r="G807" s="9"/>
      <c r="H807" s="9"/>
      <c r="I807" s="34"/>
      <c r="J807" s="30" t="str">
        <f aca="false">IF(F807="","",G807-B807)</f>
        <v/>
      </c>
      <c r="K807" s="31" t="str">
        <f aca="false">IF(F807="","",IF(H807&lt;&gt;"",H807,MAX('Vade Sapması'!$D$3,G807)))</f>
        <v/>
      </c>
      <c r="L807" s="30" t="str">
        <f aca="false">IF(F807="","",K807-B807)</f>
        <v/>
      </c>
      <c r="M807" s="30" t="str">
        <f aca="false">IF(F807="","",L807-J807)</f>
        <v/>
      </c>
      <c r="N807" s="32" t="str">
        <f aca="false">IF(F807="","",IF(H807&lt;&gt;"","Kapandı",IF('Vade Sapması'!$D$3&gt;G807,"Açık · vadesi geçti","Açık · vadesi gelmedi")))</f>
        <v/>
      </c>
      <c r="O807" s="30" t="str">
        <f aca="false">IF(F807="","",IF(AND(H807="",'Vade Sapması'!$D$3&gt;G807),'Vade Sapması'!$D$3-G807,0))</f>
        <v/>
      </c>
      <c r="P807" s="33" t="str">
        <f aca="false">IF(F807="","",F807*J807)</f>
        <v/>
      </c>
      <c r="Q807" s="33" t="str">
        <f aca="false">IF(F807="","",F807*L807)</f>
        <v/>
      </c>
      <c r="R807" s="33" t="str">
        <f aca="false">IF(F807="","",IF(H807="",F807,0))</f>
        <v/>
      </c>
      <c r="S807" s="32" t="str">
        <f aca="false">IF(F807="","",IF(N(O807)=0,"",IF(O807&lt;=30,"1-30",IF(O807&lt;=60,"31-60",IF(O807&lt;=90,"61-90","90+")))))</f>
        <v/>
      </c>
      <c r="T807" s="32" t="str">
        <f aca="false">IF(F807="","",IF(E807="","Diğer",E807))</f>
        <v/>
      </c>
      <c r="U807" s="32" t="str">
        <f aca="false">IF(OR(F807="",C807=""),"",IF(COUNTIF($C$2:C807,C807)=1,MAX($U$1:U806)+1,""))</f>
        <v/>
      </c>
    </row>
    <row r="808" customFormat="false" ht="15" hidden="false" customHeight="false" outlineLevel="0" collapsed="false">
      <c r="A808" s="34"/>
      <c r="B808" s="9"/>
      <c r="C808" s="34"/>
      <c r="D808" s="34"/>
      <c r="E808" s="34"/>
      <c r="F808" s="35"/>
      <c r="G808" s="9"/>
      <c r="H808" s="9"/>
      <c r="I808" s="34"/>
      <c r="J808" s="30" t="str">
        <f aca="false">IF(F808="","",G808-B808)</f>
        <v/>
      </c>
      <c r="K808" s="31" t="str">
        <f aca="false">IF(F808="","",IF(H808&lt;&gt;"",H808,MAX('Vade Sapması'!$D$3,G808)))</f>
        <v/>
      </c>
      <c r="L808" s="30" t="str">
        <f aca="false">IF(F808="","",K808-B808)</f>
        <v/>
      </c>
      <c r="M808" s="30" t="str">
        <f aca="false">IF(F808="","",L808-J808)</f>
        <v/>
      </c>
      <c r="N808" s="32" t="str">
        <f aca="false">IF(F808="","",IF(H808&lt;&gt;"","Kapandı",IF('Vade Sapması'!$D$3&gt;G808,"Açık · vadesi geçti","Açık · vadesi gelmedi")))</f>
        <v/>
      </c>
      <c r="O808" s="30" t="str">
        <f aca="false">IF(F808="","",IF(AND(H808="",'Vade Sapması'!$D$3&gt;G808),'Vade Sapması'!$D$3-G808,0))</f>
        <v/>
      </c>
      <c r="P808" s="33" t="str">
        <f aca="false">IF(F808="","",F808*J808)</f>
        <v/>
      </c>
      <c r="Q808" s="33" t="str">
        <f aca="false">IF(F808="","",F808*L808)</f>
        <v/>
      </c>
      <c r="R808" s="33" t="str">
        <f aca="false">IF(F808="","",IF(H808="",F808,0))</f>
        <v/>
      </c>
      <c r="S808" s="32" t="str">
        <f aca="false">IF(F808="","",IF(N(O808)=0,"",IF(O808&lt;=30,"1-30",IF(O808&lt;=60,"31-60",IF(O808&lt;=90,"61-90","90+")))))</f>
        <v/>
      </c>
      <c r="T808" s="32" t="str">
        <f aca="false">IF(F808="","",IF(E808="","Diğer",E808))</f>
        <v/>
      </c>
      <c r="U808" s="32" t="str">
        <f aca="false">IF(OR(F808="",C808=""),"",IF(COUNTIF($C$2:C808,C808)=1,MAX($U$1:U807)+1,""))</f>
        <v/>
      </c>
    </row>
    <row r="809" customFormat="false" ht="15" hidden="false" customHeight="false" outlineLevel="0" collapsed="false">
      <c r="A809" s="34"/>
      <c r="B809" s="9"/>
      <c r="C809" s="34"/>
      <c r="D809" s="34"/>
      <c r="E809" s="34"/>
      <c r="F809" s="35"/>
      <c r="G809" s="9"/>
      <c r="H809" s="9"/>
      <c r="I809" s="34"/>
      <c r="J809" s="30" t="str">
        <f aca="false">IF(F809="","",G809-B809)</f>
        <v/>
      </c>
      <c r="K809" s="31" t="str">
        <f aca="false">IF(F809="","",IF(H809&lt;&gt;"",H809,MAX('Vade Sapması'!$D$3,G809)))</f>
        <v/>
      </c>
      <c r="L809" s="30" t="str">
        <f aca="false">IF(F809="","",K809-B809)</f>
        <v/>
      </c>
      <c r="M809" s="30" t="str">
        <f aca="false">IF(F809="","",L809-J809)</f>
        <v/>
      </c>
      <c r="N809" s="32" t="str">
        <f aca="false">IF(F809="","",IF(H809&lt;&gt;"","Kapandı",IF('Vade Sapması'!$D$3&gt;G809,"Açık · vadesi geçti","Açık · vadesi gelmedi")))</f>
        <v/>
      </c>
      <c r="O809" s="30" t="str">
        <f aca="false">IF(F809="","",IF(AND(H809="",'Vade Sapması'!$D$3&gt;G809),'Vade Sapması'!$D$3-G809,0))</f>
        <v/>
      </c>
      <c r="P809" s="33" t="str">
        <f aca="false">IF(F809="","",F809*J809)</f>
        <v/>
      </c>
      <c r="Q809" s="33" t="str">
        <f aca="false">IF(F809="","",F809*L809)</f>
        <v/>
      </c>
      <c r="R809" s="33" t="str">
        <f aca="false">IF(F809="","",IF(H809="",F809,0))</f>
        <v/>
      </c>
      <c r="S809" s="32" t="str">
        <f aca="false">IF(F809="","",IF(N(O809)=0,"",IF(O809&lt;=30,"1-30",IF(O809&lt;=60,"31-60",IF(O809&lt;=90,"61-90","90+")))))</f>
        <v/>
      </c>
      <c r="T809" s="32" t="str">
        <f aca="false">IF(F809="","",IF(E809="","Diğer",E809))</f>
        <v/>
      </c>
      <c r="U809" s="32" t="str">
        <f aca="false">IF(OR(F809="",C809=""),"",IF(COUNTIF($C$2:C809,C809)=1,MAX($U$1:U808)+1,""))</f>
        <v/>
      </c>
    </row>
    <row r="810" customFormat="false" ht="15" hidden="false" customHeight="false" outlineLevel="0" collapsed="false">
      <c r="A810" s="34"/>
      <c r="B810" s="9"/>
      <c r="C810" s="34"/>
      <c r="D810" s="34"/>
      <c r="E810" s="34"/>
      <c r="F810" s="35"/>
      <c r="G810" s="9"/>
      <c r="H810" s="9"/>
      <c r="I810" s="34"/>
      <c r="J810" s="30" t="str">
        <f aca="false">IF(F810="","",G810-B810)</f>
        <v/>
      </c>
      <c r="K810" s="31" t="str">
        <f aca="false">IF(F810="","",IF(H810&lt;&gt;"",H810,MAX('Vade Sapması'!$D$3,G810)))</f>
        <v/>
      </c>
      <c r="L810" s="30" t="str">
        <f aca="false">IF(F810="","",K810-B810)</f>
        <v/>
      </c>
      <c r="M810" s="30" t="str">
        <f aca="false">IF(F810="","",L810-J810)</f>
        <v/>
      </c>
      <c r="N810" s="32" t="str">
        <f aca="false">IF(F810="","",IF(H810&lt;&gt;"","Kapandı",IF('Vade Sapması'!$D$3&gt;G810,"Açık · vadesi geçti","Açık · vadesi gelmedi")))</f>
        <v/>
      </c>
      <c r="O810" s="30" t="str">
        <f aca="false">IF(F810="","",IF(AND(H810="",'Vade Sapması'!$D$3&gt;G810),'Vade Sapması'!$D$3-G810,0))</f>
        <v/>
      </c>
      <c r="P810" s="33" t="str">
        <f aca="false">IF(F810="","",F810*J810)</f>
        <v/>
      </c>
      <c r="Q810" s="33" t="str">
        <f aca="false">IF(F810="","",F810*L810)</f>
        <v/>
      </c>
      <c r="R810" s="33" t="str">
        <f aca="false">IF(F810="","",IF(H810="",F810,0))</f>
        <v/>
      </c>
      <c r="S810" s="32" t="str">
        <f aca="false">IF(F810="","",IF(N(O810)=0,"",IF(O810&lt;=30,"1-30",IF(O810&lt;=60,"31-60",IF(O810&lt;=90,"61-90","90+")))))</f>
        <v/>
      </c>
      <c r="T810" s="32" t="str">
        <f aca="false">IF(F810="","",IF(E810="","Diğer",E810))</f>
        <v/>
      </c>
      <c r="U810" s="32" t="str">
        <f aca="false">IF(OR(F810="",C810=""),"",IF(COUNTIF($C$2:C810,C810)=1,MAX($U$1:U809)+1,""))</f>
        <v/>
      </c>
    </row>
    <row r="811" customFormat="false" ht="15" hidden="false" customHeight="false" outlineLevel="0" collapsed="false">
      <c r="A811" s="34"/>
      <c r="B811" s="9"/>
      <c r="C811" s="34"/>
      <c r="D811" s="34"/>
      <c r="E811" s="34"/>
      <c r="F811" s="35"/>
      <c r="G811" s="9"/>
      <c r="H811" s="9"/>
      <c r="I811" s="34"/>
      <c r="J811" s="30" t="str">
        <f aca="false">IF(F811="","",G811-B811)</f>
        <v/>
      </c>
      <c r="K811" s="31" t="str">
        <f aca="false">IF(F811="","",IF(H811&lt;&gt;"",H811,MAX('Vade Sapması'!$D$3,G811)))</f>
        <v/>
      </c>
      <c r="L811" s="30" t="str">
        <f aca="false">IF(F811="","",K811-B811)</f>
        <v/>
      </c>
      <c r="M811" s="30" t="str">
        <f aca="false">IF(F811="","",L811-J811)</f>
        <v/>
      </c>
      <c r="N811" s="32" t="str">
        <f aca="false">IF(F811="","",IF(H811&lt;&gt;"","Kapandı",IF('Vade Sapması'!$D$3&gt;G811,"Açık · vadesi geçti","Açık · vadesi gelmedi")))</f>
        <v/>
      </c>
      <c r="O811" s="30" t="str">
        <f aca="false">IF(F811="","",IF(AND(H811="",'Vade Sapması'!$D$3&gt;G811),'Vade Sapması'!$D$3-G811,0))</f>
        <v/>
      </c>
      <c r="P811" s="33" t="str">
        <f aca="false">IF(F811="","",F811*J811)</f>
        <v/>
      </c>
      <c r="Q811" s="33" t="str">
        <f aca="false">IF(F811="","",F811*L811)</f>
        <v/>
      </c>
      <c r="R811" s="33" t="str">
        <f aca="false">IF(F811="","",IF(H811="",F811,0))</f>
        <v/>
      </c>
      <c r="S811" s="32" t="str">
        <f aca="false">IF(F811="","",IF(N(O811)=0,"",IF(O811&lt;=30,"1-30",IF(O811&lt;=60,"31-60",IF(O811&lt;=90,"61-90","90+")))))</f>
        <v/>
      </c>
      <c r="T811" s="32" t="str">
        <f aca="false">IF(F811="","",IF(E811="","Diğer",E811))</f>
        <v/>
      </c>
      <c r="U811" s="32" t="str">
        <f aca="false">IF(OR(F811="",C811=""),"",IF(COUNTIF($C$2:C811,C811)=1,MAX($U$1:U810)+1,""))</f>
        <v/>
      </c>
    </row>
    <row r="812" customFormat="false" ht="15" hidden="false" customHeight="false" outlineLevel="0" collapsed="false">
      <c r="A812" s="34"/>
      <c r="B812" s="9"/>
      <c r="C812" s="34"/>
      <c r="D812" s="34"/>
      <c r="E812" s="34"/>
      <c r="F812" s="35"/>
      <c r="G812" s="9"/>
      <c r="H812" s="9"/>
      <c r="I812" s="34"/>
      <c r="J812" s="30" t="str">
        <f aca="false">IF(F812="","",G812-B812)</f>
        <v/>
      </c>
      <c r="K812" s="31" t="str">
        <f aca="false">IF(F812="","",IF(H812&lt;&gt;"",H812,MAX('Vade Sapması'!$D$3,G812)))</f>
        <v/>
      </c>
      <c r="L812" s="30" t="str">
        <f aca="false">IF(F812="","",K812-B812)</f>
        <v/>
      </c>
      <c r="M812" s="30" t="str">
        <f aca="false">IF(F812="","",L812-J812)</f>
        <v/>
      </c>
      <c r="N812" s="32" t="str">
        <f aca="false">IF(F812="","",IF(H812&lt;&gt;"","Kapandı",IF('Vade Sapması'!$D$3&gt;G812,"Açık · vadesi geçti","Açık · vadesi gelmedi")))</f>
        <v/>
      </c>
      <c r="O812" s="30" t="str">
        <f aca="false">IF(F812="","",IF(AND(H812="",'Vade Sapması'!$D$3&gt;G812),'Vade Sapması'!$D$3-G812,0))</f>
        <v/>
      </c>
      <c r="P812" s="33" t="str">
        <f aca="false">IF(F812="","",F812*J812)</f>
        <v/>
      </c>
      <c r="Q812" s="33" t="str">
        <f aca="false">IF(F812="","",F812*L812)</f>
        <v/>
      </c>
      <c r="R812" s="33" t="str">
        <f aca="false">IF(F812="","",IF(H812="",F812,0))</f>
        <v/>
      </c>
      <c r="S812" s="32" t="str">
        <f aca="false">IF(F812="","",IF(N(O812)=0,"",IF(O812&lt;=30,"1-30",IF(O812&lt;=60,"31-60",IF(O812&lt;=90,"61-90","90+")))))</f>
        <v/>
      </c>
      <c r="T812" s="32" t="str">
        <f aca="false">IF(F812="","",IF(E812="","Diğer",E812))</f>
        <v/>
      </c>
      <c r="U812" s="32" t="str">
        <f aca="false">IF(OR(F812="",C812=""),"",IF(COUNTIF($C$2:C812,C812)=1,MAX($U$1:U811)+1,""))</f>
        <v/>
      </c>
    </row>
    <row r="813" customFormat="false" ht="15" hidden="false" customHeight="false" outlineLevel="0" collapsed="false">
      <c r="A813" s="34"/>
      <c r="B813" s="9"/>
      <c r="C813" s="34"/>
      <c r="D813" s="34"/>
      <c r="E813" s="34"/>
      <c r="F813" s="35"/>
      <c r="G813" s="9"/>
      <c r="H813" s="9"/>
      <c r="I813" s="34"/>
      <c r="J813" s="30" t="str">
        <f aca="false">IF(F813="","",G813-B813)</f>
        <v/>
      </c>
      <c r="K813" s="31" t="str">
        <f aca="false">IF(F813="","",IF(H813&lt;&gt;"",H813,MAX('Vade Sapması'!$D$3,G813)))</f>
        <v/>
      </c>
      <c r="L813" s="30" t="str">
        <f aca="false">IF(F813="","",K813-B813)</f>
        <v/>
      </c>
      <c r="M813" s="30" t="str">
        <f aca="false">IF(F813="","",L813-J813)</f>
        <v/>
      </c>
      <c r="N813" s="32" t="str">
        <f aca="false">IF(F813="","",IF(H813&lt;&gt;"","Kapandı",IF('Vade Sapması'!$D$3&gt;G813,"Açık · vadesi geçti","Açık · vadesi gelmedi")))</f>
        <v/>
      </c>
      <c r="O813" s="30" t="str">
        <f aca="false">IF(F813="","",IF(AND(H813="",'Vade Sapması'!$D$3&gt;G813),'Vade Sapması'!$D$3-G813,0))</f>
        <v/>
      </c>
      <c r="P813" s="33" t="str">
        <f aca="false">IF(F813="","",F813*J813)</f>
        <v/>
      </c>
      <c r="Q813" s="33" t="str">
        <f aca="false">IF(F813="","",F813*L813)</f>
        <v/>
      </c>
      <c r="R813" s="33" t="str">
        <f aca="false">IF(F813="","",IF(H813="",F813,0))</f>
        <v/>
      </c>
      <c r="S813" s="32" t="str">
        <f aca="false">IF(F813="","",IF(N(O813)=0,"",IF(O813&lt;=30,"1-30",IF(O813&lt;=60,"31-60",IF(O813&lt;=90,"61-90","90+")))))</f>
        <v/>
      </c>
      <c r="T813" s="32" t="str">
        <f aca="false">IF(F813="","",IF(E813="","Diğer",E813))</f>
        <v/>
      </c>
      <c r="U813" s="32" t="str">
        <f aca="false">IF(OR(F813="",C813=""),"",IF(COUNTIF($C$2:C813,C813)=1,MAX($U$1:U812)+1,""))</f>
        <v/>
      </c>
    </row>
    <row r="814" customFormat="false" ht="15" hidden="false" customHeight="false" outlineLevel="0" collapsed="false">
      <c r="A814" s="34"/>
      <c r="B814" s="9"/>
      <c r="C814" s="34"/>
      <c r="D814" s="34"/>
      <c r="E814" s="34"/>
      <c r="F814" s="35"/>
      <c r="G814" s="9"/>
      <c r="H814" s="9"/>
      <c r="I814" s="34"/>
      <c r="J814" s="30" t="str">
        <f aca="false">IF(F814="","",G814-B814)</f>
        <v/>
      </c>
      <c r="K814" s="31" t="str">
        <f aca="false">IF(F814="","",IF(H814&lt;&gt;"",H814,MAX('Vade Sapması'!$D$3,G814)))</f>
        <v/>
      </c>
      <c r="L814" s="30" t="str">
        <f aca="false">IF(F814="","",K814-B814)</f>
        <v/>
      </c>
      <c r="M814" s="30" t="str">
        <f aca="false">IF(F814="","",L814-J814)</f>
        <v/>
      </c>
      <c r="N814" s="32" t="str">
        <f aca="false">IF(F814="","",IF(H814&lt;&gt;"","Kapandı",IF('Vade Sapması'!$D$3&gt;G814,"Açık · vadesi geçti","Açık · vadesi gelmedi")))</f>
        <v/>
      </c>
      <c r="O814" s="30" t="str">
        <f aca="false">IF(F814="","",IF(AND(H814="",'Vade Sapması'!$D$3&gt;G814),'Vade Sapması'!$D$3-G814,0))</f>
        <v/>
      </c>
      <c r="P814" s="33" t="str">
        <f aca="false">IF(F814="","",F814*J814)</f>
        <v/>
      </c>
      <c r="Q814" s="33" t="str">
        <f aca="false">IF(F814="","",F814*L814)</f>
        <v/>
      </c>
      <c r="R814" s="33" t="str">
        <f aca="false">IF(F814="","",IF(H814="",F814,0))</f>
        <v/>
      </c>
      <c r="S814" s="32" t="str">
        <f aca="false">IF(F814="","",IF(N(O814)=0,"",IF(O814&lt;=30,"1-30",IF(O814&lt;=60,"31-60",IF(O814&lt;=90,"61-90","90+")))))</f>
        <v/>
      </c>
      <c r="T814" s="32" t="str">
        <f aca="false">IF(F814="","",IF(E814="","Diğer",E814))</f>
        <v/>
      </c>
      <c r="U814" s="32" t="str">
        <f aca="false">IF(OR(F814="",C814=""),"",IF(COUNTIF($C$2:C814,C814)=1,MAX($U$1:U813)+1,""))</f>
        <v/>
      </c>
    </row>
    <row r="815" customFormat="false" ht="15" hidden="false" customHeight="false" outlineLevel="0" collapsed="false">
      <c r="A815" s="34"/>
      <c r="B815" s="9"/>
      <c r="C815" s="34"/>
      <c r="D815" s="34"/>
      <c r="E815" s="34"/>
      <c r="F815" s="35"/>
      <c r="G815" s="9"/>
      <c r="H815" s="9"/>
      <c r="I815" s="34"/>
      <c r="J815" s="30" t="str">
        <f aca="false">IF(F815="","",G815-B815)</f>
        <v/>
      </c>
      <c r="K815" s="31" t="str">
        <f aca="false">IF(F815="","",IF(H815&lt;&gt;"",H815,MAX('Vade Sapması'!$D$3,G815)))</f>
        <v/>
      </c>
      <c r="L815" s="30" t="str">
        <f aca="false">IF(F815="","",K815-B815)</f>
        <v/>
      </c>
      <c r="M815" s="30" t="str">
        <f aca="false">IF(F815="","",L815-J815)</f>
        <v/>
      </c>
      <c r="N815" s="32" t="str">
        <f aca="false">IF(F815="","",IF(H815&lt;&gt;"","Kapandı",IF('Vade Sapması'!$D$3&gt;G815,"Açık · vadesi geçti","Açık · vadesi gelmedi")))</f>
        <v/>
      </c>
      <c r="O815" s="30" t="str">
        <f aca="false">IF(F815="","",IF(AND(H815="",'Vade Sapması'!$D$3&gt;G815),'Vade Sapması'!$D$3-G815,0))</f>
        <v/>
      </c>
      <c r="P815" s="33" t="str">
        <f aca="false">IF(F815="","",F815*J815)</f>
        <v/>
      </c>
      <c r="Q815" s="33" t="str">
        <f aca="false">IF(F815="","",F815*L815)</f>
        <v/>
      </c>
      <c r="R815" s="33" t="str">
        <f aca="false">IF(F815="","",IF(H815="",F815,0))</f>
        <v/>
      </c>
      <c r="S815" s="32" t="str">
        <f aca="false">IF(F815="","",IF(N(O815)=0,"",IF(O815&lt;=30,"1-30",IF(O815&lt;=60,"31-60",IF(O815&lt;=90,"61-90","90+")))))</f>
        <v/>
      </c>
      <c r="T815" s="32" t="str">
        <f aca="false">IF(F815="","",IF(E815="","Diğer",E815))</f>
        <v/>
      </c>
      <c r="U815" s="32" t="str">
        <f aca="false">IF(OR(F815="",C815=""),"",IF(COUNTIF($C$2:C815,C815)=1,MAX($U$1:U814)+1,""))</f>
        <v/>
      </c>
    </row>
    <row r="816" customFormat="false" ht="15" hidden="false" customHeight="false" outlineLevel="0" collapsed="false">
      <c r="A816" s="34"/>
      <c r="B816" s="9"/>
      <c r="C816" s="34"/>
      <c r="D816" s="34"/>
      <c r="E816" s="34"/>
      <c r="F816" s="35"/>
      <c r="G816" s="9"/>
      <c r="H816" s="9"/>
      <c r="I816" s="34"/>
      <c r="J816" s="30" t="str">
        <f aca="false">IF(F816="","",G816-B816)</f>
        <v/>
      </c>
      <c r="K816" s="31" t="str">
        <f aca="false">IF(F816="","",IF(H816&lt;&gt;"",H816,MAX('Vade Sapması'!$D$3,G816)))</f>
        <v/>
      </c>
      <c r="L816" s="30" t="str">
        <f aca="false">IF(F816="","",K816-B816)</f>
        <v/>
      </c>
      <c r="M816" s="30" t="str">
        <f aca="false">IF(F816="","",L816-J816)</f>
        <v/>
      </c>
      <c r="N816" s="32" t="str">
        <f aca="false">IF(F816="","",IF(H816&lt;&gt;"","Kapandı",IF('Vade Sapması'!$D$3&gt;G816,"Açık · vadesi geçti","Açık · vadesi gelmedi")))</f>
        <v/>
      </c>
      <c r="O816" s="30" t="str">
        <f aca="false">IF(F816="","",IF(AND(H816="",'Vade Sapması'!$D$3&gt;G816),'Vade Sapması'!$D$3-G816,0))</f>
        <v/>
      </c>
      <c r="P816" s="33" t="str">
        <f aca="false">IF(F816="","",F816*J816)</f>
        <v/>
      </c>
      <c r="Q816" s="33" t="str">
        <f aca="false">IF(F816="","",F816*L816)</f>
        <v/>
      </c>
      <c r="R816" s="33" t="str">
        <f aca="false">IF(F816="","",IF(H816="",F816,0))</f>
        <v/>
      </c>
      <c r="S816" s="32" t="str">
        <f aca="false">IF(F816="","",IF(N(O816)=0,"",IF(O816&lt;=30,"1-30",IF(O816&lt;=60,"31-60",IF(O816&lt;=90,"61-90","90+")))))</f>
        <v/>
      </c>
      <c r="T816" s="32" t="str">
        <f aca="false">IF(F816="","",IF(E816="","Diğer",E816))</f>
        <v/>
      </c>
      <c r="U816" s="32" t="str">
        <f aca="false">IF(OR(F816="",C816=""),"",IF(COUNTIF($C$2:C816,C816)=1,MAX($U$1:U815)+1,""))</f>
        <v/>
      </c>
    </row>
    <row r="817" customFormat="false" ht="15" hidden="false" customHeight="false" outlineLevel="0" collapsed="false">
      <c r="A817" s="34"/>
      <c r="B817" s="9"/>
      <c r="C817" s="34"/>
      <c r="D817" s="34"/>
      <c r="E817" s="34"/>
      <c r="F817" s="35"/>
      <c r="G817" s="9"/>
      <c r="H817" s="9"/>
      <c r="I817" s="34"/>
      <c r="J817" s="30" t="str">
        <f aca="false">IF(F817="","",G817-B817)</f>
        <v/>
      </c>
      <c r="K817" s="31" t="str">
        <f aca="false">IF(F817="","",IF(H817&lt;&gt;"",H817,MAX('Vade Sapması'!$D$3,G817)))</f>
        <v/>
      </c>
      <c r="L817" s="30" t="str">
        <f aca="false">IF(F817="","",K817-B817)</f>
        <v/>
      </c>
      <c r="M817" s="30" t="str">
        <f aca="false">IF(F817="","",L817-J817)</f>
        <v/>
      </c>
      <c r="N817" s="32" t="str">
        <f aca="false">IF(F817="","",IF(H817&lt;&gt;"","Kapandı",IF('Vade Sapması'!$D$3&gt;G817,"Açık · vadesi geçti","Açık · vadesi gelmedi")))</f>
        <v/>
      </c>
      <c r="O817" s="30" t="str">
        <f aca="false">IF(F817="","",IF(AND(H817="",'Vade Sapması'!$D$3&gt;G817),'Vade Sapması'!$D$3-G817,0))</f>
        <v/>
      </c>
      <c r="P817" s="33" t="str">
        <f aca="false">IF(F817="","",F817*J817)</f>
        <v/>
      </c>
      <c r="Q817" s="33" t="str">
        <f aca="false">IF(F817="","",F817*L817)</f>
        <v/>
      </c>
      <c r="R817" s="33" t="str">
        <f aca="false">IF(F817="","",IF(H817="",F817,0))</f>
        <v/>
      </c>
      <c r="S817" s="32" t="str">
        <f aca="false">IF(F817="","",IF(N(O817)=0,"",IF(O817&lt;=30,"1-30",IF(O817&lt;=60,"31-60",IF(O817&lt;=90,"61-90","90+")))))</f>
        <v/>
      </c>
      <c r="T817" s="32" t="str">
        <f aca="false">IF(F817="","",IF(E817="","Diğer",E817))</f>
        <v/>
      </c>
      <c r="U817" s="32" t="str">
        <f aca="false">IF(OR(F817="",C817=""),"",IF(COUNTIF($C$2:C817,C817)=1,MAX($U$1:U816)+1,""))</f>
        <v/>
      </c>
    </row>
    <row r="818" customFormat="false" ht="15" hidden="false" customHeight="false" outlineLevel="0" collapsed="false">
      <c r="A818" s="34"/>
      <c r="B818" s="9"/>
      <c r="C818" s="34"/>
      <c r="D818" s="34"/>
      <c r="E818" s="34"/>
      <c r="F818" s="35"/>
      <c r="G818" s="9"/>
      <c r="H818" s="9"/>
      <c r="I818" s="34"/>
      <c r="J818" s="30" t="str">
        <f aca="false">IF(F818="","",G818-B818)</f>
        <v/>
      </c>
      <c r="K818" s="31" t="str">
        <f aca="false">IF(F818="","",IF(H818&lt;&gt;"",H818,MAX('Vade Sapması'!$D$3,G818)))</f>
        <v/>
      </c>
      <c r="L818" s="30" t="str">
        <f aca="false">IF(F818="","",K818-B818)</f>
        <v/>
      </c>
      <c r="M818" s="30" t="str">
        <f aca="false">IF(F818="","",L818-J818)</f>
        <v/>
      </c>
      <c r="N818" s="32" t="str">
        <f aca="false">IF(F818="","",IF(H818&lt;&gt;"","Kapandı",IF('Vade Sapması'!$D$3&gt;G818,"Açık · vadesi geçti","Açık · vadesi gelmedi")))</f>
        <v/>
      </c>
      <c r="O818" s="30" t="str">
        <f aca="false">IF(F818="","",IF(AND(H818="",'Vade Sapması'!$D$3&gt;G818),'Vade Sapması'!$D$3-G818,0))</f>
        <v/>
      </c>
      <c r="P818" s="33" t="str">
        <f aca="false">IF(F818="","",F818*J818)</f>
        <v/>
      </c>
      <c r="Q818" s="33" t="str">
        <f aca="false">IF(F818="","",F818*L818)</f>
        <v/>
      </c>
      <c r="R818" s="33" t="str">
        <f aca="false">IF(F818="","",IF(H818="",F818,0))</f>
        <v/>
      </c>
      <c r="S818" s="32" t="str">
        <f aca="false">IF(F818="","",IF(N(O818)=0,"",IF(O818&lt;=30,"1-30",IF(O818&lt;=60,"31-60",IF(O818&lt;=90,"61-90","90+")))))</f>
        <v/>
      </c>
      <c r="T818" s="32" t="str">
        <f aca="false">IF(F818="","",IF(E818="","Diğer",E818))</f>
        <v/>
      </c>
      <c r="U818" s="32" t="str">
        <f aca="false">IF(OR(F818="",C818=""),"",IF(COUNTIF($C$2:C818,C818)=1,MAX($U$1:U817)+1,""))</f>
        <v/>
      </c>
    </row>
    <row r="819" customFormat="false" ht="15" hidden="false" customHeight="false" outlineLevel="0" collapsed="false">
      <c r="A819" s="34"/>
      <c r="B819" s="9"/>
      <c r="C819" s="34"/>
      <c r="D819" s="34"/>
      <c r="E819" s="34"/>
      <c r="F819" s="35"/>
      <c r="G819" s="9"/>
      <c r="H819" s="9"/>
      <c r="I819" s="34"/>
      <c r="J819" s="30" t="str">
        <f aca="false">IF(F819="","",G819-B819)</f>
        <v/>
      </c>
      <c r="K819" s="31" t="str">
        <f aca="false">IF(F819="","",IF(H819&lt;&gt;"",H819,MAX('Vade Sapması'!$D$3,G819)))</f>
        <v/>
      </c>
      <c r="L819" s="30" t="str">
        <f aca="false">IF(F819="","",K819-B819)</f>
        <v/>
      </c>
      <c r="M819" s="30" t="str">
        <f aca="false">IF(F819="","",L819-J819)</f>
        <v/>
      </c>
      <c r="N819" s="32" t="str">
        <f aca="false">IF(F819="","",IF(H819&lt;&gt;"","Kapandı",IF('Vade Sapması'!$D$3&gt;G819,"Açık · vadesi geçti","Açık · vadesi gelmedi")))</f>
        <v/>
      </c>
      <c r="O819" s="30" t="str">
        <f aca="false">IF(F819="","",IF(AND(H819="",'Vade Sapması'!$D$3&gt;G819),'Vade Sapması'!$D$3-G819,0))</f>
        <v/>
      </c>
      <c r="P819" s="33" t="str">
        <f aca="false">IF(F819="","",F819*J819)</f>
        <v/>
      </c>
      <c r="Q819" s="33" t="str">
        <f aca="false">IF(F819="","",F819*L819)</f>
        <v/>
      </c>
      <c r="R819" s="33" t="str">
        <f aca="false">IF(F819="","",IF(H819="",F819,0))</f>
        <v/>
      </c>
      <c r="S819" s="32" t="str">
        <f aca="false">IF(F819="","",IF(N(O819)=0,"",IF(O819&lt;=30,"1-30",IF(O819&lt;=60,"31-60",IF(O819&lt;=90,"61-90","90+")))))</f>
        <v/>
      </c>
      <c r="T819" s="32" t="str">
        <f aca="false">IF(F819="","",IF(E819="","Diğer",E819))</f>
        <v/>
      </c>
      <c r="U819" s="32" t="str">
        <f aca="false">IF(OR(F819="",C819=""),"",IF(COUNTIF($C$2:C819,C819)=1,MAX($U$1:U818)+1,""))</f>
        <v/>
      </c>
    </row>
    <row r="820" customFormat="false" ht="15" hidden="false" customHeight="false" outlineLevel="0" collapsed="false">
      <c r="A820" s="34"/>
      <c r="B820" s="9"/>
      <c r="C820" s="34"/>
      <c r="D820" s="34"/>
      <c r="E820" s="34"/>
      <c r="F820" s="35"/>
      <c r="G820" s="9"/>
      <c r="H820" s="9"/>
      <c r="I820" s="34"/>
      <c r="J820" s="30" t="str">
        <f aca="false">IF(F820="","",G820-B820)</f>
        <v/>
      </c>
      <c r="K820" s="31" t="str">
        <f aca="false">IF(F820="","",IF(H820&lt;&gt;"",H820,MAX('Vade Sapması'!$D$3,G820)))</f>
        <v/>
      </c>
      <c r="L820" s="30" t="str">
        <f aca="false">IF(F820="","",K820-B820)</f>
        <v/>
      </c>
      <c r="M820" s="30" t="str">
        <f aca="false">IF(F820="","",L820-J820)</f>
        <v/>
      </c>
      <c r="N820" s="32" t="str">
        <f aca="false">IF(F820="","",IF(H820&lt;&gt;"","Kapandı",IF('Vade Sapması'!$D$3&gt;G820,"Açık · vadesi geçti","Açık · vadesi gelmedi")))</f>
        <v/>
      </c>
      <c r="O820" s="30" t="str">
        <f aca="false">IF(F820="","",IF(AND(H820="",'Vade Sapması'!$D$3&gt;G820),'Vade Sapması'!$D$3-G820,0))</f>
        <v/>
      </c>
      <c r="P820" s="33" t="str">
        <f aca="false">IF(F820="","",F820*J820)</f>
        <v/>
      </c>
      <c r="Q820" s="33" t="str">
        <f aca="false">IF(F820="","",F820*L820)</f>
        <v/>
      </c>
      <c r="R820" s="33" t="str">
        <f aca="false">IF(F820="","",IF(H820="",F820,0))</f>
        <v/>
      </c>
      <c r="S820" s="32" t="str">
        <f aca="false">IF(F820="","",IF(N(O820)=0,"",IF(O820&lt;=30,"1-30",IF(O820&lt;=60,"31-60",IF(O820&lt;=90,"61-90","90+")))))</f>
        <v/>
      </c>
      <c r="T820" s="32" t="str">
        <f aca="false">IF(F820="","",IF(E820="","Diğer",E820))</f>
        <v/>
      </c>
      <c r="U820" s="32" t="str">
        <f aca="false">IF(OR(F820="",C820=""),"",IF(COUNTIF($C$2:C820,C820)=1,MAX($U$1:U819)+1,""))</f>
        <v/>
      </c>
    </row>
    <row r="821" customFormat="false" ht="15" hidden="false" customHeight="false" outlineLevel="0" collapsed="false">
      <c r="A821" s="34"/>
      <c r="B821" s="9"/>
      <c r="C821" s="34"/>
      <c r="D821" s="34"/>
      <c r="E821" s="34"/>
      <c r="F821" s="35"/>
      <c r="G821" s="9"/>
      <c r="H821" s="9"/>
      <c r="I821" s="34"/>
      <c r="J821" s="30" t="str">
        <f aca="false">IF(F821="","",G821-B821)</f>
        <v/>
      </c>
      <c r="K821" s="31" t="str">
        <f aca="false">IF(F821="","",IF(H821&lt;&gt;"",H821,MAX('Vade Sapması'!$D$3,G821)))</f>
        <v/>
      </c>
      <c r="L821" s="30" t="str">
        <f aca="false">IF(F821="","",K821-B821)</f>
        <v/>
      </c>
      <c r="M821" s="30" t="str">
        <f aca="false">IF(F821="","",L821-J821)</f>
        <v/>
      </c>
      <c r="N821" s="32" t="str">
        <f aca="false">IF(F821="","",IF(H821&lt;&gt;"","Kapandı",IF('Vade Sapması'!$D$3&gt;G821,"Açık · vadesi geçti","Açık · vadesi gelmedi")))</f>
        <v/>
      </c>
      <c r="O821" s="30" t="str">
        <f aca="false">IF(F821="","",IF(AND(H821="",'Vade Sapması'!$D$3&gt;G821),'Vade Sapması'!$D$3-G821,0))</f>
        <v/>
      </c>
      <c r="P821" s="33" t="str">
        <f aca="false">IF(F821="","",F821*J821)</f>
        <v/>
      </c>
      <c r="Q821" s="33" t="str">
        <f aca="false">IF(F821="","",F821*L821)</f>
        <v/>
      </c>
      <c r="R821" s="33" t="str">
        <f aca="false">IF(F821="","",IF(H821="",F821,0))</f>
        <v/>
      </c>
      <c r="S821" s="32" t="str">
        <f aca="false">IF(F821="","",IF(N(O821)=0,"",IF(O821&lt;=30,"1-30",IF(O821&lt;=60,"31-60",IF(O821&lt;=90,"61-90","90+")))))</f>
        <v/>
      </c>
      <c r="T821" s="32" t="str">
        <f aca="false">IF(F821="","",IF(E821="","Diğer",E821))</f>
        <v/>
      </c>
      <c r="U821" s="32" t="str">
        <f aca="false">IF(OR(F821="",C821=""),"",IF(COUNTIF($C$2:C821,C821)=1,MAX($U$1:U820)+1,""))</f>
        <v/>
      </c>
    </row>
    <row r="822" customFormat="false" ht="15" hidden="false" customHeight="false" outlineLevel="0" collapsed="false">
      <c r="A822" s="34"/>
      <c r="B822" s="9"/>
      <c r="C822" s="34"/>
      <c r="D822" s="34"/>
      <c r="E822" s="34"/>
      <c r="F822" s="35"/>
      <c r="G822" s="9"/>
      <c r="H822" s="9"/>
      <c r="I822" s="34"/>
      <c r="J822" s="30" t="str">
        <f aca="false">IF(F822="","",G822-B822)</f>
        <v/>
      </c>
      <c r="K822" s="31" t="str">
        <f aca="false">IF(F822="","",IF(H822&lt;&gt;"",H822,MAX('Vade Sapması'!$D$3,G822)))</f>
        <v/>
      </c>
      <c r="L822" s="30" t="str">
        <f aca="false">IF(F822="","",K822-B822)</f>
        <v/>
      </c>
      <c r="M822" s="30" t="str">
        <f aca="false">IF(F822="","",L822-J822)</f>
        <v/>
      </c>
      <c r="N822" s="32" t="str">
        <f aca="false">IF(F822="","",IF(H822&lt;&gt;"","Kapandı",IF('Vade Sapması'!$D$3&gt;G822,"Açık · vadesi geçti","Açık · vadesi gelmedi")))</f>
        <v/>
      </c>
      <c r="O822" s="30" t="str">
        <f aca="false">IF(F822="","",IF(AND(H822="",'Vade Sapması'!$D$3&gt;G822),'Vade Sapması'!$D$3-G822,0))</f>
        <v/>
      </c>
      <c r="P822" s="33" t="str">
        <f aca="false">IF(F822="","",F822*J822)</f>
        <v/>
      </c>
      <c r="Q822" s="33" t="str">
        <f aca="false">IF(F822="","",F822*L822)</f>
        <v/>
      </c>
      <c r="R822" s="33" t="str">
        <f aca="false">IF(F822="","",IF(H822="",F822,0))</f>
        <v/>
      </c>
      <c r="S822" s="32" t="str">
        <f aca="false">IF(F822="","",IF(N(O822)=0,"",IF(O822&lt;=30,"1-30",IF(O822&lt;=60,"31-60",IF(O822&lt;=90,"61-90","90+")))))</f>
        <v/>
      </c>
      <c r="T822" s="32" t="str">
        <f aca="false">IF(F822="","",IF(E822="","Diğer",E822))</f>
        <v/>
      </c>
      <c r="U822" s="32" t="str">
        <f aca="false">IF(OR(F822="",C822=""),"",IF(COUNTIF($C$2:C822,C822)=1,MAX($U$1:U821)+1,""))</f>
        <v/>
      </c>
    </row>
    <row r="823" customFormat="false" ht="15" hidden="false" customHeight="false" outlineLevel="0" collapsed="false">
      <c r="A823" s="34"/>
      <c r="B823" s="9"/>
      <c r="C823" s="34"/>
      <c r="D823" s="34"/>
      <c r="E823" s="34"/>
      <c r="F823" s="35"/>
      <c r="G823" s="9"/>
      <c r="H823" s="9"/>
      <c r="I823" s="34"/>
      <c r="J823" s="30" t="str">
        <f aca="false">IF(F823="","",G823-B823)</f>
        <v/>
      </c>
      <c r="K823" s="31" t="str">
        <f aca="false">IF(F823="","",IF(H823&lt;&gt;"",H823,MAX('Vade Sapması'!$D$3,G823)))</f>
        <v/>
      </c>
      <c r="L823" s="30" t="str">
        <f aca="false">IF(F823="","",K823-B823)</f>
        <v/>
      </c>
      <c r="M823" s="30" t="str">
        <f aca="false">IF(F823="","",L823-J823)</f>
        <v/>
      </c>
      <c r="N823" s="32" t="str">
        <f aca="false">IF(F823="","",IF(H823&lt;&gt;"","Kapandı",IF('Vade Sapması'!$D$3&gt;G823,"Açık · vadesi geçti","Açık · vadesi gelmedi")))</f>
        <v/>
      </c>
      <c r="O823" s="30" t="str">
        <f aca="false">IF(F823="","",IF(AND(H823="",'Vade Sapması'!$D$3&gt;G823),'Vade Sapması'!$D$3-G823,0))</f>
        <v/>
      </c>
      <c r="P823" s="33" t="str">
        <f aca="false">IF(F823="","",F823*J823)</f>
        <v/>
      </c>
      <c r="Q823" s="33" t="str">
        <f aca="false">IF(F823="","",F823*L823)</f>
        <v/>
      </c>
      <c r="R823" s="33" t="str">
        <f aca="false">IF(F823="","",IF(H823="",F823,0))</f>
        <v/>
      </c>
      <c r="S823" s="32" t="str">
        <f aca="false">IF(F823="","",IF(N(O823)=0,"",IF(O823&lt;=30,"1-30",IF(O823&lt;=60,"31-60",IF(O823&lt;=90,"61-90","90+")))))</f>
        <v/>
      </c>
      <c r="T823" s="32" t="str">
        <f aca="false">IF(F823="","",IF(E823="","Diğer",E823))</f>
        <v/>
      </c>
      <c r="U823" s="32" t="str">
        <f aca="false">IF(OR(F823="",C823=""),"",IF(COUNTIF($C$2:C823,C823)=1,MAX($U$1:U822)+1,""))</f>
        <v/>
      </c>
    </row>
    <row r="824" customFormat="false" ht="15" hidden="false" customHeight="false" outlineLevel="0" collapsed="false">
      <c r="A824" s="34"/>
      <c r="B824" s="9"/>
      <c r="C824" s="34"/>
      <c r="D824" s="34"/>
      <c r="E824" s="34"/>
      <c r="F824" s="35"/>
      <c r="G824" s="9"/>
      <c r="H824" s="9"/>
      <c r="I824" s="34"/>
      <c r="J824" s="30" t="str">
        <f aca="false">IF(F824="","",G824-B824)</f>
        <v/>
      </c>
      <c r="K824" s="31" t="str">
        <f aca="false">IF(F824="","",IF(H824&lt;&gt;"",H824,MAX('Vade Sapması'!$D$3,G824)))</f>
        <v/>
      </c>
      <c r="L824" s="30" t="str">
        <f aca="false">IF(F824="","",K824-B824)</f>
        <v/>
      </c>
      <c r="M824" s="30" t="str">
        <f aca="false">IF(F824="","",L824-J824)</f>
        <v/>
      </c>
      <c r="N824" s="32" t="str">
        <f aca="false">IF(F824="","",IF(H824&lt;&gt;"","Kapandı",IF('Vade Sapması'!$D$3&gt;G824,"Açık · vadesi geçti","Açık · vadesi gelmedi")))</f>
        <v/>
      </c>
      <c r="O824" s="30" t="str">
        <f aca="false">IF(F824="","",IF(AND(H824="",'Vade Sapması'!$D$3&gt;G824),'Vade Sapması'!$D$3-G824,0))</f>
        <v/>
      </c>
      <c r="P824" s="33" t="str">
        <f aca="false">IF(F824="","",F824*J824)</f>
        <v/>
      </c>
      <c r="Q824" s="33" t="str">
        <f aca="false">IF(F824="","",F824*L824)</f>
        <v/>
      </c>
      <c r="R824" s="33" t="str">
        <f aca="false">IF(F824="","",IF(H824="",F824,0))</f>
        <v/>
      </c>
      <c r="S824" s="32" t="str">
        <f aca="false">IF(F824="","",IF(N(O824)=0,"",IF(O824&lt;=30,"1-30",IF(O824&lt;=60,"31-60",IF(O824&lt;=90,"61-90","90+")))))</f>
        <v/>
      </c>
      <c r="T824" s="32" t="str">
        <f aca="false">IF(F824="","",IF(E824="","Diğer",E824))</f>
        <v/>
      </c>
      <c r="U824" s="32" t="str">
        <f aca="false">IF(OR(F824="",C824=""),"",IF(COUNTIF($C$2:C824,C824)=1,MAX($U$1:U823)+1,""))</f>
        <v/>
      </c>
    </row>
    <row r="825" customFormat="false" ht="15" hidden="false" customHeight="false" outlineLevel="0" collapsed="false">
      <c r="A825" s="34"/>
      <c r="B825" s="9"/>
      <c r="C825" s="34"/>
      <c r="D825" s="34"/>
      <c r="E825" s="34"/>
      <c r="F825" s="35"/>
      <c r="G825" s="9"/>
      <c r="H825" s="9"/>
      <c r="I825" s="34"/>
      <c r="J825" s="30" t="str">
        <f aca="false">IF(F825="","",G825-B825)</f>
        <v/>
      </c>
      <c r="K825" s="31" t="str">
        <f aca="false">IF(F825="","",IF(H825&lt;&gt;"",H825,MAX('Vade Sapması'!$D$3,G825)))</f>
        <v/>
      </c>
      <c r="L825" s="30" t="str">
        <f aca="false">IF(F825="","",K825-B825)</f>
        <v/>
      </c>
      <c r="M825" s="30" t="str">
        <f aca="false">IF(F825="","",L825-J825)</f>
        <v/>
      </c>
      <c r="N825" s="32" t="str">
        <f aca="false">IF(F825="","",IF(H825&lt;&gt;"","Kapandı",IF('Vade Sapması'!$D$3&gt;G825,"Açık · vadesi geçti","Açık · vadesi gelmedi")))</f>
        <v/>
      </c>
      <c r="O825" s="30" t="str">
        <f aca="false">IF(F825="","",IF(AND(H825="",'Vade Sapması'!$D$3&gt;G825),'Vade Sapması'!$D$3-G825,0))</f>
        <v/>
      </c>
      <c r="P825" s="33" t="str">
        <f aca="false">IF(F825="","",F825*J825)</f>
        <v/>
      </c>
      <c r="Q825" s="33" t="str">
        <f aca="false">IF(F825="","",F825*L825)</f>
        <v/>
      </c>
      <c r="R825" s="33" t="str">
        <f aca="false">IF(F825="","",IF(H825="",F825,0))</f>
        <v/>
      </c>
      <c r="S825" s="32" t="str">
        <f aca="false">IF(F825="","",IF(N(O825)=0,"",IF(O825&lt;=30,"1-30",IF(O825&lt;=60,"31-60",IF(O825&lt;=90,"61-90","90+")))))</f>
        <v/>
      </c>
      <c r="T825" s="32" t="str">
        <f aca="false">IF(F825="","",IF(E825="","Diğer",E825))</f>
        <v/>
      </c>
      <c r="U825" s="32" t="str">
        <f aca="false">IF(OR(F825="",C825=""),"",IF(COUNTIF($C$2:C825,C825)=1,MAX($U$1:U824)+1,""))</f>
        <v/>
      </c>
    </row>
    <row r="826" customFormat="false" ht="15" hidden="false" customHeight="false" outlineLevel="0" collapsed="false">
      <c r="A826" s="34"/>
      <c r="B826" s="9"/>
      <c r="C826" s="34"/>
      <c r="D826" s="34"/>
      <c r="E826" s="34"/>
      <c r="F826" s="35"/>
      <c r="G826" s="9"/>
      <c r="H826" s="9"/>
      <c r="I826" s="34"/>
      <c r="J826" s="30" t="str">
        <f aca="false">IF(F826="","",G826-B826)</f>
        <v/>
      </c>
      <c r="K826" s="31" t="str">
        <f aca="false">IF(F826="","",IF(H826&lt;&gt;"",H826,MAX('Vade Sapması'!$D$3,G826)))</f>
        <v/>
      </c>
      <c r="L826" s="30" t="str">
        <f aca="false">IF(F826="","",K826-B826)</f>
        <v/>
      </c>
      <c r="M826" s="30" t="str">
        <f aca="false">IF(F826="","",L826-J826)</f>
        <v/>
      </c>
      <c r="N826" s="32" t="str">
        <f aca="false">IF(F826="","",IF(H826&lt;&gt;"","Kapandı",IF('Vade Sapması'!$D$3&gt;G826,"Açık · vadesi geçti","Açık · vadesi gelmedi")))</f>
        <v/>
      </c>
      <c r="O826" s="30" t="str">
        <f aca="false">IF(F826="","",IF(AND(H826="",'Vade Sapması'!$D$3&gt;G826),'Vade Sapması'!$D$3-G826,0))</f>
        <v/>
      </c>
      <c r="P826" s="33" t="str">
        <f aca="false">IF(F826="","",F826*J826)</f>
        <v/>
      </c>
      <c r="Q826" s="33" t="str">
        <f aca="false">IF(F826="","",F826*L826)</f>
        <v/>
      </c>
      <c r="R826" s="33" t="str">
        <f aca="false">IF(F826="","",IF(H826="",F826,0))</f>
        <v/>
      </c>
      <c r="S826" s="32" t="str">
        <f aca="false">IF(F826="","",IF(N(O826)=0,"",IF(O826&lt;=30,"1-30",IF(O826&lt;=60,"31-60",IF(O826&lt;=90,"61-90","90+")))))</f>
        <v/>
      </c>
      <c r="T826" s="32" t="str">
        <f aca="false">IF(F826="","",IF(E826="","Diğer",E826))</f>
        <v/>
      </c>
      <c r="U826" s="32" t="str">
        <f aca="false">IF(OR(F826="",C826=""),"",IF(COUNTIF($C$2:C826,C826)=1,MAX($U$1:U825)+1,""))</f>
        <v/>
      </c>
    </row>
    <row r="827" customFormat="false" ht="15" hidden="false" customHeight="false" outlineLevel="0" collapsed="false">
      <c r="A827" s="34"/>
      <c r="B827" s="9"/>
      <c r="C827" s="34"/>
      <c r="D827" s="34"/>
      <c r="E827" s="34"/>
      <c r="F827" s="35"/>
      <c r="G827" s="9"/>
      <c r="H827" s="9"/>
      <c r="I827" s="34"/>
      <c r="J827" s="30" t="str">
        <f aca="false">IF(F827="","",G827-B827)</f>
        <v/>
      </c>
      <c r="K827" s="31" t="str">
        <f aca="false">IF(F827="","",IF(H827&lt;&gt;"",H827,MAX('Vade Sapması'!$D$3,G827)))</f>
        <v/>
      </c>
      <c r="L827" s="30" t="str">
        <f aca="false">IF(F827="","",K827-B827)</f>
        <v/>
      </c>
      <c r="M827" s="30" t="str">
        <f aca="false">IF(F827="","",L827-J827)</f>
        <v/>
      </c>
      <c r="N827" s="32" t="str">
        <f aca="false">IF(F827="","",IF(H827&lt;&gt;"","Kapandı",IF('Vade Sapması'!$D$3&gt;G827,"Açık · vadesi geçti","Açık · vadesi gelmedi")))</f>
        <v/>
      </c>
      <c r="O827" s="30" t="str">
        <f aca="false">IF(F827="","",IF(AND(H827="",'Vade Sapması'!$D$3&gt;G827),'Vade Sapması'!$D$3-G827,0))</f>
        <v/>
      </c>
      <c r="P827" s="33" t="str">
        <f aca="false">IF(F827="","",F827*J827)</f>
        <v/>
      </c>
      <c r="Q827" s="33" t="str">
        <f aca="false">IF(F827="","",F827*L827)</f>
        <v/>
      </c>
      <c r="R827" s="33" t="str">
        <f aca="false">IF(F827="","",IF(H827="",F827,0))</f>
        <v/>
      </c>
      <c r="S827" s="32" t="str">
        <f aca="false">IF(F827="","",IF(N(O827)=0,"",IF(O827&lt;=30,"1-30",IF(O827&lt;=60,"31-60",IF(O827&lt;=90,"61-90","90+")))))</f>
        <v/>
      </c>
      <c r="T827" s="32" t="str">
        <f aca="false">IF(F827="","",IF(E827="","Diğer",E827))</f>
        <v/>
      </c>
      <c r="U827" s="32" t="str">
        <f aca="false">IF(OR(F827="",C827=""),"",IF(COUNTIF($C$2:C827,C827)=1,MAX($U$1:U826)+1,""))</f>
        <v/>
      </c>
    </row>
    <row r="828" customFormat="false" ht="15" hidden="false" customHeight="false" outlineLevel="0" collapsed="false">
      <c r="A828" s="34"/>
      <c r="B828" s="9"/>
      <c r="C828" s="34"/>
      <c r="D828" s="34"/>
      <c r="E828" s="34"/>
      <c r="F828" s="35"/>
      <c r="G828" s="9"/>
      <c r="H828" s="9"/>
      <c r="I828" s="34"/>
      <c r="J828" s="30" t="str">
        <f aca="false">IF(F828="","",G828-B828)</f>
        <v/>
      </c>
      <c r="K828" s="31" t="str">
        <f aca="false">IF(F828="","",IF(H828&lt;&gt;"",H828,MAX('Vade Sapması'!$D$3,G828)))</f>
        <v/>
      </c>
      <c r="L828" s="30" t="str">
        <f aca="false">IF(F828="","",K828-B828)</f>
        <v/>
      </c>
      <c r="M828" s="30" t="str">
        <f aca="false">IF(F828="","",L828-J828)</f>
        <v/>
      </c>
      <c r="N828" s="32" t="str">
        <f aca="false">IF(F828="","",IF(H828&lt;&gt;"","Kapandı",IF('Vade Sapması'!$D$3&gt;G828,"Açık · vadesi geçti","Açık · vadesi gelmedi")))</f>
        <v/>
      </c>
      <c r="O828" s="30" t="str">
        <f aca="false">IF(F828="","",IF(AND(H828="",'Vade Sapması'!$D$3&gt;G828),'Vade Sapması'!$D$3-G828,0))</f>
        <v/>
      </c>
      <c r="P828" s="33" t="str">
        <f aca="false">IF(F828="","",F828*J828)</f>
        <v/>
      </c>
      <c r="Q828" s="33" t="str">
        <f aca="false">IF(F828="","",F828*L828)</f>
        <v/>
      </c>
      <c r="R828" s="33" t="str">
        <f aca="false">IF(F828="","",IF(H828="",F828,0))</f>
        <v/>
      </c>
      <c r="S828" s="32" t="str">
        <f aca="false">IF(F828="","",IF(N(O828)=0,"",IF(O828&lt;=30,"1-30",IF(O828&lt;=60,"31-60",IF(O828&lt;=90,"61-90","90+")))))</f>
        <v/>
      </c>
      <c r="T828" s="32" t="str">
        <f aca="false">IF(F828="","",IF(E828="","Diğer",E828))</f>
        <v/>
      </c>
      <c r="U828" s="32" t="str">
        <f aca="false">IF(OR(F828="",C828=""),"",IF(COUNTIF($C$2:C828,C828)=1,MAX($U$1:U827)+1,""))</f>
        <v/>
      </c>
    </row>
    <row r="829" customFormat="false" ht="15" hidden="false" customHeight="false" outlineLevel="0" collapsed="false">
      <c r="A829" s="34"/>
      <c r="B829" s="9"/>
      <c r="C829" s="34"/>
      <c r="D829" s="34"/>
      <c r="E829" s="34"/>
      <c r="F829" s="35"/>
      <c r="G829" s="9"/>
      <c r="H829" s="9"/>
      <c r="I829" s="34"/>
      <c r="J829" s="30" t="str">
        <f aca="false">IF(F829="","",G829-B829)</f>
        <v/>
      </c>
      <c r="K829" s="31" t="str">
        <f aca="false">IF(F829="","",IF(H829&lt;&gt;"",H829,MAX('Vade Sapması'!$D$3,G829)))</f>
        <v/>
      </c>
      <c r="L829" s="30" t="str">
        <f aca="false">IF(F829="","",K829-B829)</f>
        <v/>
      </c>
      <c r="M829" s="30" t="str">
        <f aca="false">IF(F829="","",L829-J829)</f>
        <v/>
      </c>
      <c r="N829" s="32" t="str">
        <f aca="false">IF(F829="","",IF(H829&lt;&gt;"","Kapandı",IF('Vade Sapması'!$D$3&gt;G829,"Açık · vadesi geçti","Açık · vadesi gelmedi")))</f>
        <v/>
      </c>
      <c r="O829" s="30" t="str">
        <f aca="false">IF(F829="","",IF(AND(H829="",'Vade Sapması'!$D$3&gt;G829),'Vade Sapması'!$D$3-G829,0))</f>
        <v/>
      </c>
      <c r="P829" s="33" t="str">
        <f aca="false">IF(F829="","",F829*J829)</f>
        <v/>
      </c>
      <c r="Q829" s="33" t="str">
        <f aca="false">IF(F829="","",F829*L829)</f>
        <v/>
      </c>
      <c r="R829" s="33" t="str">
        <f aca="false">IF(F829="","",IF(H829="",F829,0))</f>
        <v/>
      </c>
      <c r="S829" s="32" t="str">
        <f aca="false">IF(F829="","",IF(N(O829)=0,"",IF(O829&lt;=30,"1-30",IF(O829&lt;=60,"31-60",IF(O829&lt;=90,"61-90","90+")))))</f>
        <v/>
      </c>
      <c r="T829" s="32" t="str">
        <f aca="false">IF(F829="","",IF(E829="","Diğer",E829))</f>
        <v/>
      </c>
      <c r="U829" s="32" t="str">
        <f aca="false">IF(OR(F829="",C829=""),"",IF(COUNTIF($C$2:C829,C829)=1,MAX($U$1:U828)+1,""))</f>
        <v/>
      </c>
    </row>
    <row r="830" customFormat="false" ht="15" hidden="false" customHeight="false" outlineLevel="0" collapsed="false">
      <c r="A830" s="34"/>
      <c r="B830" s="9"/>
      <c r="C830" s="34"/>
      <c r="D830" s="34"/>
      <c r="E830" s="34"/>
      <c r="F830" s="35"/>
      <c r="G830" s="9"/>
      <c r="H830" s="9"/>
      <c r="I830" s="34"/>
      <c r="J830" s="30" t="str">
        <f aca="false">IF(F830="","",G830-B830)</f>
        <v/>
      </c>
      <c r="K830" s="31" t="str">
        <f aca="false">IF(F830="","",IF(H830&lt;&gt;"",H830,MAX('Vade Sapması'!$D$3,G830)))</f>
        <v/>
      </c>
      <c r="L830" s="30" t="str">
        <f aca="false">IF(F830="","",K830-B830)</f>
        <v/>
      </c>
      <c r="M830" s="30" t="str">
        <f aca="false">IF(F830="","",L830-J830)</f>
        <v/>
      </c>
      <c r="N830" s="32" t="str">
        <f aca="false">IF(F830="","",IF(H830&lt;&gt;"","Kapandı",IF('Vade Sapması'!$D$3&gt;G830,"Açık · vadesi geçti","Açık · vadesi gelmedi")))</f>
        <v/>
      </c>
      <c r="O830" s="30" t="str">
        <f aca="false">IF(F830="","",IF(AND(H830="",'Vade Sapması'!$D$3&gt;G830),'Vade Sapması'!$D$3-G830,0))</f>
        <v/>
      </c>
      <c r="P830" s="33" t="str">
        <f aca="false">IF(F830="","",F830*J830)</f>
        <v/>
      </c>
      <c r="Q830" s="33" t="str">
        <f aca="false">IF(F830="","",F830*L830)</f>
        <v/>
      </c>
      <c r="R830" s="33" t="str">
        <f aca="false">IF(F830="","",IF(H830="",F830,0))</f>
        <v/>
      </c>
      <c r="S830" s="32" t="str">
        <f aca="false">IF(F830="","",IF(N(O830)=0,"",IF(O830&lt;=30,"1-30",IF(O830&lt;=60,"31-60",IF(O830&lt;=90,"61-90","90+")))))</f>
        <v/>
      </c>
      <c r="T830" s="32" t="str">
        <f aca="false">IF(F830="","",IF(E830="","Diğer",E830))</f>
        <v/>
      </c>
      <c r="U830" s="32" t="str">
        <f aca="false">IF(OR(F830="",C830=""),"",IF(COUNTIF($C$2:C830,C830)=1,MAX($U$1:U829)+1,""))</f>
        <v/>
      </c>
    </row>
    <row r="831" customFormat="false" ht="15" hidden="false" customHeight="false" outlineLevel="0" collapsed="false">
      <c r="A831" s="34"/>
      <c r="B831" s="9"/>
      <c r="C831" s="34"/>
      <c r="D831" s="34"/>
      <c r="E831" s="34"/>
      <c r="F831" s="35"/>
      <c r="G831" s="9"/>
      <c r="H831" s="9"/>
      <c r="I831" s="34"/>
      <c r="J831" s="30" t="str">
        <f aca="false">IF(F831="","",G831-B831)</f>
        <v/>
      </c>
      <c r="K831" s="31" t="str">
        <f aca="false">IF(F831="","",IF(H831&lt;&gt;"",H831,MAX('Vade Sapması'!$D$3,G831)))</f>
        <v/>
      </c>
      <c r="L831" s="30" t="str">
        <f aca="false">IF(F831="","",K831-B831)</f>
        <v/>
      </c>
      <c r="M831" s="30" t="str">
        <f aca="false">IF(F831="","",L831-J831)</f>
        <v/>
      </c>
      <c r="N831" s="32" t="str">
        <f aca="false">IF(F831="","",IF(H831&lt;&gt;"","Kapandı",IF('Vade Sapması'!$D$3&gt;G831,"Açık · vadesi geçti","Açık · vadesi gelmedi")))</f>
        <v/>
      </c>
      <c r="O831" s="30" t="str">
        <f aca="false">IF(F831="","",IF(AND(H831="",'Vade Sapması'!$D$3&gt;G831),'Vade Sapması'!$D$3-G831,0))</f>
        <v/>
      </c>
      <c r="P831" s="33" t="str">
        <f aca="false">IF(F831="","",F831*J831)</f>
        <v/>
      </c>
      <c r="Q831" s="33" t="str">
        <f aca="false">IF(F831="","",F831*L831)</f>
        <v/>
      </c>
      <c r="R831" s="33" t="str">
        <f aca="false">IF(F831="","",IF(H831="",F831,0))</f>
        <v/>
      </c>
      <c r="S831" s="32" t="str">
        <f aca="false">IF(F831="","",IF(N(O831)=0,"",IF(O831&lt;=30,"1-30",IF(O831&lt;=60,"31-60",IF(O831&lt;=90,"61-90","90+")))))</f>
        <v/>
      </c>
      <c r="T831" s="32" t="str">
        <f aca="false">IF(F831="","",IF(E831="","Diğer",E831))</f>
        <v/>
      </c>
      <c r="U831" s="32" t="str">
        <f aca="false">IF(OR(F831="",C831=""),"",IF(COUNTIF($C$2:C831,C831)=1,MAX($U$1:U830)+1,""))</f>
        <v/>
      </c>
    </row>
    <row r="832" customFormat="false" ht="15" hidden="false" customHeight="false" outlineLevel="0" collapsed="false">
      <c r="A832" s="34"/>
      <c r="B832" s="9"/>
      <c r="C832" s="34"/>
      <c r="D832" s="34"/>
      <c r="E832" s="34"/>
      <c r="F832" s="35"/>
      <c r="G832" s="9"/>
      <c r="H832" s="9"/>
      <c r="I832" s="34"/>
      <c r="J832" s="30" t="str">
        <f aca="false">IF(F832="","",G832-B832)</f>
        <v/>
      </c>
      <c r="K832" s="31" t="str">
        <f aca="false">IF(F832="","",IF(H832&lt;&gt;"",H832,MAX('Vade Sapması'!$D$3,G832)))</f>
        <v/>
      </c>
      <c r="L832" s="30" t="str">
        <f aca="false">IF(F832="","",K832-B832)</f>
        <v/>
      </c>
      <c r="M832" s="30" t="str">
        <f aca="false">IF(F832="","",L832-J832)</f>
        <v/>
      </c>
      <c r="N832" s="32" t="str">
        <f aca="false">IF(F832="","",IF(H832&lt;&gt;"","Kapandı",IF('Vade Sapması'!$D$3&gt;G832,"Açık · vadesi geçti","Açık · vadesi gelmedi")))</f>
        <v/>
      </c>
      <c r="O832" s="30" t="str">
        <f aca="false">IF(F832="","",IF(AND(H832="",'Vade Sapması'!$D$3&gt;G832),'Vade Sapması'!$D$3-G832,0))</f>
        <v/>
      </c>
      <c r="P832" s="33" t="str">
        <f aca="false">IF(F832="","",F832*J832)</f>
        <v/>
      </c>
      <c r="Q832" s="33" t="str">
        <f aca="false">IF(F832="","",F832*L832)</f>
        <v/>
      </c>
      <c r="R832" s="33" t="str">
        <f aca="false">IF(F832="","",IF(H832="",F832,0))</f>
        <v/>
      </c>
      <c r="S832" s="32" t="str">
        <f aca="false">IF(F832="","",IF(N(O832)=0,"",IF(O832&lt;=30,"1-30",IF(O832&lt;=60,"31-60",IF(O832&lt;=90,"61-90","90+")))))</f>
        <v/>
      </c>
      <c r="T832" s="32" t="str">
        <f aca="false">IF(F832="","",IF(E832="","Diğer",E832))</f>
        <v/>
      </c>
      <c r="U832" s="32" t="str">
        <f aca="false">IF(OR(F832="",C832=""),"",IF(COUNTIF($C$2:C832,C832)=1,MAX($U$1:U831)+1,""))</f>
        <v/>
      </c>
    </row>
    <row r="833" customFormat="false" ht="15" hidden="false" customHeight="false" outlineLevel="0" collapsed="false">
      <c r="A833" s="34"/>
      <c r="B833" s="9"/>
      <c r="C833" s="34"/>
      <c r="D833" s="34"/>
      <c r="E833" s="34"/>
      <c r="F833" s="35"/>
      <c r="G833" s="9"/>
      <c r="H833" s="9"/>
      <c r="I833" s="34"/>
      <c r="J833" s="30" t="str">
        <f aca="false">IF(F833="","",G833-B833)</f>
        <v/>
      </c>
      <c r="K833" s="31" t="str">
        <f aca="false">IF(F833="","",IF(H833&lt;&gt;"",H833,MAX('Vade Sapması'!$D$3,G833)))</f>
        <v/>
      </c>
      <c r="L833" s="30" t="str">
        <f aca="false">IF(F833="","",K833-B833)</f>
        <v/>
      </c>
      <c r="M833" s="30" t="str">
        <f aca="false">IF(F833="","",L833-J833)</f>
        <v/>
      </c>
      <c r="N833" s="32" t="str">
        <f aca="false">IF(F833="","",IF(H833&lt;&gt;"","Kapandı",IF('Vade Sapması'!$D$3&gt;G833,"Açık · vadesi geçti","Açık · vadesi gelmedi")))</f>
        <v/>
      </c>
      <c r="O833" s="30" t="str">
        <f aca="false">IF(F833="","",IF(AND(H833="",'Vade Sapması'!$D$3&gt;G833),'Vade Sapması'!$D$3-G833,0))</f>
        <v/>
      </c>
      <c r="P833" s="33" t="str">
        <f aca="false">IF(F833="","",F833*J833)</f>
        <v/>
      </c>
      <c r="Q833" s="33" t="str">
        <f aca="false">IF(F833="","",F833*L833)</f>
        <v/>
      </c>
      <c r="R833" s="33" t="str">
        <f aca="false">IF(F833="","",IF(H833="",F833,0))</f>
        <v/>
      </c>
      <c r="S833" s="32" t="str">
        <f aca="false">IF(F833="","",IF(N(O833)=0,"",IF(O833&lt;=30,"1-30",IF(O833&lt;=60,"31-60",IF(O833&lt;=90,"61-90","90+")))))</f>
        <v/>
      </c>
      <c r="T833" s="32" t="str">
        <f aca="false">IF(F833="","",IF(E833="","Diğer",E833))</f>
        <v/>
      </c>
      <c r="U833" s="32" t="str">
        <f aca="false">IF(OR(F833="",C833=""),"",IF(COUNTIF($C$2:C833,C833)=1,MAX($U$1:U832)+1,""))</f>
        <v/>
      </c>
    </row>
    <row r="834" customFormat="false" ht="15" hidden="false" customHeight="false" outlineLevel="0" collapsed="false">
      <c r="A834" s="34"/>
      <c r="B834" s="9"/>
      <c r="C834" s="34"/>
      <c r="D834" s="34"/>
      <c r="E834" s="34"/>
      <c r="F834" s="35"/>
      <c r="G834" s="9"/>
      <c r="H834" s="9"/>
      <c r="I834" s="34"/>
      <c r="J834" s="30" t="str">
        <f aca="false">IF(F834="","",G834-B834)</f>
        <v/>
      </c>
      <c r="K834" s="31" t="str">
        <f aca="false">IF(F834="","",IF(H834&lt;&gt;"",H834,MAX('Vade Sapması'!$D$3,G834)))</f>
        <v/>
      </c>
      <c r="L834" s="30" t="str">
        <f aca="false">IF(F834="","",K834-B834)</f>
        <v/>
      </c>
      <c r="M834" s="30" t="str">
        <f aca="false">IF(F834="","",L834-J834)</f>
        <v/>
      </c>
      <c r="N834" s="32" t="str">
        <f aca="false">IF(F834="","",IF(H834&lt;&gt;"","Kapandı",IF('Vade Sapması'!$D$3&gt;G834,"Açık · vadesi geçti","Açık · vadesi gelmedi")))</f>
        <v/>
      </c>
      <c r="O834" s="30" t="str">
        <f aca="false">IF(F834="","",IF(AND(H834="",'Vade Sapması'!$D$3&gt;G834),'Vade Sapması'!$D$3-G834,0))</f>
        <v/>
      </c>
      <c r="P834" s="33" t="str">
        <f aca="false">IF(F834="","",F834*J834)</f>
        <v/>
      </c>
      <c r="Q834" s="33" t="str">
        <f aca="false">IF(F834="","",F834*L834)</f>
        <v/>
      </c>
      <c r="R834" s="33" t="str">
        <f aca="false">IF(F834="","",IF(H834="",F834,0))</f>
        <v/>
      </c>
      <c r="S834" s="32" t="str">
        <f aca="false">IF(F834="","",IF(N(O834)=0,"",IF(O834&lt;=30,"1-30",IF(O834&lt;=60,"31-60",IF(O834&lt;=90,"61-90","90+")))))</f>
        <v/>
      </c>
      <c r="T834" s="32" t="str">
        <f aca="false">IF(F834="","",IF(E834="","Diğer",E834))</f>
        <v/>
      </c>
      <c r="U834" s="32" t="str">
        <f aca="false">IF(OR(F834="",C834=""),"",IF(COUNTIF($C$2:C834,C834)=1,MAX($U$1:U833)+1,""))</f>
        <v/>
      </c>
    </row>
    <row r="835" customFormat="false" ht="15" hidden="false" customHeight="false" outlineLevel="0" collapsed="false">
      <c r="A835" s="34"/>
      <c r="B835" s="9"/>
      <c r="C835" s="34"/>
      <c r="D835" s="34"/>
      <c r="E835" s="34"/>
      <c r="F835" s="35"/>
      <c r="G835" s="9"/>
      <c r="H835" s="9"/>
      <c r="I835" s="34"/>
      <c r="J835" s="30" t="str">
        <f aca="false">IF(F835="","",G835-B835)</f>
        <v/>
      </c>
      <c r="K835" s="31" t="str">
        <f aca="false">IF(F835="","",IF(H835&lt;&gt;"",H835,MAX('Vade Sapması'!$D$3,G835)))</f>
        <v/>
      </c>
      <c r="L835" s="30" t="str">
        <f aca="false">IF(F835="","",K835-B835)</f>
        <v/>
      </c>
      <c r="M835" s="30" t="str">
        <f aca="false">IF(F835="","",L835-J835)</f>
        <v/>
      </c>
      <c r="N835" s="32" t="str">
        <f aca="false">IF(F835="","",IF(H835&lt;&gt;"","Kapandı",IF('Vade Sapması'!$D$3&gt;G835,"Açık · vadesi geçti","Açık · vadesi gelmedi")))</f>
        <v/>
      </c>
      <c r="O835" s="30" t="str">
        <f aca="false">IF(F835="","",IF(AND(H835="",'Vade Sapması'!$D$3&gt;G835),'Vade Sapması'!$D$3-G835,0))</f>
        <v/>
      </c>
      <c r="P835" s="33" t="str">
        <f aca="false">IF(F835="","",F835*J835)</f>
        <v/>
      </c>
      <c r="Q835" s="33" t="str">
        <f aca="false">IF(F835="","",F835*L835)</f>
        <v/>
      </c>
      <c r="R835" s="33" t="str">
        <f aca="false">IF(F835="","",IF(H835="",F835,0))</f>
        <v/>
      </c>
      <c r="S835" s="32" t="str">
        <f aca="false">IF(F835="","",IF(N(O835)=0,"",IF(O835&lt;=30,"1-30",IF(O835&lt;=60,"31-60",IF(O835&lt;=90,"61-90","90+")))))</f>
        <v/>
      </c>
      <c r="T835" s="32" t="str">
        <f aca="false">IF(F835="","",IF(E835="","Diğer",E835))</f>
        <v/>
      </c>
      <c r="U835" s="32" t="str">
        <f aca="false">IF(OR(F835="",C835=""),"",IF(COUNTIF($C$2:C835,C835)=1,MAX($U$1:U834)+1,""))</f>
        <v/>
      </c>
    </row>
    <row r="836" customFormat="false" ht="15" hidden="false" customHeight="false" outlineLevel="0" collapsed="false">
      <c r="A836" s="34"/>
      <c r="B836" s="9"/>
      <c r="C836" s="34"/>
      <c r="D836" s="34"/>
      <c r="E836" s="34"/>
      <c r="F836" s="35"/>
      <c r="G836" s="9"/>
      <c r="H836" s="9"/>
      <c r="I836" s="34"/>
      <c r="J836" s="30" t="str">
        <f aca="false">IF(F836="","",G836-B836)</f>
        <v/>
      </c>
      <c r="K836" s="31" t="str">
        <f aca="false">IF(F836="","",IF(H836&lt;&gt;"",H836,MAX('Vade Sapması'!$D$3,G836)))</f>
        <v/>
      </c>
      <c r="L836" s="30" t="str">
        <f aca="false">IF(F836="","",K836-B836)</f>
        <v/>
      </c>
      <c r="M836" s="30" t="str">
        <f aca="false">IF(F836="","",L836-J836)</f>
        <v/>
      </c>
      <c r="N836" s="32" t="str">
        <f aca="false">IF(F836="","",IF(H836&lt;&gt;"","Kapandı",IF('Vade Sapması'!$D$3&gt;G836,"Açık · vadesi geçti","Açık · vadesi gelmedi")))</f>
        <v/>
      </c>
      <c r="O836" s="30" t="str">
        <f aca="false">IF(F836="","",IF(AND(H836="",'Vade Sapması'!$D$3&gt;G836),'Vade Sapması'!$D$3-G836,0))</f>
        <v/>
      </c>
      <c r="P836" s="33" t="str">
        <f aca="false">IF(F836="","",F836*J836)</f>
        <v/>
      </c>
      <c r="Q836" s="33" t="str">
        <f aca="false">IF(F836="","",F836*L836)</f>
        <v/>
      </c>
      <c r="R836" s="33" t="str">
        <f aca="false">IF(F836="","",IF(H836="",F836,0))</f>
        <v/>
      </c>
      <c r="S836" s="32" t="str">
        <f aca="false">IF(F836="","",IF(N(O836)=0,"",IF(O836&lt;=30,"1-30",IF(O836&lt;=60,"31-60",IF(O836&lt;=90,"61-90","90+")))))</f>
        <v/>
      </c>
      <c r="T836" s="32" t="str">
        <f aca="false">IF(F836="","",IF(E836="","Diğer",E836))</f>
        <v/>
      </c>
      <c r="U836" s="32" t="str">
        <f aca="false">IF(OR(F836="",C836=""),"",IF(COUNTIF($C$2:C836,C836)=1,MAX($U$1:U835)+1,""))</f>
        <v/>
      </c>
    </row>
    <row r="837" customFormat="false" ht="15" hidden="false" customHeight="false" outlineLevel="0" collapsed="false">
      <c r="A837" s="34"/>
      <c r="B837" s="9"/>
      <c r="C837" s="34"/>
      <c r="D837" s="34"/>
      <c r="E837" s="34"/>
      <c r="F837" s="35"/>
      <c r="G837" s="9"/>
      <c r="H837" s="9"/>
      <c r="I837" s="34"/>
      <c r="J837" s="30" t="str">
        <f aca="false">IF(F837="","",G837-B837)</f>
        <v/>
      </c>
      <c r="K837" s="31" t="str">
        <f aca="false">IF(F837="","",IF(H837&lt;&gt;"",H837,MAX('Vade Sapması'!$D$3,G837)))</f>
        <v/>
      </c>
      <c r="L837" s="30" t="str">
        <f aca="false">IF(F837="","",K837-B837)</f>
        <v/>
      </c>
      <c r="M837" s="30" t="str">
        <f aca="false">IF(F837="","",L837-J837)</f>
        <v/>
      </c>
      <c r="N837" s="32" t="str">
        <f aca="false">IF(F837="","",IF(H837&lt;&gt;"","Kapandı",IF('Vade Sapması'!$D$3&gt;G837,"Açık · vadesi geçti","Açık · vadesi gelmedi")))</f>
        <v/>
      </c>
      <c r="O837" s="30" t="str">
        <f aca="false">IF(F837="","",IF(AND(H837="",'Vade Sapması'!$D$3&gt;G837),'Vade Sapması'!$D$3-G837,0))</f>
        <v/>
      </c>
      <c r="P837" s="33" t="str">
        <f aca="false">IF(F837="","",F837*J837)</f>
        <v/>
      </c>
      <c r="Q837" s="33" t="str">
        <f aca="false">IF(F837="","",F837*L837)</f>
        <v/>
      </c>
      <c r="R837" s="33" t="str">
        <f aca="false">IF(F837="","",IF(H837="",F837,0))</f>
        <v/>
      </c>
      <c r="S837" s="32" t="str">
        <f aca="false">IF(F837="","",IF(N(O837)=0,"",IF(O837&lt;=30,"1-30",IF(O837&lt;=60,"31-60",IF(O837&lt;=90,"61-90","90+")))))</f>
        <v/>
      </c>
      <c r="T837" s="32" t="str">
        <f aca="false">IF(F837="","",IF(E837="","Diğer",E837))</f>
        <v/>
      </c>
      <c r="U837" s="32" t="str">
        <f aca="false">IF(OR(F837="",C837=""),"",IF(COUNTIF($C$2:C837,C837)=1,MAX($U$1:U836)+1,""))</f>
        <v/>
      </c>
    </row>
    <row r="838" customFormat="false" ht="15" hidden="false" customHeight="false" outlineLevel="0" collapsed="false">
      <c r="A838" s="34"/>
      <c r="B838" s="9"/>
      <c r="C838" s="34"/>
      <c r="D838" s="34"/>
      <c r="E838" s="34"/>
      <c r="F838" s="35"/>
      <c r="G838" s="9"/>
      <c r="H838" s="9"/>
      <c r="I838" s="34"/>
      <c r="J838" s="30" t="str">
        <f aca="false">IF(F838="","",G838-B838)</f>
        <v/>
      </c>
      <c r="K838" s="31" t="str">
        <f aca="false">IF(F838="","",IF(H838&lt;&gt;"",H838,MAX('Vade Sapması'!$D$3,G838)))</f>
        <v/>
      </c>
      <c r="L838" s="30" t="str">
        <f aca="false">IF(F838="","",K838-B838)</f>
        <v/>
      </c>
      <c r="M838" s="30" t="str">
        <f aca="false">IF(F838="","",L838-J838)</f>
        <v/>
      </c>
      <c r="N838" s="32" t="str">
        <f aca="false">IF(F838="","",IF(H838&lt;&gt;"","Kapandı",IF('Vade Sapması'!$D$3&gt;G838,"Açık · vadesi geçti","Açık · vadesi gelmedi")))</f>
        <v/>
      </c>
      <c r="O838" s="30" t="str">
        <f aca="false">IF(F838="","",IF(AND(H838="",'Vade Sapması'!$D$3&gt;G838),'Vade Sapması'!$D$3-G838,0))</f>
        <v/>
      </c>
      <c r="P838" s="33" t="str">
        <f aca="false">IF(F838="","",F838*J838)</f>
        <v/>
      </c>
      <c r="Q838" s="33" t="str">
        <f aca="false">IF(F838="","",F838*L838)</f>
        <v/>
      </c>
      <c r="R838" s="33" t="str">
        <f aca="false">IF(F838="","",IF(H838="",F838,0))</f>
        <v/>
      </c>
      <c r="S838" s="32" t="str">
        <f aca="false">IF(F838="","",IF(N(O838)=0,"",IF(O838&lt;=30,"1-30",IF(O838&lt;=60,"31-60",IF(O838&lt;=90,"61-90","90+")))))</f>
        <v/>
      </c>
      <c r="T838" s="32" t="str">
        <f aca="false">IF(F838="","",IF(E838="","Diğer",E838))</f>
        <v/>
      </c>
      <c r="U838" s="32" t="str">
        <f aca="false">IF(OR(F838="",C838=""),"",IF(COUNTIF($C$2:C838,C838)=1,MAX($U$1:U837)+1,""))</f>
        <v/>
      </c>
    </row>
    <row r="839" customFormat="false" ht="15" hidden="false" customHeight="false" outlineLevel="0" collapsed="false">
      <c r="A839" s="34"/>
      <c r="B839" s="9"/>
      <c r="C839" s="34"/>
      <c r="D839" s="34"/>
      <c r="E839" s="34"/>
      <c r="F839" s="35"/>
      <c r="G839" s="9"/>
      <c r="H839" s="9"/>
      <c r="I839" s="34"/>
      <c r="J839" s="30" t="str">
        <f aca="false">IF(F839="","",G839-B839)</f>
        <v/>
      </c>
      <c r="K839" s="31" t="str">
        <f aca="false">IF(F839="","",IF(H839&lt;&gt;"",H839,MAX('Vade Sapması'!$D$3,G839)))</f>
        <v/>
      </c>
      <c r="L839" s="30" t="str">
        <f aca="false">IF(F839="","",K839-B839)</f>
        <v/>
      </c>
      <c r="M839" s="30" t="str">
        <f aca="false">IF(F839="","",L839-J839)</f>
        <v/>
      </c>
      <c r="N839" s="32" t="str">
        <f aca="false">IF(F839="","",IF(H839&lt;&gt;"","Kapandı",IF('Vade Sapması'!$D$3&gt;G839,"Açık · vadesi geçti","Açık · vadesi gelmedi")))</f>
        <v/>
      </c>
      <c r="O839" s="30" t="str">
        <f aca="false">IF(F839="","",IF(AND(H839="",'Vade Sapması'!$D$3&gt;G839),'Vade Sapması'!$D$3-G839,0))</f>
        <v/>
      </c>
      <c r="P839" s="33" t="str">
        <f aca="false">IF(F839="","",F839*J839)</f>
        <v/>
      </c>
      <c r="Q839" s="33" t="str">
        <f aca="false">IF(F839="","",F839*L839)</f>
        <v/>
      </c>
      <c r="R839" s="33" t="str">
        <f aca="false">IF(F839="","",IF(H839="",F839,0))</f>
        <v/>
      </c>
      <c r="S839" s="32" t="str">
        <f aca="false">IF(F839="","",IF(N(O839)=0,"",IF(O839&lt;=30,"1-30",IF(O839&lt;=60,"31-60",IF(O839&lt;=90,"61-90","90+")))))</f>
        <v/>
      </c>
      <c r="T839" s="32" t="str">
        <f aca="false">IF(F839="","",IF(E839="","Diğer",E839))</f>
        <v/>
      </c>
      <c r="U839" s="32" t="str">
        <f aca="false">IF(OR(F839="",C839=""),"",IF(COUNTIF($C$2:C839,C839)=1,MAX($U$1:U838)+1,""))</f>
        <v/>
      </c>
    </row>
    <row r="840" customFormat="false" ht="15" hidden="false" customHeight="false" outlineLevel="0" collapsed="false">
      <c r="A840" s="34"/>
      <c r="B840" s="9"/>
      <c r="C840" s="34"/>
      <c r="D840" s="34"/>
      <c r="E840" s="34"/>
      <c r="F840" s="35"/>
      <c r="G840" s="9"/>
      <c r="H840" s="9"/>
      <c r="I840" s="34"/>
      <c r="J840" s="30" t="str">
        <f aca="false">IF(F840="","",G840-B840)</f>
        <v/>
      </c>
      <c r="K840" s="31" t="str">
        <f aca="false">IF(F840="","",IF(H840&lt;&gt;"",H840,MAX('Vade Sapması'!$D$3,G840)))</f>
        <v/>
      </c>
      <c r="L840" s="30" t="str">
        <f aca="false">IF(F840="","",K840-B840)</f>
        <v/>
      </c>
      <c r="M840" s="30" t="str">
        <f aca="false">IF(F840="","",L840-J840)</f>
        <v/>
      </c>
      <c r="N840" s="32" t="str">
        <f aca="false">IF(F840="","",IF(H840&lt;&gt;"","Kapandı",IF('Vade Sapması'!$D$3&gt;G840,"Açık · vadesi geçti","Açık · vadesi gelmedi")))</f>
        <v/>
      </c>
      <c r="O840" s="30" t="str">
        <f aca="false">IF(F840="","",IF(AND(H840="",'Vade Sapması'!$D$3&gt;G840),'Vade Sapması'!$D$3-G840,0))</f>
        <v/>
      </c>
      <c r="P840" s="33" t="str">
        <f aca="false">IF(F840="","",F840*J840)</f>
        <v/>
      </c>
      <c r="Q840" s="33" t="str">
        <f aca="false">IF(F840="","",F840*L840)</f>
        <v/>
      </c>
      <c r="R840" s="33" t="str">
        <f aca="false">IF(F840="","",IF(H840="",F840,0))</f>
        <v/>
      </c>
      <c r="S840" s="32" t="str">
        <f aca="false">IF(F840="","",IF(N(O840)=0,"",IF(O840&lt;=30,"1-30",IF(O840&lt;=60,"31-60",IF(O840&lt;=90,"61-90","90+")))))</f>
        <v/>
      </c>
      <c r="T840" s="32" t="str">
        <f aca="false">IF(F840="","",IF(E840="","Diğer",E840))</f>
        <v/>
      </c>
      <c r="U840" s="32" t="str">
        <f aca="false">IF(OR(F840="",C840=""),"",IF(COUNTIF($C$2:C840,C840)=1,MAX($U$1:U839)+1,""))</f>
        <v/>
      </c>
    </row>
    <row r="841" customFormat="false" ht="15" hidden="false" customHeight="false" outlineLevel="0" collapsed="false">
      <c r="A841" s="34"/>
      <c r="B841" s="9"/>
      <c r="C841" s="34"/>
      <c r="D841" s="34"/>
      <c r="E841" s="34"/>
      <c r="F841" s="35"/>
      <c r="G841" s="9"/>
      <c r="H841" s="9"/>
      <c r="I841" s="34"/>
      <c r="J841" s="30" t="str">
        <f aca="false">IF(F841="","",G841-B841)</f>
        <v/>
      </c>
      <c r="K841" s="31" t="str">
        <f aca="false">IF(F841="","",IF(H841&lt;&gt;"",H841,MAX('Vade Sapması'!$D$3,G841)))</f>
        <v/>
      </c>
      <c r="L841" s="30" t="str">
        <f aca="false">IF(F841="","",K841-B841)</f>
        <v/>
      </c>
      <c r="M841" s="30" t="str">
        <f aca="false">IF(F841="","",L841-J841)</f>
        <v/>
      </c>
      <c r="N841" s="32" t="str">
        <f aca="false">IF(F841="","",IF(H841&lt;&gt;"","Kapandı",IF('Vade Sapması'!$D$3&gt;G841,"Açık · vadesi geçti","Açık · vadesi gelmedi")))</f>
        <v/>
      </c>
      <c r="O841" s="30" t="str">
        <f aca="false">IF(F841="","",IF(AND(H841="",'Vade Sapması'!$D$3&gt;G841),'Vade Sapması'!$D$3-G841,0))</f>
        <v/>
      </c>
      <c r="P841" s="33" t="str">
        <f aca="false">IF(F841="","",F841*J841)</f>
        <v/>
      </c>
      <c r="Q841" s="33" t="str">
        <f aca="false">IF(F841="","",F841*L841)</f>
        <v/>
      </c>
      <c r="R841" s="33" t="str">
        <f aca="false">IF(F841="","",IF(H841="",F841,0))</f>
        <v/>
      </c>
      <c r="S841" s="32" t="str">
        <f aca="false">IF(F841="","",IF(N(O841)=0,"",IF(O841&lt;=30,"1-30",IF(O841&lt;=60,"31-60",IF(O841&lt;=90,"61-90","90+")))))</f>
        <v/>
      </c>
      <c r="T841" s="32" t="str">
        <f aca="false">IF(F841="","",IF(E841="","Diğer",E841))</f>
        <v/>
      </c>
      <c r="U841" s="32" t="str">
        <f aca="false">IF(OR(F841="",C841=""),"",IF(COUNTIF($C$2:C841,C841)=1,MAX($U$1:U840)+1,""))</f>
        <v/>
      </c>
    </row>
    <row r="842" customFormat="false" ht="15" hidden="false" customHeight="false" outlineLevel="0" collapsed="false">
      <c r="A842" s="34"/>
      <c r="B842" s="9"/>
      <c r="C842" s="34"/>
      <c r="D842" s="34"/>
      <c r="E842" s="34"/>
      <c r="F842" s="35"/>
      <c r="G842" s="9"/>
      <c r="H842" s="9"/>
      <c r="I842" s="34"/>
      <c r="J842" s="30" t="str">
        <f aca="false">IF(F842="","",G842-B842)</f>
        <v/>
      </c>
      <c r="K842" s="31" t="str">
        <f aca="false">IF(F842="","",IF(H842&lt;&gt;"",H842,MAX('Vade Sapması'!$D$3,G842)))</f>
        <v/>
      </c>
      <c r="L842" s="30" t="str">
        <f aca="false">IF(F842="","",K842-B842)</f>
        <v/>
      </c>
      <c r="M842" s="30" t="str">
        <f aca="false">IF(F842="","",L842-J842)</f>
        <v/>
      </c>
      <c r="N842" s="32" t="str">
        <f aca="false">IF(F842="","",IF(H842&lt;&gt;"","Kapandı",IF('Vade Sapması'!$D$3&gt;G842,"Açık · vadesi geçti","Açık · vadesi gelmedi")))</f>
        <v/>
      </c>
      <c r="O842" s="30" t="str">
        <f aca="false">IF(F842="","",IF(AND(H842="",'Vade Sapması'!$D$3&gt;G842),'Vade Sapması'!$D$3-G842,0))</f>
        <v/>
      </c>
      <c r="P842" s="33" t="str">
        <f aca="false">IF(F842="","",F842*J842)</f>
        <v/>
      </c>
      <c r="Q842" s="33" t="str">
        <f aca="false">IF(F842="","",F842*L842)</f>
        <v/>
      </c>
      <c r="R842" s="33" t="str">
        <f aca="false">IF(F842="","",IF(H842="",F842,0))</f>
        <v/>
      </c>
      <c r="S842" s="32" t="str">
        <f aca="false">IF(F842="","",IF(N(O842)=0,"",IF(O842&lt;=30,"1-30",IF(O842&lt;=60,"31-60",IF(O842&lt;=90,"61-90","90+")))))</f>
        <v/>
      </c>
      <c r="T842" s="32" t="str">
        <f aca="false">IF(F842="","",IF(E842="","Diğer",E842))</f>
        <v/>
      </c>
      <c r="U842" s="32" t="str">
        <f aca="false">IF(OR(F842="",C842=""),"",IF(COUNTIF($C$2:C842,C842)=1,MAX($U$1:U841)+1,""))</f>
        <v/>
      </c>
    </row>
    <row r="843" customFormat="false" ht="15" hidden="false" customHeight="false" outlineLevel="0" collapsed="false">
      <c r="A843" s="34"/>
      <c r="B843" s="9"/>
      <c r="C843" s="34"/>
      <c r="D843" s="34"/>
      <c r="E843" s="34"/>
      <c r="F843" s="35"/>
      <c r="G843" s="9"/>
      <c r="H843" s="9"/>
      <c r="I843" s="34"/>
      <c r="J843" s="30" t="str">
        <f aca="false">IF(F843="","",G843-B843)</f>
        <v/>
      </c>
      <c r="K843" s="31" t="str">
        <f aca="false">IF(F843="","",IF(H843&lt;&gt;"",H843,MAX('Vade Sapması'!$D$3,G843)))</f>
        <v/>
      </c>
      <c r="L843" s="30" t="str">
        <f aca="false">IF(F843="","",K843-B843)</f>
        <v/>
      </c>
      <c r="M843" s="30" t="str">
        <f aca="false">IF(F843="","",L843-J843)</f>
        <v/>
      </c>
      <c r="N843" s="32" t="str">
        <f aca="false">IF(F843="","",IF(H843&lt;&gt;"","Kapandı",IF('Vade Sapması'!$D$3&gt;G843,"Açık · vadesi geçti","Açık · vadesi gelmedi")))</f>
        <v/>
      </c>
      <c r="O843" s="30" t="str">
        <f aca="false">IF(F843="","",IF(AND(H843="",'Vade Sapması'!$D$3&gt;G843),'Vade Sapması'!$D$3-G843,0))</f>
        <v/>
      </c>
      <c r="P843" s="33" t="str">
        <f aca="false">IF(F843="","",F843*J843)</f>
        <v/>
      </c>
      <c r="Q843" s="33" t="str">
        <f aca="false">IF(F843="","",F843*L843)</f>
        <v/>
      </c>
      <c r="R843" s="33" t="str">
        <f aca="false">IF(F843="","",IF(H843="",F843,0))</f>
        <v/>
      </c>
      <c r="S843" s="32" t="str">
        <f aca="false">IF(F843="","",IF(N(O843)=0,"",IF(O843&lt;=30,"1-30",IF(O843&lt;=60,"31-60",IF(O843&lt;=90,"61-90","90+")))))</f>
        <v/>
      </c>
      <c r="T843" s="32" t="str">
        <f aca="false">IF(F843="","",IF(E843="","Diğer",E843))</f>
        <v/>
      </c>
      <c r="U843" s="32" t="str">
        <f aca="false">IF(OR(F843="",C843=""),"",IF(COUNTIF($C$2:C843,C843)=1,MAX($U$1:U842)+1,""))</f>
        <v/>
      </c>
    </row>
    <row r="844" customFormat="false" ht="15" hidden="false" customHeight="false" outlineLevel="0" collapsed="false">
      <c r="A844" s="34"/>
      <c r="B844" s="9"/>
      <c r="C844" s="34"/>
      <c r="D844" s="34"/>
      <c r="E844" s="34"/>
      <c r="F844" s="35"/>
      <c r="G844" s="9"/>
      <c r="H844" s="9"/>
      <c r="I844" s="34"/>
      <c r="J844" s="30" t="str">
        <f aca="false">IF(F844="","",G844-B844)</f>
        <v/>
      </c>
      <c r="K844" s="31" t="str">
        <f aca="false">IF(F844="","",IF(H844&lt;&gt;"",H844,MAX('Vade Sapması'!$D$3,G844)))</f>
        <v/>
      </c>
      <c r="L844" s="30" t="str">
        <f aca="false">IF(F844="","",K844-B844)</f>
        <v/>
      </c>
      <c r="M844" s="30" t="str">
        <f aca="false">IF(F844="","",L844-J844)</f>
        <v/>
      </c>
      <c r="N844" s="32" t="str">
        <f aca="false">IF(F844="","",IF(H844&lt;&gt;"","Kapandı",IF('Vade Sapması'!$D$3&gt;G844,"Açık · vadesi geçti","Açık · vadesi gelmedi")))</f>
        <v/>
      </c>
      <c r="O844" s="30" t="str">
        <f aca="false">IF(F844="","",IF(AND(H844="",'Vade Sapması'!$D$3&gt;G844),'Vade Sapması'!$D$3-G844,0))</f>
        <v/>
      </c>
      <c r="P844" s="33" t="str">
        <f aca="false">IF(F844="","",F844*J844)</f>
        <v/>
      </c>
      <c r="Q844" s="33" t="str">
        <f aca="false">IF(F844="","",F844*L844)</f>
        <v/>
      </c>
      <c r="R844" s="33" t="str">
        <f aca="false">IF(F844="","",IF(H844="",F844,0))</f>
        <v/>
      </c>
      <c r="S844" s="32" t="str">
        <f aca="false">IF(F844="","",IF(N(O844)=0,"",IF(O844&lt;=30,"1-30",IF(O844&lt;=60,"31-60",IF(O844&lt;=90,"61-90","90+")))))</f>
        <v/>
      </c>
      <c r="T844" s="32" t="str">
        <f aca="false">IF(F844="","",IF(E844="","Diğer",E844))</f>
        <v/>
      </c>
      <c r="U844" s="32" t="str">
        <f aca="false">IF(OR(F844="",C844=""),"",IF(COUNTIF($C$2:C844,C844)=1,MAX($U$1:U843)+1,""))</f>
        <v/>
      </c>
    </row>
    <row r="845" customFormat="false" ht="15" hidden="false" customHeight="false" outlineLevel="0" collapsed="false">
      <c r="A845" s="34"/>
      <c r="B845" s="9"/>
      <c r="C845" s="34"/>
      <c r="D845" s="34"/>
      <c r="E845" s="34"/>
      <c r="F845" s="35"/>
      <c r="G845" s="9"/>
      <c r="H845" s="9"/>
      <c r="I845" s="34"/>
      <c r="J845" s="30" t="str">
        <f aca="false">IF(F845="","",G845-B845)</f>
        <v/>
      </c>
      <c r="K845" s="31" t="str">
        <f aca="false">IF(F845="","",IF(H845&lt;&gt;"",H845,MAX('Vade Sapması'!$D$3,G845)))</f>
        <v/>
      </c>
      <c r="L845" s="30" t="str">
        <f aca="false">IF(F845="","",K845-B845)</f>
        <v/>
      </c>
      <c r="M845" s="30" t="str">
        <f aca="false">IF(F845="","",L845-J845)</f>
        <v/>
      </c>
      <c r="N845" s="32" t="str">
        <f aca="false">IF(F845="","",IF(H845&lt;&gt;"","Kapandı",IF('Vade Sapması'!$D$3&gt;G845,"Açık · vadesi geçti","Açık · vadesi gelmedi")))</f>
        <v/>
      </c>
      <c r="O845" s="30" t="str">
        <f aca="false">IF(F845="","",IF(AND(H845="",'Vade Sapması'!$D$3&gt;G845),'Vade Sapması'!$D$3-G845,0))</f>
        <v/>
      </c>
      <c r="P845" s="33" t="str">
        <f aca="false">IF(F845="","",F845*J845)</f>
        <v/>
      </c>
      <c r="Q845" s="33" t="str">
        <f aca="false">IF(F845="","",F845*L845)</f>
        <v/>
      </c>
      <c r="R845" s="33" t="str">
        <f aca="false">IF(F845="","",IF(H845="",F845,0))</f>
        <v/>
      </c>
      <c r="S845" s="32" t="str">
        <f aca="false">IF(F845="","",IF(N(O845)=0,"",IF(O845&lt;=30,"1-30",IF(O845&lt;=60,"31-60",IF(O845&lt;=90,"61-90","90+")))))</f>
        <v/>
      </c>
      <c r="T845" s="32" t="str">
        <f aca="false">IF(F845="","",IF(E845="","Diğer",E845))</f>
        <v/>
      </c>
      <c r="U845" s="32" t="str">
        <f aca="false">IF(OR(F845="",C845=""),"",IF(COUNTIF($C$2:C845,C845)=1,MAX($U$1:U844)+1,""))</f>
        <v/>
      </c>
    </row>
    <row r="846" customFormat="false" ht="15" hidden="false" customHeight="false" outlineLevel="0" collapsed="false">
      <c r="A846" s="34"/>
      <c r="B846" s="9"/>
      <c r="C846" s="34"/>
      <c r="D846" s="34"/>
      <c r="E846" s="34"/>
      <c r="F846" s="35"/>
      <c r="G846" s="9"/>
      <c r="H846" s="9"/>
      <c r="I846" s="34"/>
      <c r="J846" s="30" t="str">
        <f aca="false">IF(F846="","",G846-B846)</f>
        <v/>
      </c>
      <c r="K846" s="31" t="str">
        <f aca="false">IF(F846="","",IF(H846&lt;&gt;"",H846,MAX('Vade Sapması'!$D$3,G846)))</f>
        <v/>
      </c>
      <c r="L846" s="30" t="str">
        <f aca="false">IF(F846="","",K846-B846)</f>
        <v/>
      </c>
      <c r="M846" s="30" t="str">
        <f aca="false">IF(F846="","",L846-J846)</f>
        <v/>
      </c>
      <c r="N846" s="32" t="str">
        <f aca="false">IF(F846="","",IF(H846&lt;&gt;"","Kapandı",IF('Vade Sapması'!$D$3&gt;G846,"Açık · vadesi geçti","Açık · vadesi gelmedi")))</f>
        <v/>
      </c>
      <c r="O846" s="30" t="str">
        <f aca="false">IF(F846="","",IF(AND(H846="",'Vade Sapması'!$D$3&gt;G846),'Vade Sapması'!$D$3-G846,0))</f>
        <v/>
      </c>
      <c r="P846" s="33" t="str">
        <f aca="false">IF(F846="","",F846*J846)</f>
        <v/>
      </c>
      <c r="Q846" s="33" t="str">
        <f aca="false">IF(F846="","",F846*L846)</f>
        <v/>
      </c>
      <c r="R846" s="33" t="str">
        <f aca="false">IF(F846="","",IF(H846="",F846,0))</f>
        <v/>
      </c>
      <c r="S846" s="32" t="str">
        <f aca="false">IF(F846="","",IF(N(O846)=0,"",IF(O846&lt;=30,"1-30",IF(O846&lt;=60,"31-60",IF(O846&lt;=90,"61-90","90+")))))</f>
        <v/>
      </c>
      <c r="T846" s="32" t="str">
        <f aca="false">IF(F846="","",IF(E846="","Diğer",E846))</f>
        <v/>
      </c>
      <c r="U846" s="32" t="str">
        <f aca="false">IF(OR(F846="",C846=""),"",IF(COUNTIF($C$2:C846,C846)=1,MAX($U$1:U845)+1,""))</f>
        <v/>
      </c>
    </row>
    <row r="847" customFormat="false" ht="15" hidden="false" customHeight="false" outlineLevel="0" collapsed="false">
      <c r="A847" s="34"/>
      <c r="B847" s="9"/>
      <c r="C847" s="34"/>
      <c r="D847" s="34"/>
      <c r="E847" s="34"/>
      <c r="F847" s="35"/>
      <c r="G847" s="9"/>
      <c r="H847" s="9"/>
      <c r="I847" s="34"/>
      <c r="J847" s="30" t="str">
        <f aca="false">IF(F847="","",G847-B847)</f>
        <v/>
      </c>
      <c r="K847" s="31" t="str">
        <f aca="false">IF(F847="","",IF(H847&lt;&gt;"",H847,MAX('Vade Sapması'!$D$3,G847)))</f>
        <v/>
      </c>
      <c r="L847" s="30" t="str">
        <f aca="false">IF(F847="","",K847-B847)</f>
        <v/>
      </c>
      <c r="M847" s="30" t="str">
        <f aca="false">IF(F847="","",L847-J847)</f>
        <v/>
      </c>
      <c r="N847" s="32" t="str">
        <f aca="false">IF(F847="","",IF(H847&lt;&gt;"","Kapandı",IF('Vade Sapması'!$D$3&gt;G847,"Açık · vadesi geçti","Açık · vadesi gelmedi")))</f>
        <v/>
      </c>
      <c r="O847" s="30" t="str">
        <f aca="false">IF(F847="","",IF(AND(H847="",'Vade Sapması'!$D$3&gt;G847),'Vade Sapması'!$D$3-G847,0))</f>
        <v/>
      </c>
      <c r="P847" s="33" t="str">
        <f aca="false">IF(F847="","",F847*J847)</f>
        <v/>
      </c>
      <c r="Q847" s="33" t="str">
        <f aca="false">IF(F847="","",F847*L847)</f>
        <v/>
      </c>
      <c r="R847" s="33" t="str">
        <f aca="false">IF(F847="","",IF(H847="",F847,0))</f>
        <v/>
      </c>
      <c r="S847" s="32" t="str">
        <f aca="false">IF(F847="","",IF(N(O847)=0,"",IF(O847&lt;=30,"1-30",IF(O847&lt;=60,"31-60",IF(O847&lt;=90,"61-90","90+")))))</f>
        <v/>
      </c>
      <c r="T847" s="32" t="str">
        <f aca="false">IF(F847="","",IF(E847="","Diğer",E847))</f>
        <v/>
      </c>
      <c r="U847" s="32" t="str">
        <f aca="false">IF(OR(F847="",C847=""),"",IF(COUNTIF($C$2:C847,C847)=1,MAX($U$1:U846)+1,""))</f>
        <v/>
      </c>
    </row>
    <row r="848" customFormat="false" ht="15" hidden="false" customHeight="false" outlineLevel="0" collapsed="false">
      <c r="A848" s="34"/>
      <c r="B848" s="9"/>
      <c r="C848" s="34"/>
      <c r="D848" s="34"/>
      <c r="E848" s="34"/>
      <c r="F848" s="35"/>
      <c r="G848" s="9"/>
      <c r="H848" s="9"/>
      <c r="I848" s="34"/>
      <c r="J848" s="30" t="str">
        <f aca="false">IF(F848="","",G848-B848)</f>
        <v/>
      </c>
      <c r="K848" s="31" t="str">
        <f aca="false">IF(F848="","",IF(H848&lt;&gt;"",H848,MAX('Vade Sapması'!$D$3,G848)))</f>
        <v/>
      </c>
      <c r="L848" s="30" t="str">
        <f aca="false">IF(F848="","",K848-B848)</f>
        <v/>
      </c>
      <c r="M848" s="30" t="str">
        <f aca="false">IF(F848="","",L848-J848)</f>
        <v/>
      </c>
      <c r="N848" s="32" t="str">
        <f aca="false">IF(F848="","",IF(H848&lt;&gt;"","Kapandı",IF('Vade Sapması'!$D$3&gt;G848,"Açık · vadesi geçti","Açık · vadesi gelmedi")))</f>
        <v/>
      </c>
      <c r="O848" s="30" t="str">
        <f aca="false">IF(F848="","",IF(AND(H848="",'Vade Sapması'!$D$3&gt;G848),'Vade Sapması'!$D$3-G848,0))</f>
        <v/>
      </c>
      <c r="P848" s="33" t="str">
        <f aca="false">IF(F848="","",F848*J848)</f>
        <v/>
      </c>
      <c r="Q848" s="33" t="str">
        <f aca="false">IF(F848="","",F848*L848)</f>
        <v/>
      </c>
      <c r="R848" s="33" t="str">
        <f aca="false">IF(F848="","",IF(H848="",F848,0))</f>
        <v/>
      </c>
      <c r="S848" s="32" t="str">
        <f aca="false">IF(F848="","",IF(N(O848)=0,"",IF(O848&lt;=30,"1-30",IF(O848&lt;=60,"31-60",IF(O848&lt;=90,"61-90","90+")))))</f>
        <v/>
      </c>
      <c r="T848" s="32" t="str">
        <f aca="false">IF(F848="","",IF(E848="","Diğer",E848))</f>
        <v/>
      </c>
      <c r="U848" s="32" t="str">
        <f aca="false">IF(OR(F848="",C848=""),"",IF(COUNTIF($C$2:C848,C848)=1,MAX($U$1:U847)+1,""))</f>
        <v/>
      </c>
    </row>
    <row r="849" customFormat="false" ht="15" hidden="false" customHeight="false" outlineLevel="0" collapsed="false">
      <c r="A849" s="34"/>
      <c r="B849" s="9"/>
      <c r="C849" s="34"/>
      <c r="D849" s="34"/>
      <c r="E849" s="34"/>
      <c r="F849" s="35"/>
      <c r="G849" s="9"/>
      <c r="H849" s="9"/>
      <c r="I849" s="34"/>
      <c r="J849" s="30" t="str">
        <f aca="false">IF(F849="","",G849-B849)</f>
        <v/>
      </c>
      <c r="K849" s="31" t="str">
        <f aca="false">IF(F849="","",IF(H849&lt;&gt;"",H849,MAX('Vade Sapması'!$D$3,G849)))</f>
        <v/>
      </c>
      <c r="L849" s="30" t="str">
        <f aca="false">IF(F849="","",K849-B849)</f>
        <v/>
      </c>
      <c r="M849" s="30" t="str">
        <f aca="false">IF(F849="","",L849-J849)</f>
        <v/>
      </c>
      <c r="N849" s="32" t="str">
        <f aca="false">IF(F849="","",IF(H849&lt;&gt;"","Kapandı",IF('Vade Sapması'!$D$3&gt;G849,"Açık · vadesi geçti","Açık · vadesi gelmedi")))</f>
        <v/>
      </c>
      <c r="O849" s="30" t="str">
        <f aca="false">IF(F849="","",IF(AND(H849="",'Vade Sapması'!$D$3&gt;G849),'Vade Sapması'!$D$3-G849,0))</f>
        <v/>
      </c>
      <c r="P849" s="33" t="str">
        <f aca="false">IF(F849="","",F849*J849)</f>
        <v/>
      </c>
      <c r="Q849" s="33" t="str">
        <f aca="false">IF(F849="","",F849*L849)</f>
        <v/>
      </c>
      <c r="R849" s="33" t="str">
        <f aca="false">IF(F849="","",IF(H849="",F849,0))</f>
        <v/>
      </c>
      <c r="S849" s="32" t="str">
        <f aca="false">IF(F849="","",IF(N(O849)=0,"",IF(O849&lt;=30,"1-30",IF(O849&lt;=60,"31-60",IF(O849&lt;=90,"61-90","90+")))))</f>
        <v/>
      </c>
      <c r="T849" s="32" t="str">
        <f aca="false">IF(F849="","",IF(E849="","Diğer",E849))</f>
        <v/>
      </c>
      <c r="U849" s="32" t="str">
        <f aca="false">IF(OR(F849="",C849=""),"",IF(COUNTIF($C$2:C849,C849)=1,MAX($U$1:U848)+1,""))</f>
        <v/>
      </c>
    </row>
    <row r="850" customFormat="false" ht="15" hidden="false" customHeight="false" outlineLevel="0" collapsed="false">
      <c r="A850" s="34"/>
      <c r="B850" s="9"/>
      <c r="C850" s="34"/>
      <c r="D850" s="34"/>
      <c r="E850" s="34"/>
      <c r="F850" s="35"/>
      <c r="G850" s="9"/>
      <c r="H850" s="9"/>
      <c r="I850" s="34"/>
      <c r="J850" s="30" t="str">
        <f aca="false">IF(F850="","",G850-B850)</f>
        <v/>
      </c>
      <c r="K850" s="31" t="str">
        <f aca="false">IF(F850="","",IF(H850&lt;&gt;"",H850,MAX('Vade Sapması'!$D$3,G850)))</f>
        <v/>
      </c>
      <c r="L850" s="30" t="str">
        <f aca="false">IF(F850="","",K850-B850)</f>
        <v/>
      </c>
      <c r="M850" s="30" t="str">
        <f aca="false">IF(F850="","",L850-J850)</f>
        <v/>
      </c>
      <c r="N850" s="32" t="str">
        <f aca="false">IF(F850="","",IF(H850&lt;&gt;"","Kapandı",IF('Vade Sapması'!$D$3&gt;G850,"Açık · vadesi geçti","Açık · vadesi gelmedi")))</f>
        <v/>
      </c>
      <c r="O850" s="30" t="str">
        <f aca="false">IF(F850="","",IF(AND(H850="",'Vade Sapması'!$D$3&gt;G850),'Vade Sapması'!$D$3-G850,0))</f>
        <v/>
      </c>
      <c r="P850" s="33" t="str">
        <f aca="false">IF(F850="","",F850*J850)</f>
        <v/>
      </c>
      <c r="Q850" s="33" t="str">
        <f aca="false">IF(F850="","",F850*L850)</f>
        <v/>
      </c>
      <c r="R850" s="33" t="str">
        <f aca="false">IF(F850="","",IF(H850="",F850,0))</f>
        <v/>
      </c>
      <c r="S850" s="32" t="str">
        <f aca="false">IF(F850="","",IF(N(O850)=0,"",IF(O850&lt;=30,"1-30",IF(O850&lt;=60,"31-60",IF(O850&lt;=90,"61-90","90+")))))</f>
        <v/>
      </c>
      <c r="T850" s="32" t="str">
        <f aca="false">IF(F850="","",IF(E850="","Diğer",E850))</f>
        <v/>
      </c>
      <c r="U850" s="32" t="str">
        <f aca="false">IF(OR(F850="",C850=""),"",IF(COUNTIF($C$2:C850,C850)=1,MAX($U$1:U849)+1,""))</f>
        <v/>
      </c>
    </row>
    <row r="851" customFormat="false" ht="15" hidden="false" customHeight="false" outlineLevel="0" collapsed="false">
      <c r="A851" s="34"/>
      <c r="B851" s="9"/>
      <c r="C851" s="34"/>
      <c r="D851" s="34"/>
      <c r="E851" s="34"/>
      <c r="F851" s="35"/>
      <c r="G851" s="9"/>
      <c r="H851" s="9"/>
      <c r="I851" s="34"/>
      <c r="J851" s="30" t="str">
        <f aca="false">IF(F851="","",G851-B851)</f>
        <v/>
      </c>
      <c r="K851" s="31" t="str">
        <f aca="false">IF(F851="","",IF(H851&lt;&gt;"",H851,MAX('Vade Sapması'!$D$3,G851)))</f>
        <v/>
      </c>
      <c r="L851" s="30" t="str">
        <f aca="false">IF(F851="","",K851-B851)</f>
        <v/>
      </c>
      <c r="M851" s="30" t="str">
        <f aca="false">IF(F851="","",L851-J851)</f>
        <v/>
      </c>
      <c r="N851" s="32" t="str">
        <f aca="false">IF(F851="","",IF(H851&lt;&gt;"","Kapandı",IF('Vade Sapması'!$D$3&gt;G851,"Açık · vadesi geçti","Açık · vadesi gelmedi")))</f>
        <v/>
      </c>
      <c r="O851" s="30" t="str">
        <f aca="false">IF(F851="","",IF(AND(H851="",'Vade Sapması'!$D$3&gt;G851),'Vade Sapması'!$D$3-G851,0))</f>
        <v/>
      </c>
      <c r="P851" s="33" t="str">
        <f aca="false">IF(F851="","",F851*J851)</f>
        <v/>
      </c>
      <c r="Q851" s="33" t="str">
        <f aca="false">IF(F851="","",F851*L851)</f>
        <v/>
      </c>
      <c r="R851" s="33" t="str">
        <f aca="false">IF(F851="","",IF(H851="",F851,0))</f>
        <v/>
      </c>
      <c r="S851" s="32" t="str">
        <f aca="false">IF(F851="","",IF(N(O851)=0,"",IF(O851&lt;=30,"1-30",IF(O851&lt;=60,"31-60",IF(O851&lt;=90,"61-90","90+")))))</f>
        <v/>
      </c>
      <c r="T851" s="32" t="str">
        <f aca="false">IF(F851="","",IF(E851="","Diğer",E851))</f>
        <v/>
      </c>
      <c r="U851" s="32" t="str">
        <f aca="false">IF(OR(F851="",C851=""),"",IF(COUNTIF($C$2:C851,C851)=1,MAX($U$1:U850)+1,""))</f>
        <v/>
      </c>
    </row>
    <row r="852" customFormat="false" ht="15" hidden="false" customHeight="false" outlineLevel="0" collapsed="false">
      <c r="A852" s="34"/>
      <c r="B852" s="9"/>
      <c r="C852" s="34"/>
      <c r="D852" s="34"/>
      <c r="E852" s="34"/>
      <c r="F852" s="35"/>
      <c r="G852" s="9"/>
      <c r="H852" s="9"/>
      <c r="I852" s="34"/>
      <c r="J852" s="30" t="str">
        <f aca="false">IF(F852="","",G852-B852)</f>
        <v/>
      </c>
      <c r="K852" s="31" t="str">
        <f aca="false">IF(F852="","",IF(H852&lt;&gt;"",H852,MAX('Vade Sapması'!$D$3,G852)))</f>
        <v/>
      </c>
      <c r="L852" s="30" t="str">
        <f aca="false">IF(F852="","",K852-B852)</f>
        <v/>
      </c>
      <c r="M852" s="30" t="str">
        <f aca="false">IF(F852="","",L852-J852)</f>
        <v/>
      </c>
      <c r="N852" s="32" t="str">
        <f aca="false">IF(F852="","",IF(H852&lt;&gt;"","Kapandı",IF('Vade Sapması'!$D$3&gt;G852,"Açık · vadesi geçti","Açık · vadesi gelmedi")))</f>
        <v/>
      </c>
      <c r="O852" s="30" t="str">
        <f aca="false">IF(F852="","",IF(AND(H852="",'Vade Sapması'!$D$3&gt;G852),'Vade Sapması'!$D$3-G852,0))</f>
        <v/>
      </c>
      <c r="P852" s="33" t="str">
        <f aca="false">IF(F852="","",F852*J852)</f>
        <v/>
      </c>
      <c r="Q852" s="33" t="str">
        <f aca="false">IF(F852="","",F852*L852)</f>
        <v/>
      </c>
      <c r="R852" s="33" t="str">
        <f aca="false">IF(F852="","",IF(H852="",F852,0))</f>
        <v/>
      </c>
      <c r="S852" s="32" t="str">
        <f aca="false">IF(F852="","",IF(N(O852)=0,"",IF(O852&lt;=30,"1-30",IF(O852&lt;=60,"31-60",IF(O852&lt;=90,"61-90","90+")))))</f>
        <v/>
      </c>
      <c r="T852" s="32" t="str">
        <f aca="false">IF(F852="","",IF(E852="","Diğer",E852))</f>
        <v/>
      </c>
      <c r="U852" s="32" t="str">
        <f aca="false">IF(OR(F852="",C852=""),"",IF(COUNTIF($C$2:C852,C852)=1,MAX($U$1:U851)+1,""))</f>
        <v/>
      </c>
    </row>
    <row r="853" customFormat="false" ht="15" hidden="false" customHeight="false" outlineLevel="0" collapsed="false">
      <c r="A853" s="34"/>
      <c r="B853" s="9"/>
      <c r="C853" s="34"/>
      <c r="D853" s="34"/>
      <c r="E853" s="34"/>
      <c r="F853" s="35"/>
      <c r="G853" s="9"/>
      <c r="H853" s="9"/>
      <c r="I853" s="34"/>
      <c r="J853" s="30" t="str">
        <f aca="false">IF(F853="","",G853-B853)</f>
        <v/>
      </c>
      <c r="K853" s="31" t="str">
        <f aca="false">IF(F853="","",IF(H853&lt;&gt;"",H853,MAX('Vade Sapması'!$D$3,G853)))</f>
        <v/>
      </c>
      <c r="L853" s="30" t="str">
        <f aca="false">IF(F853="","",K853-B853)</f>
        <v/>
      </c>
      <c r="M853" s="30" t="str">
        <f aca="false">IF(F853="","",L853-J853)</f>
        <v/>
      </c>
      <c r="N853" s="32" t="str">
        <f aca="false">IF(F853="","",IF(H853&lt;&gt;"","Kapandı",IF('Vade Sapması'!$D$3&gt;G853,"Açık · vadesi geçti","Açık · vadesi gelmedi")))</f>
        <v/>
      </c>
      <c r="O853" s="30" t="str">
        <f aca="false">IF(F853="","",IF(AND(H853="",'Vade Sapması'!$D$3&gt;G853),'Vade Sapması'!$D$3-G853,0))</f>
        <v/>
      </c>
      <c r="P853" s="33" t="str">
        <f aca="false">IF(F853="","",F853*J853)</f>
        <v/>
      </c>
      <c r="Q853" s="33" t="str">
        <f aca="false">IF(F853="","",F853*L853)</f>
        <v/>
      </c>
      <c r="R853" s="33" t="str">
        <f aca="false">IF(F853="","",IF(H853="",F853,0))</f>
        <v/>
      </c>
      <c r="S853" s="32" t="str">
        <f aca="false">IF(F853="","",IF(N(O853)=0,"",IF(O853&lt;=30,"1-30",IF(O853&lt;=60,"31-60",IF(O853&lt;=90,"61-90","90+")))))</f>
        <v/>
      </c>
      <c r="T853" s="32" t="str">
        <f aca="false">IF(F853="","",IF(E853="","Diğer",E853))</f>
        <v/>
      </c>
      <c r="U853" s="32" t="str">
        <f aca="false">IF(OR(F853="",C853=""),"",IF(COUNTIF($C$2:C853,C853)=1,MAX($U$1:U852)+1,""))</f>
        <v/>
      </c>
    </row>
    <row r="854" customFormat="false" ht="15" hidden="false" customHeight="false" outlineLevel="0" collapsed="false">
      <c r="A854" s="34"/>
      <c r="B854" s="9"/>
      <c r="C854" s="34"/>
      <c r="D854" s="34"/>
      <c r="E854" s="34"/>
      <c r="F854" s="35"/>
      <c r="G854" s="9"/>
      <c r="H854" s="9"/>
      <c r="I854" s="34"/>
      <c r="J854" s="30" t="str">
        <f aca="false">IF(F854="","",G854-B854)</f>
        <v/>
      </c>
      <c r="K854" s="31" t="str">
        <f aca="false">IF(F854="","",IF(H854&lt;&gt;"",H854,MAX('Vade Sapması'!$D$3,G854)))</f>
        <v/>
      </c>
      <c r="L854" s="30" t="str">
        <f aca="false">IF(F854="","",K854-B854)</f>
        <v/>
      </c>
      <c r="M854" s="30" t="str">
        <f aca="false">IF(F854="","",L854-J854)</f>
        <v/>
      </c>
      <c r="N854" s="32" t="str">
        <f aca="false">IF(F854="","",IF(H854&lt;&gt;"","Kapandı",IF('Vade Sapması'!$D$3&gt;G854,"Açık · vadesi geçti","Açık · vadesi gelmedi")))</f>
        <v/>
      </c>
      <c r="O854" s="30" t="str">
        <f aca="false">IF(F854="","",IF(AND(H854="",'Vade Sapması'!$D$3&gt;G854),'Vade Sapması'!$D$3-G854,0))</f>
        <v/>
      </c>
      <c r="P854" s="33" t="str">
        <f aca="false">IF(F854="","",F854*J854)</f>
        <v/>
      </c>
      <c r="Q854" s="33" t="str">
        <f aca="false">IF(F854="","",F854*L854)</f>
        <v/>
      </c>
      <c r="R854" s="33" t="str">
        <f aca="false">IF(F854="","",IF(H854="",F854,0))</f>
        <v/>
      </c>
      <c r="S854" s="32" t="str">
        <f aca="false">IF(F854="","",IF(N(O854)=0,"",IF(O854&lt;=30,"1-30",IF(O854&lt;=60,"31-60",IF(O854&lt;=90,"61-90","90+")))))</f>
        <v/>
      </c>
      <c r="T854" s="32" t="str">
        <f aca="false">IF(F854="","",IF(E854="","Diğer",E854))</f>
        <v/>
      </c>
      <c r="U854" s="32" t="str">
        <f aca="false">IF(OR(F854="",C854=""),"",IF(COUNTIF($C$2:C854,C854)=1,MAX($U$1:U853)+1,""))</f>
        <v/>
      </c>
    </row>
    <row r="855" customFormat="false" ht="15" hidden="false" customHeight="false" outlineLevel="0" collapsed="false">
      <c r="A855" s="34"/>
      <c r="B855" s="9"/>
      <c r="C855" s="34"/>
      <c r="D855" s="34"/>
      <c r="E855" s="34"/>
      <c r="F855" s="35"/>
      <c r="G855" s="9"/>
      <c r="H855" s="9"/>
      <c r="I855" s="34"/>
      <c r="J855" s="30" t="str">
        <f aca="false">IF(F855="","",G855-B855)</f>
        <v/>
      </c>
      <c r="K855" s="31" t="str">
        <f aca="false">IF(F855="","",IF(H855&lt;&gt;"",H855,MAX('Vade Sapması'!$D$3,G855)))</f>
        <v/>
      </c>
      <c r="L855" s="30" t="str">
        <f aca="false">IF(F855="","",K855-B855)</f>
        <v/>
      </c>
      <c r="M855" s="30" t="str">
        <f aca="false">IF(F855="","",L855-J855)</f>
        <v/>
      </c>
      <c r="N855" s="32" t="str">
        <f aca="false">IF(F855="","",IF(H855&lt;&gt;"","Kapandı",IF('Vade Sapması'!$D$3&gt;G855,"Açık · vadesi geçti","Açık · vadesi gelmedi")))</f>
        <v/>
      </c>
      <c r="O855" s="30" t="str">
        <f aca="false">IF(F855="","",IF(AND(H855="",'Vade Sapması'!$D$3&gt;G855),'Vade Sapması'!$D$3-G855,0))</f>
        <v/>
      </c>
      <c r="P855" s="33" t="str">
        <f aca="false">IF(F855="","",F855*J855)</f>
        <v/>
      </c>
      <c r="Q855" s="33" t="str">
        <f aca="false">IF(F855="","",F855*L855)</f>
        <v/>
      </c>
      <c r="R855" s="33" t="str">
        <f aca="false">IF(F855="","",IF(H855="",F855,0))</f>
        <v/>
      </c>
      <c r="S855" s="32" t="str">
        <f aca="false">IF(F855="","",IF(N(O855)=0,"",IF(O855&lt;=30,"1-30",IF(O855&lt;=60,"31-60",IF(O855&lt;=90,"61-90","90+")))))</f>
        <v/>
      </c>
      <c r="T855" s="32" t="str">
        <f aca="false">IF(F855="","",IF(E855="","Diğer",E855))</f>
        <v/>
      </c>
      <c r="U855" s="32" t="str">
        <f aca="false">IF(OR(F855="",C855=""),"",IF(COUNTIF($C$2:C855,C855)=1,MAX($U$1:U854)+1,""))</f>
        <v/>
      </c>
    </row>
    <row r="856" customFormat="false" ht="15" hidden="false" customHeight="false" outlineLevel="0" collapsed="false">
      <c r="A856" s="34"/>
      <c r="B856" s="9"/>
      <c r="C856" s="34"/>
      <c r="D856" s="34"/>
      <c r="E856" s="34"/>
      <c r="F856" s="35"/>
      <c r="G856" s="9"/>
      <c r="H856" s="9"/>
      <c r="I856" s="34"/>
      <c r="J856" s="30" t="str">
        <f aca="false">IF(F856="","",G856-B856)</f>
        <v/>
      </c>
      <c r="K856" s="31" t="str">
        <f aca="false">IF(F856="","",IF(H856&lt;&gt;"",H856,MAX('Vade Sapması'!$D$3,G856)))</f>
        <v/>
      </c>
      <c r="L856" s="30" t="str">
        <f aca="false">IF(F856="","",K856-B856)</f>
        <v/>
      </c>
      <c r="M856" s="30" t="str">
        <f aca="false">IF(F856="","",L856-J856)</f>
        <v/>
      </c>
      <c r="N856" s="32" t="str">
        <f aca="false">IF(F856="","",IF(H856&lt;&gt;"","Kapandı",IF('Vade Sapması'!$D$3&gt;G856,"Açık · vadesi geçti","Açık · vadesi gelmedi")))</f>
        <v/>
      </c>
      <c r="O856" s="30" t="str">
        <f aca="false">IF(F856="","",IF(AND(H856="",'Vade Sapması'!$D$3&gt;G856),'Vade Sapması'!$D$3-G856,0))</f>
        <v/>
      </c>
      <c r="P856" s="33" t="str">
        <f aca="false">IF(F856="","",F856*J856)</f>
        <v/>
      </c>
      <c r="Q856" s="33" t="str">
        <f aca="false">IF(F856="","",F856*L856)</f>
        <v/>
      </c>
      <c r="R856" s="33" t="str">
        <f aca="false">IF(F856="","",IF(H856="",F856,0))</f>
        <v/>
      </c>
      <c r="S856" s="32" t="str">
        <f aca="false">IF(F856="","",IF(N(O856)=0,"",IF(O856&lt;=30,"1-30",IF(O856&lt;=60,"31-60",IF(O856&lt;=90,"61-90","90+")))))</f>
        <v/>
      </c>
      <c r="T856" s="32" t="str">
        <f aca="false">IF(F856="","",IF(E856="","Diğer",E856))</f>
        <v/>
      </c>
      <c r="U856" s="32" t="str">
        <f aca="false">IF(OR(F856="",C856=""),"",IF(COUNTIF($C$2:C856,C856)=1,MAX($U$1:U855)+1,""))</f>
        <v/>
      </c>
    </row>
    <row r="857" customFormat="false" ht="15" hidden="false" customHeight="false" outlineLevel="0" collapsed="false">
      <c r="A857" s="34"/>
      <c r="B857" s="9"/>
      <c r="C857" s="34"/>
      <c r="D857" s="34"/>
      <c r="E857" s="34"/>
      <c r="F857" s="35"/>
      <c r="G857" s="9"/>
      <c r="H857" s="9"/>
      <c r="I857" s="34"/>
      <c r="J857" s="30" t="str">
        <f aca="false">IF(F857="","",G857-B857)</f>
        <v/>
      </c>
      <c r="K857" s="31" t="str">
        <f aca="false">IF(F857="","",IF(H857&lt;&gt;"",H857,MAX('Vade Sapması'!$D$3,G857)))</f>
        <v/>
      </c>
      <c r="L857" s="30" t="str">
        <f aca="false">IF(F857="","",K857-B857)</f>
        <v/>
      </c>
      <c r="M857" s="30" t="str">
        <f aca="false">IF(F857="","",L857-J857)</f>
        <v/>
      </c>
      <c r="N857" s="32" t="str">
        <f aca="false">IF(F857="","",IF(H857&lt;&gt;"","Kapandı",IF('Vade Sapması'!$D$3&gt;G857,"Açık · vadesi geçti","Açık · vadesi gelmedi")))</f>
        <v/>
      </c>
      <c r="O857" s="30" t="str">
        <f aca="false">IF(F857="","",IF(AND(H857="",'Vade Sapması'!$D$3&gt;G857),'Vade Sapması'!$D$3-G857,0))</f>
        <v/>
      </c>
      <c r="P857" s="33" t="str">
        <f aca="false">IF(F857="","",F857*J857)</f>
        <v/>
      </c>
      <c r="Q857" s="33" t="str">
        <f aca="false">IF(F857="","",F857*L857)</f>
        <v/>
      </c>
      <c r="R857" s="33" t="str">
        <f aca="false">IF(F857="","",IF(H857="",F857,0))</f>
        <v/>
      </c>
      <c r="S857" s="32" t="str">
        <f aca="false">IF(F857="","",IF(N(O857)=0,"",IF(O857&lt;=30,"1-30",IF(O857&lt;=60,"31-60",IF(O857&lt;=90,"61-90","90+")))))</f>
        <v/>
      </c>
      <c r="T857" s="32" t="str">
        <f aca="false">IF(F857="","",IF(E857="","Diğer",E857))</f>
        <v/>
      </c>
      <c r="U857" s="32" t="str">
        <f aca="false">IF(OR(F857="",C857=""),"",IF(COUNTIF($C$2:C857,C857)=1,MAX($U$1:U856)+1,""))</f>
        <v/>
      </c>
    </row>
    <row r="858" customFormat="false" ht="15" hidden="false" customHeight="false" outlineLevel="0" collapsed="false">
      <c r="A858" s="34"/>
      <c r="B858" s="9"/>
      <c r="C858" s="34"/>
      <c r="D858" s="34"/>
      <c r="E858" s="34"/>
      <c r="F858" s="35"/>
      <c r="G858" s="9"/>
      <c r="H858" s="9"/>
      <c r="I858" s="34"/>
      <c r="J858" s="30" t="str">
        <f aca="false">IF(F858="","",G858-B858)</f>
        <v/>
      </c>
      <c r="K858" s="31" t="str">
        <f aca="false">IF(F858="","",IF(H858&lt;&gt;"",H858,MAX('Vade Sapması'!$D$3,G858)))</f>
        <v/>
      </c>
      <c r="L858" s="30" t="str">
        <f aca="false">IF(F858="","",K858-B858)</f>
        <v/>
      </c>
      <c r="M858" s="30" t="str">
        <f aca="false">IF(F858="","",L858-J858)</f>
        <v/>
      </c>
      <c r="N858" s="32" t="str">
        <f aca="false">IF(F858="","",IF(H858&lt;&gt;"","Kapandı",IF('Vade Sapması'!$D$3&gt;G858,"Açık · vadesi geçti","Açık · vadesi gelmedi")))</f>
        <v/>
      </c>
      <c r="O858" s="30" t="str">
        <f aca="false">IF(F858="","",IF(AND(H858="",'Vade Sapması'!$D$3&gt;G858),'Vade Sapması'!$D$3-G858,0))</f>
        <v/>
      </c>
      <c r="P858" s="33" t="str">
        <f aca="false">IF(F858="","",F858*J858)</f>
        <v/>
      </c>
      <c r="Q858" s="33" t="str">
        <f aca="false">IF(F858="","",F858*L858)</f>
        <v/>
      </c>
      <c r="R858" s="33" t="str">
        <f aca="false">IF(F858="","",IF(H858="",F858,0))</f>
        <v/>
      </c>
      <c r="S858" s="32" t="str">
        <f aca="false">IF(F858="","",IF(N(O858)=0,"",IF(O858&lt;=30,"1-30",IF(O858&lt;=60,"31-60",IF(O858&lt;=90,"61-90","90+")))))</f>
        <v/>
      </c>
      <c r="T858" s="32" t="str">
        <f aca="false">IF(F858="","",IF(E858="","Diğer",E858))</f>
        <v/>
      </c>
      <c r="U858" s="32" t="str">
        <f aca="false">IF(OR(F858="",C858=""),"",IF(COUNTIF($C$2:C858,C858)=1,MAX($U$1:U857)+1,""))</f>
        <v/>
      </c>
    </row>
    <row r="859" customFormat="false" ht="15" hidden="false" customHeight="false" outlineLevel="0" collapsed="false">
      <c r="A859" s="34"/>
      <c r="B859" s="9"/>
      <c r="C859" s="34"/>
      <c r="D859" s="34"/>
      <c r="E859" s="34"/>
      <c r="F859" s="35"/>
      <c r="G859" s="9"/>
      <c r="H859" s="9"/>
      <c r="I859" s="34"/>
      <c r="J859" s="30" t="str">
        <f aca="false">IF(F859="","",G859-B859)</f>
        <v/>
      </c>
      <c r="K859" s="31" t="str">
        <f aca="false">IF(F859="","",IF(H859&lt;&gt;"",H859,MAX('Vade Sapması'!$D$3,G859)))</f>
        <v/>
      </c>
      <c r="L859" s="30" t="str">
        <f aca="false">IF(F859="","",K859-B859)</f>
        <v/>
      </c>
      <c r="M859" s="30" t="str">
        <f aca="false">IF(F859="","",L859-J859)</f>
        <v/>
      </c>
      <c r="N859" s="32" t="str">
        <f aca="false">IF(F859="","",IF(H859&lt;&gt;"","Kapandı",IF('Vade Sapması'!$D$3&gt;G859,"Açık · vadesi geçti","Açık · vadesi gelmedi")))</f>
        <v/>
      </c>
      <c r="O859" s="30" t="str">
        <f aca="false">IF(F859="","",IF(AND(H859="",'Vade Sapması'!$D$3&gt;G859),'Vade Sapması'!$D$3-G859,0))</f>
        <v/>
      </c>
      <c r="P859" s="33" t="str">
        <f aca="false">IF(F859="","",F859*J859)</f>
        <v/>
      </c>
      <c r="Q859" s="33" t="str">
        <f aca="false">IF(F859="","",F859*L859)</f>
        <v/>
      </c>
      <c r="R859" s="33" t="str">
        <f aca="false">IF(F859="","",IF(H859="",F859,0))</f>
        <v/>
      </c>
      <c r="S859" s="32" t="str">
        <f aca="false">IF(F859="","",IF(N(O859)=0,"",IF(O859&lt;=30,"1-30",IF(O859&lt;=60,"31-60",IF(O859&lt;=90,"61-90","90+")))))</f>
        <v/>
      </c>
      <c r="T859" s="32" t="str">
        <f aca="false">IF(F859="","",IF(E859="","Diğer",E859))</f>
        <v/>
      </c>
      <c r="U859" s="32" t="str">
        <f aca="false">IF(OR(F859="",C859=""),"",IF(COUNTIF($C$2:C859,C859)=1,MAX($U$1:U858)+1,""))</f>
        <v/>
      </c>
    </row>
    <row r="860" customFormat="false" ht="15" hidden="false" customHeight="false" outlineLevel="0" collapsed="false">
      <c r="A860" s="34"/>
      <c r="B860" s="9"/>
      <c r="C860" s="34"/>
      <c r="D860" s="34"/>
      <c r="E860" s="34"/>
      <c r="F860" s="35"/>
      <c r="G860" s="9"/>
      <c r="H860" s="9"/>
      <c r="I860" s="34"/>
      <c r="J860" s="30" t="str">
        <f aca="false">IF(F860="","",G860-B860)</f>
        <v/>
      </c>
      <c r="K860" s="31" t="str">
        <f aca="false">IF(F860="","",IF(H860&lt;&gt;"",H860,MAX('Vade Sapması'!$D$3,G860)))</f>
        <v/>
      </c>
      <c r="L860" s="30" t="str">
        <f aca="false">IF(F860="","",K860-B860)</f>
        <v/>
      </c>
      <c r="M860" s="30" t="str">
        <f aca="false">IF(F860="","",L860-J860)</f>
        <v/>
      </c>
      <c r="N860" s="32" t="str">
        <f aca="false">IF(F860="","",IF(H860&lt;&gt;"","Kapandı",IF('Vade Sapması'!$D$3&gt;G860,"Açık · vadesi geçti","Açık · vadesi gelmedi")))</f>
        <v/>
      </c>
      <c r="O860" s="30" t="str">
        <f aca="false">IF(F860="","",IF(AND(H860="",'Vade Sapması'!$D$3&gt;G860),'Vade Sapması'!$D$3-G860,0))</f>
        <v/>
      </c>
      <c r="P860" s="33" t="str">
        <f aca="false">IF(F860="","",F860*J860)</f>
        <v/>
      </c>
      <c r="Q860" s="33" t="str">
        <f aca="false">IF(F860="","",F860*L860)</f>
        <v/>
      </c>
      <c r="R860" s="33" t="str">
        <f aca="false">IF(F860="","",IF(H860="",F860,0))</f>
        <v/>
      </c>
      <c r="S860" s="32" t="str">
        <f aca="false">IF(F860="","",IF(N(O860)=0,"",IF(O860&lt;=30,"1-30",IF(O860&lt;=60,"31-60",IF(O860&lt;=90,"61-90","90+")))))</f>
        <v/>
      </c>
      <c r="T860" s="32" t="str">
        <f aca="false">IF(F860="","",IF(E860="","Diğer",E860))</f>
        <v/>
      </c>
      <c r="U860" s="32" t="str">
        <f aca="false">IF(OR(F860="",C860=""),"",IF(COUNTIF($C$2:C860,C860)=1,MAX($U$1:U859)+1,""))</f>
        <v/>
      </c>
    </row>
    <row r="861" customFormat="false" ht="15" hidden="false" customHeight="false" outlineLevel="0" collapsed="false">
      <c r="A861" s="34"/>
      <c r="B861" s="9"/>
      <c r="C861" s="34"/>
      <c r="D861" s="34"/>
      <c r="E861" s="34"/>
      <c r="F861" s="35"/>
      <c r="G861" s="9"/>
      <c r="H861" s="9"/>
      <c r="I861" s="34"/>
      <c r="J861" s="30" t="str">
        <f aca="false">IF(F861="","",G861-B861)</f>
        <v/>
      </c>
      <c r="K861" s="31" t="str">
        <f aca="false">IF(F861="","",IF(H861&lt;&gt;"",H861,MAX('Vade Sapması'!$D$3,G861)))</f>
        <v/>
      </c>
      <c r="L861" s="30" t="str">
        <f aca="false">IF(F861="","",K861-B861)</f>
        <v/>
      </c>
      <c r="M861" s="30" t="str">
        <f aca="false">IF(F861="","",L861-J861)</f>
        <v/>
      </c>
      <c r="N861" s="32" t="str">
        <f aca="false">IF(F861="","",IF(H861&lt;&gt;"","Kapandı",IF('Vade Sapması'!$D$3&gt;G861,"Açık · vadesi geçti","Açık · vadesi gelmedi")))</f>
        <v/>
      </c>
      <c r="O861" s="30" t="str">
        <f aca="false">IF(F861="","",IF(AND(H861="",'Vade Sapması'!$D$3&gt;G861),'Vade Sapması'!$D$3-G861,0))</f>
        <v/>
      </c>
      <c r="P861" s="33" t="str">
        <f aca="false">IF(F861="","",F861*J861)</f>
        <v/>
      </c>
      <c r="Q861" s="33" t="str">
        <f aca="false">IF(F861="","",F861*L861)</f>
        <v/>
      </c>
      <c r="R861" s="33" t="str">
        <f aca="false">IF(F861="","",IF(H861="",F861,0))</f>
        <v/>
      </c>
      <c r="S861" s="32" t="str">
        <f aca="false">IF(F861="","",IF(N(O861)=0,"",IF(O861&lt;=30,"1-30",IF(O861&lt;=60,"31-60",IF(O861&lt;=90,"61-90","90+")))))</f>
        <v/>
      </c>
      <c r="T861" s="32" t="str">
        <f aca="false">IF(F861="","",IF(E861="","Diğer",E861))</f>
        <v/>
      </c>
      <c r="U861" s="32" t="str">
        <f aca="false">IF(OR(F861="",C861=""),"",IF(COUNTIF($C$2:C861,C861)=1,MAX($U$1:U860)+1,""))</f>
        <v/>
      </c>
    </row>
    <row r="862" customFormat="false" ht="15" hidden="false" customHeight="false" outlineLevel="0" collapsed="false">
      <c r="A862" s="34"/>
      <c r="B862" s="9"/>
      <c r="C862" s="34"/>
      <c r="D862" s="34"/>
      <c r="E862" s="34"/>
      <c r="F862" s="35"/>
      <c r="G862" s="9"/>
      <c r="H862" s="9"/>
      <c r="I862" s="34"/>
      <c r="J862" s="30" t="str">
        <f aca="false">IF(F862="","",G862-B862)</f>
        <v/>
      </c>
      <c r="K862" s="31" t="str">
        <f aca="false">IF(F862="","",IF(H862&lt;&gt;"",H862,MAX('Vade Sapması'!$D$3,G862)))</f>
        <v/>
      </c>
      <c r="L862" s="30" t="str">
        <f aca="false">IF(F862="","",K862-B862)</f>
        <v/>
      </c>
      <c r="M862" s="30" t="str">
        <f aca="false">IF(F862="","",L862-J862)</f>
        <v/>
      </c>
      <c r="N862" s="32" t="str">
        <f aca="false">IF(F862="","",IF(H862&lt;&gt;"","Kapandı",IF('Vade Sapması'!$D$3&gt;G862,"Açık · vadesi geçti","Açık · vadesi gelmedi")))</f>
        <v/>
      </c>
      <c r="O862" s="30" t="str">
        <f aca="false">IF(F862="","",IF(AND(H862="",'Vade Sapması'!$D$3&gt;G862),'Vade Sapması'!$D$3-G862,0))</f>
        <v/>
      </c>
      <c r="P862" s="33" t="str">
        <f aca="false">IF(F862="","",F862*J862)</f>
        <v/>
      </c>
      <c r="Q862" s="33" t="str">
        <f aca="false">IF(F862="","",F862*L862)</f>
        <v/>
      </c>
      <c r="R862" s="33" t="str">
        <f aca="false">IF(F862="","",IF(H862="",F862,0))</f>
        <v/>
      </c>
      <c r="S862" s="32" t="str">
        <f aca="false">IF(F862="","",IF(N(O862)=0,"",IF(O862&lt;=30,"1-30",IF(O862&lt;=60,"31-60",IF(O862&lt;=90,"61-90","90+")))))</f>
        <v/>
      </c>
      <c r="T862" s="32" t="str">
        <f aca="false">IF(F862="","",IF(E862="","Diğer",E862))</f>
        <v/>
      </c>
      <c r="U862" s="32" t="str">
        <f aca="false">IF(OR(F862="",C862=""),"",IF(COUNTIF($C$2:C862,C862)=1,MAX($U$1:U861)+1,""))</f>
        <v/>
      </c>
    </row>
    <row r="863" customFormat="false" ht="15" hidden="false" customHeight="false" outlineLevel="0" collapsed="false">
      <c r="A863" s="34"/>
      <c r="B863" s="9"/>
      <c r="C863" s="34"/>
      <c r="D863" s="34"/>
      <c r="E863" s="34"/>
      <c r="F863" s="35"/>
      <c r="G863" s="9"/>
      <c r="H863" s="9"/>
      <c r="I863" s="34"/>
      <c r="J863" s="30" t="str">
        <f aca="false">IF(F863="","",G863-B863)</f>
        <v/>
      </c>
      <c r="K863" s="31" t="str">
        <f aca="false">IF(F863="","",IF(H863&lt;&gt;"",H863,MAX('Vade Sapması'!$D$3,G863)))</f>
        <v/>
      </c>
      <c r="L863" s="30" t="str">
        <f aca="false">IF(F863="","",K863-B863)</f>
        <v/>
      </c>
      <c r="M863" s="30" t="str">
        <f aca="false">IF(F863="","",L863-J863)</f>
        <v/>
      </c>
      <c r="N863" s="32" t="str">
        <f aca="false">IF(F863="","",IF(H863&lt;&gt;"","Kapandı",IF('Vade Sapması'!$D$3&gt;G863,"Açık · vadesi geçti","Açık · vadesi gelmedi")))</f>
        <v/>
      </c>
      <c r="O863" s="30" t="str">
        <f aca="false">IF(F863="","",IF(AND(H863="",'Vade Sapması'!$D$3&gt;G863),'Vade Sapması'!$D$3-G863,0))</f>
        <v/>
      </c>
      <c r="P863" s="33" t="str">
        <f aca="false">IF(F863="","",F863*J863)</f>
        <v/>
      </c>
      <c r="Q863" s="33" t="str">
        <f aca="false">IF(F863="","",F863*L863)</f>
        <v/>
      </c>
      <c r="R863" s="33" t="str">
        <f aca="false">IF(F863="","",IF(H863="",F863,0))</f>
        <v/>
      </c>
      <c r="S863" s="32" t="str">
        <f aca="false">IF(F863="","",IF(N(O863)=0,"",IF(O863&lt;=30,"1-30",IF(O863&lt;=60,"31-60",IF(O863&lt;=90,"61-90","90+")))))</f>
        <v/>
      </c>
      <c r="T863" s="32" t="str">
        <f aca="false">IF(F863="","",IF(E863="","Diğer",E863))</f>
        <v/>
      </c>
      <c r="U863" s="32" t="str">
        <f aca="false">IF(OR(F863="",C863=""),"",IF(COUNTIF($C$2:C863,C863)=1,MAX($U$1:U862)+1,""))</f>
        <v/>
      </c>
    </row>
    <row r="864" customFormat="false" ht="15" hidden="false" customHeight="false" outlineLevel="0" collapsed="false">
      <c r="A864" s="34"/>
      <c r="B864" s="9"/>
      <c r="C864" s="34"/>
      <c r="D864" s="34"/>
      <c r="E864" s="34"/>
      <c r="F864" s="35"/>
      <c r="G864" s="9"/>
      <c r="H864" s="9"/>
      <c r="I864" s="34"/>
      <c r="J864" s="30" t="str">
        <f aca="false">IF(F864="","",G864-B864)</f>
        <v/>
      </c>
      <c r="K864" s="31" t="str">
        <f aca="false">IF(F864="","",IF(H864&lt;&gt;"",H864,MAX('Vade Sapması'!$D$3,G864)))</f>
        <v/>
      </c>
      <c r="L864" s="30" t="str">
        <f aca="false">IF(F864="","",K864-B864)</f>
        <v/>
      </c>
      <c r="M864" s="30" t="str">
        <f aca="false">IF(F864="","",L864-J864)</f>
        <v/>
      </c>
      <c r="N864" s="32" t="str">
        <f aca="false">IF(F864="","",IF(H864&lt;&gt;"","Kapandı",IF('Vade Sapması'!$D$3&gt;G864,"Açık · vadesi geçti","Açık · vadesi gelmedi")))</f>
        <v/>
      </c>
      <c r="O864" s="30" t="str">
        <f aca="false">IF(F864="","",IF(AND(H864="",'Vade Sapması'!$D$3&gt;G864),'Vade Sapması'!$D$3-G864,0))</f>
        <v/>
      </c>
      <c r="P864" s="33" t="str">
        <f aca="false">IF(F864="","",F864*J864)</f>
        <v/>
      </c>
      <c r="Q864" s="33" t="str">
        <f aca="false">IF(F864="","",F864*L864)</f>
        <v/>
      </c>
      <c r="R864" s="33" t="str">
        <f aca="false">IF(F864="","",IF(H864="",F864,0))</f>
        <v/>
      </c>
      <c r="S864" s="32" t="str">
        <f aca="false">IF(F864="","",IF(N(O864)=0,"",IF(O864&lt;=30,"1-30",IF(O864&lt;=60,"31-60",IF(O864&lt;=90,"61-90","90+")))))</f>
        <v/>
      </c>
      <c r="T864" s="32" t="str">
        <f aca="false">IF(F864="","",IF(E864="","Diğer",E864))</f>
        <v/>
      </c>
      <c r="U864" s="32" t="str">
        <f aca="false">IF(OR(F864="",C864=""),"",IF(COUNTIF($C$2:C864,C864)=1,MAX($U$1:U863)+1,""))</f>
        <v/>
      </c>
    </row>
    <row r="865" customFormat="false" ht="15" hidden="false" customHeight="false" outlineLevel="0" collapsed="false">
      <c r="A865" s="34"/>
      <c r="B865" s="9"/>
      <c r="C865" s="34"/>
      <c r="D865" s="34"/>
      <c r="E865" s="34"/>
      <c r="F865" s="35"/>
      <c r="G865" s="9"/>
      <c r="H865" s="9"/>
      <c r="I865" s="34"/>
      <c r="J865" s="30" t="str">
        <f aca="false">IF(F865="","",G865-B865)</f>
        <v/>
      </c>
      <c r="K865" s="31" t="str">
        <f aca="false">IF(F865="","",IF(H865&lt;&gt;"",H865,MAX('Vade Sapması'!$D$3,G865)))</f>
        <v/>
      </c>
      <c r="L865" s="30" t="str">
        <f aca="false">IF(F865="","",K865-B865)</f>
        <v/>
      </c>
      <c r="M865" s="30" t="str">
        <f aca="false">IF(F865="","",L865-J865)</f>
        <v/>
      </c>
      <c r="N865" s="32" t="str">
        <f aca="false">IF(F865="","",IF(H865&lt;&gt;"","Kapandı",IF('Vade Sapması'!$D$3&gt;G865,"Açık · vadesi geçti","Açık · vadesi gelmedi")))</f>
        <v/>
      </c>
      <c r="O865" s="30" t="str">
        <f aca="false">IF(F865="","",IF(AND(H865="",'Vade Sapması'!$D$3&gt;G865),'Vade Sapması'!$D$3-G865,0))</f>
        <v/>
      </c>
      <c r="P865" s="33" t="str">
        <f aca="false">IF(F865="","",F865*J865)</f>
        <v/>
      </c>
      <c r="Q865" s="33" t="str">
        <f aca="false">IF(F865="","",F865*L865)</f>
        <v/>
      </c>
      <c r="R865" s="33" t="str">
        <f aca="false">IF(F865="","",IF(H865="",F865,0))</f>
        <v/>
      </c>
      <c r="S865" s="32" t="str">
        <f aca="false">IF(F865="","",IF(N(O865)=0,"",IF(O865&lt;=30,"1-30",IF(O865&lt;=60,"31-60",IF(O865&lt;=90,"61-90","90+")))))</f>
        <v/>
      </c>
      <c r="T865" s="32" t="str">
        <f aca="false">IF(F865="","",IF(E865="","Diğer",E865))</f>
        <v/>
      </c>
      <c r="U865" s="32" t="str">
        <f aca="false">IF(OR(F865="",C865=""),"",IF(COUNTIF($C$2:C865,C865)=1,MAX($U$1:U864)+1,""))</f>
        <v/>
      </c>
    </row>
    <row r="866" customFormat="false" ht="15" hidden="false" customHeight="false" outlineLevel="0" collapsed="false">
      <c r="A866" s="34"/>
      <c r="B866" s="9"/>
      <c r="C866" s="34"/>
      <c r="D866" s="34"/>
      <c r="E866" s="34"/>
      <c r="F866" s="35"/>
      <c r="G866" s="9"/>
      <c r="H866" s="9"/>
      <c r="I866" s="34"/>
      <c r="J866" s="30" t="str">
        <f aca="false">IF(F866="","",G866-B866)</f>
        <v/>
      </c>
      <c r="K866" s="31" t="str">
        <f aca="false">IF(F866="","",IF(H866&lt;&gt;"",H866,MAX('Vade Sapması'!$D$3,G866)))</f>
        <v/>
      </c>
      <c r="L866" s="30" t="str">
        <f aca="false">IF(F866="","",K866-B866)</f>
        <v/>
      </c>
      <c r="M866" s="30" t="str">
        <f aca="false">IF(F866="","",L866-J866)</f>
        <v/>
      </c>
      <c r="N866" s="32" t="str">
        <f aca="false">IF(F866="","",IF(H866&lt;&gt;"","Kapandı",IF('Vade Sapması'!$D$3&gt;G866,"Açık · vadesi geçti","Açık · vadesi gelmedi")))</f>
        <v/>
      </c>
      <c r="O866" s="30" t="str">
        <f aca="false">IF(F866="","",IF(AND(H866="",'Vade Sapması'!$D$3&gt;G866),'Vade Sapması'!$D$3-G866,0))</f>
        <v/>
      </c>
      <c r="P866" s="33" t="str">
        <f aca="false">IF(F866="","",F866*J866)</f>
        <v/>
      </c>
      <c r="Q866" s="33" t="str">
        <f aca="false">IF(F866="","",F866*L866)</f>
        <v/>
      </c>
      <c r="R866" s="33" t="str">
        <f aca="false">IF(F866="","",IF(H866="",F866,0))</f>
        <v/>
      </c>
      <c r="S866" s="32" t="str">
        <f aca="false">IF(F866="","",IF(N(O866)=0,"",IF(O866&lt;=30,"1-30",IF(O866&lt;=60,"31-60",IF(O866&lt;=90,"61-90","90+")))))</f>
        <v/>
      </c>
      <c r="T866" s="32" t="str">
        <f aca="false">IF(F866="","",IF(E866="","Diğer",E866))</f>
        <v/>
      </c>
      <c r="U866" s="32" t="str">
        <f aca="false">IF(OR(F866="",C866=""),"",IF(COUNTIF($C$2:C866,C866)=1,MAX($U$1:U865)+1,""))</f>
        <v/>
      </c>
    </row>
    <row r="867" customFormat="false" ht="15" hidden="false" customHeight="false" outlineLevel="0" collapsed="false">
      <c r="A867" s="34"/>
      <c r="B867" s="9"/>
      <c r="C867" s="34"/>
      <c r="D867" s="34"/>
      <c r="E867" s="34"/>
      <c r="F867" s="35"/>
      <c r="G867" s="9"/>
      <c r="H867" s="9"/>
      <c r="I867" s="34"/>
      <c r="J867" s="30" t="str">
        <f aca="false">IF(F867="","",G867-B867)</f>
        <v/>
      </c>
      <c r="K867" s="31" t="str">
        <f aca="false">IF(F867="","",IF(H867&lt;&gt;"",H867,MAX('Vade Sapması'!$D$3,G867)))</f>
        <v/>
      </c>
      <c r="L867" s="30" t="str">
        <f aca="false">IF(F867="","",K867-B867)</f>
        <v/>
      </c>
      <c r="M867" s="30" t="str">
        <f aca="false">IF(F867="","",L867-J867)</f>
        <v/>
      </c>
      <c r="N867" s="32" t="str">
        <f aca="false">IF(F867="","",IF(H867&lt;&gt;"","Kapandı",IF('Vade Sapması'!$D$3&gt;G867,"Açık · vadesi geçti","Açık · vadesi gelmedi")))</f>
        <v/>
      </c>
      <c r="O867" s="30" t="str">
        <f aca="false">IF(F867="","",IF(AND(H867="",'Vade Sapması'!$D$3&gt;G867),'Vade Sapması'!$D$3-G867,0))</f>
        <v/>
      </c>
      <c r="P867" s="33" t="str">
        <f aca="false">IF(F867="","",F867*J867)</f>
        <v/>
      </c>
      <c r="Q867" s="33" t="str">
        <f aca="false">IF(F867="","",F867*L867)</f>
        <v/>
      </c>
      <c r="R867" s="33" t="str">
        <f aca="false">IF(F867="","",IF(H867="",F867,0))</f>
        <v/>
      </c>
      <c r="S867" s="32" t="str">
        <f aca="false">IF(F867="","",IF(N(O867)=0,"",IF(O867&lt;=30,"1-30",IF(O867&lt;=60,"31-60",IF(O867&lt;=90,"61-90","90+")))))</f>
        <v/>
      </c>
      <c r="T867" s="32" t="str">
        <f aca="false">IF(F867="","",IF(E867="","Diğer",E867))</f>
        <v/>
      </c>
      <c r="U867" s="32" t="str">
        <f aca="false">IF(OR(F867="",C867=""),"",IF(COUNTIF($C$2:C867,C867)=1,MAX($U$1:U866)+1,""))</f>
        <v/>
      </c>
    </row>
    <row r="868" customFormat="false" ht="15" hidden="false" customHeight="false" outlineLevel="0" collapsed="false">
      <c r="A868" s="34"/>
      <c r="B868" s="9"/>
      <c r="C868" s="34"/>
      <c r="D868" s="34"/>
      <c r="E868" s="34"/>
      <c r="F868" s="35"/>
      <c r="G868" s="9"/>
      <c r="H868" s="9"/>
      <c r="I868" s="34"/>
      <c r="J868" s="30" t="str">
        <f aca="false">IF(F868="","",G868-B868)</f>
        <v/>
      </c>
      <c r="K868" s="31" t="str">
        <f aca="false">IF(F868="","",IF(H868&lt;&gt;"",H868,MAX('Vade Sapması'!$D$3,G868)))</f>
        <v/>
      </c>
      <c r="L868" s="30" t="str">
        <f aca="false">IF(F868="","",K868-B868)</f>
        <v/>
      </c>
      <c r="M868" s="30" t="str">
        <f aca="false">IF(F868="","",L868-J868)</f>
        <v/>
      </c>
      <c r="N868" s="32" t="str">
        <f aca="false">IF(F868="","",IF(H868&lt;&gt;"","Kapandı",IF('Vade Sapması'!$D$3&gt;G868,"Açık · vadesi geçti","Açık · vadesi gelmedi")))</f>
        <v/>
      </c>
      <c r="O868" s="30" t="str">
        <f aca="false">IF(F868="","",IF(AND(H868="",'Vade Sapması'!$D$3&gt;G868),'Vade Sapması'!$D$3-G868,0))</f>
        <v/>
      </c>
      <c r="P868" s="33" t="str">
        <f aca="false">IF(F868="","",F868*J868)</f>
        <v/>
      </c>
      <c r="Q868" s="33" t="str">
        <f aca="false">IF(F868="","",F868*L868)</f>
        <v/>
      </c>
      <c r="R868" s="33" t="str">
        <f aca="false">IF(F868="","",IF(H868="",F868,0))</f>
        <v/>
      </c>
      <c r="S868" s="32" t="str">
        <f aca="false">IF(F868="","",IF(N(O868)=0,"",IF(O868&lt;=30,"1-30",IF(O868&lt;=60,"31-60",IF(O868&lt;=90,"61-90","90+")))))</f>
        <v/>
      </c>
      <c r="T868" s="32" t="str">
        <f aca="false">IF(F868="","",IF(E868="","Diğer",E868))</f>
        <v/>
      </c>
      <c r="U868" s="32" t="str">
        <f aca="false">IF(OR(F868="",C868=""),"",IF(COUNTIF($C$2:C868,C868)=1,MAX($U$1:U867)+1,""))</f>
        <v/>
      </c>
    </row>
    <row r="869" customFormat="false" ht="15" hidden="false" customHeight="false" outlineLevel="0" collapsed="false">
      <c r="A869" s="34"/>
      <c r="B869" s="9"/>
      <c r="C869" s="34"/>
      <c r="D869" s="34"/>
      <c r="E869" s="34"/>
      <c r="F869" s="35"/>
      <c r="G869" s="9"/>
      <c r="H869" s="9"/>
      <c r="I869" s="34"/>
      <c r="J869" s="30" t="str">
        <f aca="false">IF(F869="","",G869-B869)</f>
        <v/>
      </c>
      <c r="K869" s="31" t="str">
        <f aca="false">IF(F869="","",IF(H869&lt;&gt;"",H869,MAX('Vade Sapması'!$D$3,G869)))</f>
        <v/>
      </c>
      <c r="L869" s="30" t="str">
        <f aca="false">IF(F869="","",K869-B869)</f>
        <v/>
      </c>
      <c r="M869" s="30" t="str">
        <f aca="false">IF(F869="","",L869-J869)</f>
        <v/>
      </c>
      <c r="N869" s="32" t="str">
        <f aca="false">IF(F869="","",IF(H869&lt;&gt;"","Kapandı",IF('Vade Sapması'!$D$3&gt;G869,"Açık · vadesi geçti","Açık · vadesi gelmedi")))</f>
        <v/>
      </c>
      <c r="O869" s="30" t="str">
        <f aca="false">IF(F869="","",IF(AND(H869="",'Vade Sapması'!$D$3&gt;G869),'Vade Sapması'!$D$3-G869,0))</f>
        <v/>
      </c>
      <c r="P869" s="33" t="str">
        <f aca="false">IF(F869="","",F869*J869)</f>
        <v/>
      </c>
      <c r="Q869" s="33" t="str">
        <f aca="false">IF(F869="","",F869*L869)</f>
        <v/>
      </c>
      <c r="R869" s="33" t="str">
        <f aca="false">IF(F869="","",IF(H869="",F869,0))</f>
        <v/>
      </c>
      <c r="S869" s="32" t="str">
        <f aca="false">IF(F869="","",IF(N(O869)=0,"",IF(O869&lt;=30,"1-30",IF(O869&lt;=60,"31-60",IF(O869&lt;=90,"61-90","90+")))))</f>
        <v/>
      </c>
      <c r="T869" s="32" t="str">
        <f aca="false">IF(F869="","",IF(E869="","Diğer",E869))</f>
        <v/>
      </c>
      <c r="U869" s="32" t="str">
        <f aca="false">IF(OR(F869="",C869=""),"",IF(COUNTIF($C$2:C869,C869)=1,MAX($U$1:U868)+1,""))</f>
        <v/>
      </c>
    </row>
    <row r="870" customFormat="false" ht="15" hidden="false" customHeight="false" outlineLevel="0" collapsed="false">
      <c r="A870" s="34"/>
      <c r="B870" s="9"/>
      <c r="C870" s="34"/>
      <c r="D870" s="34"/>
      <c r="E870" s="34"/>
      <c r="F870" s="35"/>
      <c r="G870" s="9"/>
      <c r="H870" s="9"/>
      <c r="I870" s="34"/>
      <c r="J870" s="30" t="str">
        <f aca="false">IF(F870="","",G870-B870)</f>
        <v/>
      </c>
      <c r="K870" s="31" t="str">
        <f aca="false">IF(F870="","",IF(H870&lt;&gt;"",H870,MAX('Vade Sapması'!$D$3,G870)))</f>
        <v/>
      </c>
      <c r="L870" s="30" t="str">
        <f aca="false">IF(F870="","",K870-B870)</f>
        <v/>
      </c>
      <c r="M870" s="30" t="str">
        <f aca="false">IF(F870="","",L870-J870)</f>
        <v/>
      </c>
      <c r="N870" s="32" t="str">
        <f aca="false">IF(F870="","",IF(H870&lt;&gt;"","Kapandı",IF('Vade Sapması'!$D$3&gt;G870,"Açık · vadesi geçti","Açık · vadesi gelmedi")))</f>
        <v/>
      </c>
      <c r="O870" s="30" t="str">
        <f aca="false">IF(F870="","",IF(AND(H870="",'Vade Sapması'!$D$3&gt;G870),'Vade Sapması'!$D$3-G870,0))</f>
        <v/>
      </c>
      <c r="P870" s="33" t="str">
        <f aca="false">IF(F870="","",F870*J870)</f>
        <v/>
      </c>
      <c r="Q870" s="33" t="str">
        <f aca="false">IF(F870="","",F870*L870)</f>
        <v/>
      </c>
      <c r="R870" s="33" t="str">
        <f aca="false">IF(F870="","",IF(H870="",F870,0))</f>
        <v/>
      </c>
      <c r="S870" s="32" t="str">
        <f aca="false">IF(F870="","",IF(N(O870)=0,"",IF(O870&lt;=30,"1-30",IF(O870&lt;=60,"31-60",IF(O870&lt;=90,"61-90","90+")))))</f>
        <v/>
      </c>
      <c r="T870" s="32" t="str">
        <f aca="false">IF(F870="","",IF(E870="","Diğer",E870))</f>
        <v/>
      </c>
      <c r="U870" s="32" t="str">
        <f aca="false">IF(OR(F870="",C870=""),"",IF(COUNTIF($C$2:C870,C870)=1,MAX($U$1:U869)+1,""))</f>
        <v/>
      </c>
    </row>
    <row r="871" customFormat="false" ht="15" hidden="false" customHeight="false" outlineLevel="0" collapsed="false">
      <c r="A871" s="34"/>
      <c r="B871" s="9"/>
      <c r="C871" s="34"/>
      <c r="D871" s="34"/>
      <c r="E871" s="34"/>
      <c r="F871" s="35"/>
      <c r="G871" s="9"/>
      <c r="H871" s="9"/>
      <c r="I871" s="34"/>
      <c r="J871" s="30" t="str">
        <f aca="false">IF(F871="","",G871-B871)</f>
        <v/>
      </c>
      <c r="K871" s="31" t="str">
        <f aca="false">IF(F871="","",IF(H871&lt;&gt;"",H871,MAX('Vade Sapması'!$D$3,G871)))</f>
        <v/>
      </c>
      <c r="L871" s="30" t="str">
        <f aca="false">IF(F871="","",K871-B871)</f>
        <v/>
      </c>
      <c r="M871" s="30" t="str">
        <f aca="false">IF(F871="","",L871-J871)</f>
        <v/>
      </c>
      <c r="N871" s="32" t="str">
        <f aca="false">IF(F871="","",IF(H871&lt;&gt;"","Kapandı",IF('Vade Sapması'!$D$3&gt;G871,"Açık · vadesi geçti","Açık · vadesi gelmedi")))</f>
        <v/>
      </c>
      <c r="O871" s="30" t="str">
        <f aca="false">IF(F871="","",IF(AND(H871="",'Vade Sapması'!$D$3&gt;G871),'Vade Sapması'!$D$3-G871,0))</f>
        <v/>
      </c>
      <c r="P871" s="33" t="str">
        <f aca="false">IF(F871="","",F871*J871)</f>
        <v/>
      </c>
      <c r="Q871" s="33" t="str">
        <f aca="false">IF(F871="","",F871*L871)</f>
        <v/>
      </c>
      <c r="R871" s="33" t="str">
        <f aca="false">IF(F871="","",IF(H871="",F871,0))</f>
        <v/>
      </c>
      <c r="S871" s="32" t="str">
        <f aca="false">IF(F871="","",IF(N(O871)=0,"",IF(O871&lt;=30,"1-30",IF(O871&lt;=60,"31-60",IF(O871&lt;=90,"61-90","90+")))))</f>
        <v/>
      </c>
      <c r="T871" s="32" t="str">
        <f aca="false">IF(F871="","",IF(E871="","Diğer",E871))</f>
        <v/>
      </c>
      <c r="U871" s="32" t="str">
        <f aca="false">IF(OR(F871="",C871=""),"",IF(COUNTIF($C$2:C871,C871)=1,MAX($U$1:U870)+1,""))</f>
        <v/>
      </c>
    </row>
    <row r="872" customFormat="false" ht="15" hidden="false" customHeight="false" outlineLevel="0" collapsed="false">
      <c r="A872" s="34"/>
      <c r="B872" s="9"/>
      <c r="C872" s="34"/>
      <c r="D872" s="34"/>
      <c r="E872" s="34"/>
      <c r="F872" s="35"/>
      <c r="G872" s="9"/>
      <c r="H872" s="9"/>
      <c r="I872" s="34"/>
      <c r="J872" s="30" t="str">
        <f aca="false">IF(F872="","",G872-B872)</f>
        <v/>
      </c>
      <c r="K872" s="31" t="str">
        <f aca="false">IF(F872="","",IF(H872&lt;&gt;"",H872,MAX('Vade Sapması'!$D$3,G872)))</f>
        <v/>
      </c>
      <c r="L872" s="30" t="str">
        <f aca="false">IF(F872="","",K872-B872)</f>
        <v/>
      </c>
      <c r="M872" s="30" t="str">
        <f aca="false">IF(F872="","",L872-J872)</f>
        <v/>
      </c>
      <c r="N872" s="32" t="str">
        <f aca="false">IF(F872="","",IF(H872&lt;&gt;"","Kapandı",IF('Vade Sapması'!$D$3&gt;G872,"Açık · vadesi geçti","Açık · vadesi gelmedi")))</f>
        <v/>
      </c>
      <c r="O872" s="30" t="str">
        <f aca="false">IF(F872="","",IF(AND(H872="",'Vade Sapması'!$D$3&gt;G872),'Vade Sapması'!$D$3-G872,0))</f>
        <v/>
      </c>
      <c r="P872" s="33" t="str">
        <f aca="false">IF(F872="","",F872*J872)</f>
        <v/>
      </c>
      <c r="Q872" s="33" t="str">
        <f aca="false">IF(F872="","",F872*L872)</f>
        <v/>
      </c>
      <c r="R872" s="33" t="str">
        <f aca="false">IF(F872="","",IF(H872="",F872,0))</f>
        <v/>
      </c>
      <c r="S872" s="32" t="str">
        <f aca="false">IF(F872="","",IF(N(O872)=0,"",IF(O872&lt;=30,"1-30",IF(O872&lt;=60,"31-60",IF(O872&lt;=90,"61-90","90+")))))</f>
        <v/>
      </c>
      <c r="T872" s="32" t="str">
        <f aca="false">IF(F872="","",IF(E872="","Diğer",E872))</f>
        <v/>
      </c>
      <c r="U872" s="32" t="str">
        <f aca="false">IF(OR(F872="",C872=""),"",IF(COUNTIF($C$2:C872,C872)=1,MAX($U$1:U871)+1,""))</f>
        <v/>
      </c>
    </row>
    <row r="873" customFormat="false" ht="15" hidden="false" customHeight="false" outlineLevel="0" collapsed="false">
      <c r="A873" s="34"/>
      <c r="B873" s="9"/>
      <c r="C873" s="34"/>
      <c r="D873" s="34"/>
      <c r="E873" s="34"/>
      <c r="F873" s="35"/>
      <c r="G873" s="9"/>
      <c r="H873" s="9"/>
      <c r="I873" s="34"/>
      <c r="J873" s="30" t="str">
        <f aca="false">IF(F873="","",G873-B873)</f>
        <v/>
      </c>
      <c r="K873" s="31" t="str">
        <f aca="false">IF(F873="","",IF(H873&lt;&gt;"",H873,MAX('Vade Sapması'!$D$3,G873)))</f>
        <v/>
      </c>
      <c r="L873" s="30" t="str">
        <f aca="false">IF(F873="","",K873-B873)</f>
        <v/>
      </c>
      <c r="M873" s="30" t="str">
        <f aca="false">IF(F873="","",L873-J873)</f>
        <v/>
      </c>
      <c r="N873" s="32" t="str">
        <f aca="false">IF(F873="","",IF(H873&lt;&gt;"","Kapandı",IF('Vade Sapması'!$D$3&gt;G873,"Açık · vadesi geçti","Açık · vadesi gelmedi")))</f>
        <v/>
      </c>
      <c r="O873" s="30" t="str">
        <f aca="false">IF(F873="","",IF(AND(H873="",'Vade Sapması'!$D$3&gt;G873),'Vade Sapması'!$D$3-G873,0))</f>
        <v/>
      </c>
      <c r="P873" s="33" t="str">
        <f aca="false">IF(F873="","",F873*J873)</f>
        <v/>
      </c>
      <c r="Q873" s="33" t="str">
        <f aca="false">IF(F873="","",F873*L873)</f>
        <v/>
      </c>
      <c r="R873" s="33" t="str">
        <f aca="false">IF(F873="","",IF(H873="",F873,0))</f>
        <v/>
      </c>
      <c r="S873" s="32" t="str">
        <f aca="false">IF(F873="","",IF(N(O873)=0,"",IF(O873&lt;=30,"1-30",IF(O873&lt;=60,"31-60",IF(O873&lt;=90,"61-90","90+")))))</f>
        <v/>
      </c>
      <c r="T873" s="32" t="str">
        <f aca="false">IF(F873="","",IF(E873="","Diğer",E873))</f>
        <v/>
      </c>
      <c r="U873" s="32" t="str">
        <f aca="false">IF(OR(F873="",C873=""),"",IF(COUNTIF($C$2:C873,C873)=1,MAX($U$1:U872)+1,""))</f>
        <v/>
      </c>
    </row>
    <row r="874" customFormat="false" ht="15" hidden="false" customHeight="false" outlineLevel="0" collapsed="false">
      <c r="A874" s="34"/>
      <c r="B874" s="9"/>
      <c r="C874" s="34"/>
      <c r="D874" s="34"/>
      <c r="E874" s="34"/>
      <c r="F874" s="35"/>
      <c r="G874" s="9"/>
      <c r="H874" s="9"/>
      <c r="I874" s="34"/>
      <c r="J874" s="30" t="str">
        <f aca="false">IF(F874="","",G874-B874)</f>
        <v/>
      </c>
      <c r="K874" s="31" t="str">
        <f aca="false">IF(F874="","",IF(H874&lt;&gt;"",H874,MAX('Vade Sapması'!$D$3,G874)))</f>
        <v/>
      </c>
      <c r="L874" s="30" t="str">
        <f aca="false">IF(F874="","",K874-B874)</f>
        <v/>
      </c>
      <c r="M874" s="30" t="str">
        <f aca="false">IF(F874="","",L874-J874)</f>
        <v/>
      </c>
      <c r="N874" s="32" t="str">
        <f aca="false">IF(F874="","",IF(H874&lt;&gt;"","Kapandı",IF('Vade Sapması'!$D$3&gt;G874,"Açık · vadesi geçti","Açık · vadesi gelmedi")))</f>
        <v/>
      </c>
      <c r="O874" s="30" t="str">
        <f aca="false">IF(F874="","",IF(AND(H874="",'Vade Sapması'!$D$3&gt;G874),'Vade Sapması'!$D$3-G874,0))</f>
        <v/>
      </c>
      <c r="P874" s="33" t="str">
        <f aca="false">IF(F874="","",F874*J874)</f>
        <v/>
      </c>
      <c r="Q874" s="33" t="str">
        <f aca="false">IF(F874="","",F874*L874)</f>
        <v/>
      </c>
      <c r="R874" s="33" t="str">
        <f aca="false">IF(F874="","",IF(H874="",F874,0))</f>
        <v/>
      </c>
      <c r="S874" s="32" t="str">
        <f aca="false">IF(F874="","",IF(N(O874)=0,"",IF(O874&lt;=30,"1-30",IF(O874&lt;=60,"31-60",IF(O874&lt;=90,"61-90","90+")))))</f>
        <v/>
      </c>
      <c r="T874" s="32" t="str">
        <f aca="false">IF(F874="","",IF(E874="","Diğer",E874))</f>
        <v/>
      </c>
      <c r="U874" s="32" t="str">
        <f aca="false">IF(OR(F874="",C874=""),"",IF(COUNTIF($C$2:C874,C874)=1,MAX($U$1:U873)+1,""))</f>
        <v/>
      </c>
    </row>
    <row r="875" customFormat="false" ht="15" hidden="false" customHeight="false" outlineLevel="0" collapsed="false">
      <c r="A875" s="34"/>
      <c r="B875" s="9"/>
      <c r="C875" s="34"/>
      <c r="D875" s="34"/>
      <c r="E875" s="34"/>
      <c r="F875" s="35"/>
      <c r="G875" s="9"/>
      <c r="H875" s="9"/>
      <c r="I875" s="34"/>
      <c r="J875" s="30" t="str">
        <f aca="false">IF(F875="","",G875-B875)</f>
        <v/>
      </c>
      <c r="K875" s="31" t="str">
        <f aca="false">IF(F875="","",IF(H875&lt;&gt;"",H875,MAX('Vade Sapması'!$D$3,G875)))</f>
        <v/>
      </c>
      <c r="L875" s="30" t="str">
        <f aca="false">IF(F875="","",K875-B875)</f>
        <v/>
      </c>
      <c r="M875" s="30" t="str">
        <f aca="false">IF(F875="","",L875-J875)</f>
        <v/>
      </c>
      <c r="N875" s="32" t="str">
        <f aca="false">IF(F875="","",IF(H875&lt;&gt;"","Kapandı",IF('Vade Sapması'!$D$3&gt;G875,"Açık · vadesi geçti","Açık · vadesi gelmedi")))</f>
        <v/>
      </c>
      <c r="O875" s="30" t="str">
        <f aca="false">IF(F875="","",IF(AND(H875="",'Vade Sapması'!$D$3&gt;G875),'Vade Sapması'!$D$3-G875,0))</f>
        <v/>
      </c>
      <c r="P875" s="33" t="str">
        <f aca="false">IF(F875="","",F875*J875)</f>
        <v/>
      </c>
      <c r="Q875" s="33" t="str">
        <f aca="false">IF(F875="","",F875*L875)</f>
        <v/>
      </c>
      <c r="R875" s="33" t="str">
        <f aca="false">IF(F875="","",IF(H875="",F875,0))</f>
        <v/>
      </c>
      <c r="S875" s="32" t="str">
        <f aca="false">IF(F875="","",IF(N(O875)=0,"",IF(O875&lt;=30,"1-30",IF(O875&lt;=60,"31-60",IF(O875&lt;=90,"61-90","90+")))))</f>
        <v/>
      </c>
      <c r="T875" s="32" t="str">
        <f aca="false">IF(F875="","",IF(E875="","Diğer",E875))</f>
        <v/>
      </c>
      <c r="U875" s="32" t="str">
        <f aca="false">IF(OR(F875="",C875=""),"",IF(COUNTIF($C$2:C875,C875)=1,MAX($U$1:U874)+1,""))</f>
        <v/>
      </c>
    </row>
    <row r="876" customFormat="false" ht="15" hidden="false" customHeight="false" outlineLevel="0" collapsed="false">
      <c r="A876" s="34"/>
      <c r="B876" s="9"/>
      <c r="C876" s="34"/>
      <c r="D876" s="34"/>
      <c r="E876" s="34"/>
      <c r="F876" s="35"/>
      <c r="G876" s="9"/>
      <c r="H876" s="9"/>
      <c r="I876" s="34"/>
      <c r="J876" s="30" t="str">
        <f aca="false">IF(F876="","",G876-B876)</f>
        <v/>
      </c>
      <c r="K876" s="31" t="str">
        <f aca="false">IF(F876="","",IF(H876&lt;&gt;"",H876,MAX('Vade Sapması'!$D$3,G876)))</f>
        <v/>
      </c>
      <c r="L876" s="30" t="str">
        <f aca="false">IF(F876="","",K876-B876)</f>
        <v/>
      </c>
      <c r="M876" s="30" t="str">
        <f aca="false">IF(F876="","",L876-J876)</f>
        <v/>
      </c>
      <c r="N876" s="32" t="str">
        <f aca="false">IF(F876="","",IF(H876&lt;&gt;"","Kapandı",IF('Vade Sapması'!$D$3&gt;G876,"Açık · vadesi geçti","Açık · vadesi gelmedi")))</f>
        <v/>
      </c>
      <c r="O876" s="30" t="str">
        <f aca="false">IF(F876="","",IF(AND(H876="",'Vade Sapması'!$D$3&gt;G876),'Vade Sapması'!$D$3-G876,0))</f>
        <v/>
      </c>
      <c r="P876" s="33" t="str">
        <f aca="false">IF(F876="","",F876*J876)</f>
        <v/>
      </c>
      <c r="Q876" s="33" t="str">
        <f aca="false">IF(F876="","",F876*L876)</f>
        <v/>
      </c>
      <c r="R876" s="33" t="str">
        <f aca="false">IF(F876="","",IF(H876="",F876,0))</f>
        <v/>
      </c>
      <c r="S876" s="32" t="str">
        <f aca="false">IF(F876="","",IF(N(O876)=0,"",IF(O876&lt;=30,"1-30",IF(O876&lt;=60,"31-60",IF(O876&lt;=90,"61-90","90+")))))</f>
        <v/>
      </c>
      <c r="T876" s="32" t="str">
        <f aca="false">IF(F876="","",IF(E876="","Diğer",E876))</f>
        <v/>
      </c>
      <c r="U876" s="32" t="str">
        <f aca="false">IF(OR(F876="",C876=""),"",IF(COUNTIF($C$2:C876,C876)=1,MAX($U$1:U875)+1,""))</f>
        <v/>
      </c>
    </row>
    <row r="877" customFormat="false" ht="15" hidden="false" customHeight="false" outlineLevel="0" collapsed="false">
      <c r="A877" s="34"/>
      <c r="B877" s="9"/>
      <c r="C877" s="34"/>
      <c r="D877" s="34"/>
      <c r="E877" s="34"/>
      <c r="F877" s="35"/>
      <c r="G877" s="9"/>
      <c r="H877" s="9"/>
      <c r="I877" s="34"/>
      <c r="J877" s="30" t="str">
        <f aca="false">IF(F877="","",G877-B877)</f>
        <v/>
      </c>
      <c r="K877" s="31" t="str">
        <f aca="false">IF(F877="","",IF(H877&lt;&gt;"",H877,MAX('Vade Sapması'!$D$3,G877)))</f>
        <v/>
      </c>
      <c r="L877" s="30" t="str">
        <f aca="false">IF(F877="","",K877-B877)</f>
        <v/>
      </c>
      <c r="M877" s="30" t="str">
        <f aca="false">IF(F877="","",L877-J877)</f>
        <v/>
      </c>
      <c r="N877" s="32" t="str">
        <f aca="false">IF(F877="","",IF(H877&lt;&gt;"","Kapandı",IF('Vade Sapması'!$D$3&gt;G877,"Açık · vadesi geçti","Açık · vadesi gelmedi")))</f>
        <v/>
      </c>
      <c r="O877" s="30" t="str">
        <f aca="false">IF(F877="","",IF(AND(H877="",'Vade Sapması'!$D$3&gt;G877),'Vade Sapması'!$D$3-G877,0))</f>
        <v/>
      </c>
      <c r="P877" s="33" t="str">
        <f aca="false">IF(F877="","",F877*J877)</f>
        <v/>
      </c>
      <c r="Q877" s="33" t="str">
        <f aca="false">IF(F877="","",F877*L877)</f>
        <v/>
      </c>
      <c r="R877" s="33" t="str">
        <f aca="false">IF(F877="","",IF(H877="",F877,0))</f>
        <v/>
      </c>
      <c r="S877" s="32" t="str">
        <f aca="false">IF(F877="","",IF(N(O877)=0,"",IF(O877&lt;=30,"1-30",IF(O877&lt;=60,"31-60",IF(O877&lt;=90,"61-90","90+")))))</f>
        <v/>
      </c>
      <c r="T877" s="32" t="str">
        <f aca="false">IF(F877="","",IF(E877="","Diğer",E877))</f>
        <v/>
      </c>
      <c r="U877" s="32" t="str">
        <f aca="false">IF(OR(F877="",C877=""),"",IF(COUNTIF($C$2:C877,C877)=1,MAX($U$1:U876)+1,""))</f>
        <v/>
      </c>
    </row>
    <row r="878" customFormat="false" ht="15" hidden="false" customHeight="false" outlineLevel="0" collapsed="false">
      <c r="A878" s="34"/>
      <c r="B878" s="9"/>
      <c r="C878" s="34"/>
      <c r="D878" s="34"/>
      <c r="E878" s="34"/>
      <c r="F878" s="35"/>
      <c r="G878" s="9"/>
      <c r="H878" s="9"/>
      <c r="I878" s="34"/>
      <c r="J878" s="30" t="str">
        <f aca="false">IF(F878="","",G878-B878)</f>
        <v/>
      </c>
      <c r="K878" s="31" t="str">
        <f aca="false">IF(F878="","",IF(H878&lt;&gt;"",H878,MAX('Vade Sapması'!$D$3,G878)))</f>
        <v/>
      </c>
      <c r="L878" s="30" t="str">
        <f aca="false">IF(F878="","",K878-B878)</f>
        <v/>
      </c>
      <c r="M878" s="30" t="str">
        <f aca="false">IF(F878="","",L878-J878)</f>
        <v/>
      </c>
      <c r="N878" s="32" t="str">
        <f aca="false">IF(F878="","",IF(H878&lt;&gt;"","Kapandı",IF('Vade Sapması'!$D$3&gt;G878,"Açık · vadesi geçti","Açık · vadesi gelmedi")))</f>
        <v/>
      </c>
      <c r="O878" s="30" t="str">
        <f aca="false">IF(F878="","",IF(AND(H878="",'Vade Sapması'!$D$3&gt;G878),'Vade Sapması'!$D$3-G878,0))</f>
        <v/>
      </c>
      <c r="P878" s="33" t="str">
        <f aca="false">IF(F878="","",F878*J878)</f>
        <v/>
      </c>
      <c r="Q878" s="33" t="str">
        <f aca="false">IF(F878="","",F878*L878)</f>
        <v/>
      </c>
      <c r="R878" s="33" t="str">
        <f aca="false">IF(F878="","",IF(H878="",F878,0))</f>
        <v/>
      </c>
      <c r="S878" s="32" t="str">
        <f aca="false">IF(F878="","",IF(N(O878)=0,"",IF(O878&lt;=30,"1-30",IF(O878&lt;=60,"31-60",IF(O878&lt;=90,"61-90","90+")))))</f>
        <v/>
      </c>
      <c r="T878" s="32" t="str">
        <f aca="false">IF(F878="","",IF(E878="","Diğer",E878))</f>
        <v/>
      </c>
      <c r="U878" s="32" t="str">
        <f aca="false">IF(OR(F878="",C878=""),"",IF(COUNTIF($C$2:C878,C878)=1,MAX($U$1:U877)+1,""))</f>
        <v/>
      </c>
    </row>
    <row r="879" customFormat="false" ht="15" hidden="false" customHeight="false" outlineLevel="0" collapsed="false">
      <c r="A879" s="34"/>
      <c r="B879" s="9"/>
      <c r="C879" s="34"/>
      <c r="D879" s="34"/>
      <c r="E879" s="34"/>
      <c r="F879" s="35"/>
      <c r="G879" s="9"/>
      <c r="H879" s="9"/>
      <c r="I879" s="34"/>
      <c r="J879" s="30" t="str">
        <f aca="false">IF(F879="","",G879-B879)</f>
        <v/>
      </c>
      <c r="K879" s="31" t="str">
        <f aca="false">IF(F879="","",IF(H879&lt;&gt;"",H879,MAX('Vade Sapması'!$D$3,G879)))</f>
        <v/>
      </c>
      <c r="L879" s="30" t="str">
        <f aca="false">IF(F879="","",K879-B879)</f>
        <v/>
      </c>
      <c r="M879" s="30" t="str">
        <f aca="false">IF(F879="","",L879-J879)</f>
        <v/>
      </c>
      <c r="N879" s="32" t="str">
        <f aca="false">IF(F879="","",IF(H879&lt;&gt;"","Kapandı",IF('Vade Sapması'!$D$3&gt;G879,"Açık · vadesi geçti","Açık · vadesi gelmedi")))</f>
        <v/>
      </c>
      <c r="O879" s="30" t="str">
        <f aca="false">IF(F879="","",IF(AND(H879="",'Vade Sapması'!$D$3&gt;G879),'Vade Sapması'!$D$3-G879,0))</f>
        <v/>
      </c>
      <c r="P879" s="33" t="str">
        <f aca="false">IF(F879="","",F879*J879)</f>
        <v/>
      </c>
      <c r="Q879" s="33" t="str">
        <f aca="false">IF(F879="","",F879*L879)</f>
        <v/>
      </c>
      <c r="R879" s="33" t="str">
        <f aca="false">IF(F879="","",IF(H879="",F879,0))</f>
        <v/>
      </c>
      <c r="S879" s="32" t="str">
        <f aca="false">IF(F879="","",IF(N(O879)=0,"",IF(O879&lt;=30,"1-30",IF(O879&lt;=60,"31-60",IF(O879&lt;=90,"61-90","90+")))))</f>
        <v/>
      </c>
      <c r="T879" s="32" t="str">
        <f aca="false">IF(F879="","",IF(E879="","Diğer",E879))</f>
        <v/>
      </c>
      <c r="U879" s="32" t="str">
        <f aca="false">IF(OR(F879="",C879=""),"",IF(COUNTIF($C$2:C879,C879)=1,MAX($U$1:U878)+1,""))</f>
        <v/>
      </c>
    </row>
    <row r="880" customFormat="false" ht="15" hidden="false" customHeight="false" outlineLevel="0" collapsed="false">
      <c r="A880" s="34"/>
      <c r="B880" s="9"/>
      <c r="C880" s="34"/>
      <c r="D880" s="34"/>
      <c r="E880" s="34"/>
      <c r="F880" s="35"/>
      <c r="G880" s="9"/>
      <c r="H880" s="9"/>
      <c r="I880" s="34"/>
      <c r="J880" s="30" t="str">
        <f aca="false">IF(F880="","",G880-B880)</f>
        <v/>
      </c>
      <c r="K880" s="31" t="str">
        <f aca="false">IF(F880="","",IF(H880&lt;&gt;"",H880,MAX('Vade Sapması'!$D$3,G880)))</f>
        <v/>
      </c>
      <c r="L880" s="30" t="str">
        <f aca="false">IF(F880="","",K880-B880)</f>
        <v/>
      </c>
      <c r="M880" s="30" t="str">
        <f aca="false">IF(F880="","",L880-J880)</f>
        <v/>
      </c>
      <c r="N880" s="32" t="str">
        <f aca="false">IF(F880="","",IF(H880&lt;&gt;"","Kapandı",IF('Vade Sapması'!$D$3&gt;G880,"Açık · vadesi geçti","Açık · vadesi gelmedi")))</f>
        <v/>
      </c>
      <c r="O880" s="30" t="str">
        <f aca="false">IF(F880="","",IF(AND(H880="",'Vade Sapması'!$D$3&gt;G880),'Vade Sapması'!$D$3-G880,0))</f>
        <v/>
      </c>
      <c r="P880" s="33" t="str">
        <f aca="false">IF(F880="","",F880*J880)</f>
        <v/>
      </c>
      <c r="Q880" s="33" t="str">
        <f aca="false">IF(F880="","",F880*L880)</f>
        <v/>
      </c>
      <c r="R880" s="33" t="str">
        <f aca="false">IF(F880="","",IF(H880="",F880,0))</f>
        <v/>
      </c>
      <c r="S880" s="32" t="str">
        <f aca="false">IF(F880="","",IF(N(O880)=0,"",IF(O880&lt;=30,"1-30",IF(O880&lt;=60,"31-60",IF(O880&lt;=90,"61-90","90+")))))</f>
        <v/>
      </c>
      <c r="T880" s="32" t="str">
        <f aca="false">IF(F880="","",IF(E880="","Diğer",E880))</f>
        <v/>
      </c>
      <c r="U880" s="32" t="str">
        <f aca="false">IF(OR(F880="",C880=""),"",IF(COUNTIF($C$2:C880,C880)=1,MAX($U$1:U879)+1,""))</f>
        <v/>
      </c>
    </row>
    <row r="881" customFormat="false" ht="15" hidden="false" customHeight="false" outlineLevel="0" collapsed="false">
      <c r="A881" s="34"/>
      <c r="B881" s="9"/>
      <c r="C881" s="34"/>
      <c r="D881" s="34"/>
      <c r="E881" s="34"/>
      <c r="F881" s="35"/>
      <c r="G881" s="9"/>
      <c r="H881" s="9"/>
      <c r="I881" s="34"/>
      <c r="J881" s="30" t="str">
        <f aca="false">IF(F881="","",G881-B881)</f>
        <v/>
      </c>
      <c r="K881" s="31" t="str">
        <f aca="false">IF(F881="","",IF(H881&lt;&gt;"",H881,MAX('Vade Sapması'!$D$3,G881)))</f>
        <v/>
      </c>
      <c r="L881" s="30" t="str">
        <f aca="false">IF(F881="","",K881-B881)</f>
        <v/>
      </c>
      <c r="M881" s="30" t="str">
        <f aca="false">IF(F881="","",L881-J881)</f>
        <v/>
      </c>
      <c r="N881" s="32" t="str">
        <f aca="false">IF(F881="","",IF(H881&lt;&gt;"","Kapandı",IF('Vade Sapması'!$D$3&gt;G881,"Açık · vadesi geçti","Açık · vadesi gelmedi")))</f>
        <v/>
      </c>
      <c r="O881" s="30" t="str">
        <f aca="false">IF(F881="","",IF(AND(H881="",'Vade Sapması'!$D$3&gt;G881),'Vade Sapması'!$D$3-G881,0))</f>
        <v/>
      </c>
      <c r="P881" s="33" t="str">
        <f aca="false">IF(F881="","",F881*J881)</f>
        <v/>
      </c>
      <c r="Q881" s="33" t="str">
        <f aca="false">IF(F881="","",F881*L881)</f>
        <v/>
      </c>
      <c r="R881" s="33" t="str">
        <f aca="false">IF(F881="","",IF(H881="",F881,0))</f>
        <v/>
      </c>
      <c r="S881" s="32" t="str">
        <f aca="false">IF(F881="","",IF(N(O881)=0,"",IF(O881&lt;=30,"1-30",IF(O881&lt;=60,"31-60",IF(O881&lt;=90,"61-90","90+")))))</f>
        <v/>
      </c>
      <c r="T881" s="32" t="str">
        <f aca="false">IF(F881="","",IF(E881="","Diğer",E881))</f>
        <v/>
      </c>
      <c r="U881" s="32" t="str">
        <f aca="false">IF(OR(F881="",C881=""),"",IF(COUNTIF($C$2:C881,C881)=1,MAX($U$1:U880)+1,""))</f>
        <v/>
      </c>
    </row>
    <row r="882" customFormat="false" ht="15" hidden="false" customHeight="false" outlineLevel="0" collapsed="false">
      <c r="A882" s="34"/>
      <c r="B882" s="9"/>
      <c r="C882" s="34"/>
      <c r="D882" s="34"/>
      <c r="E882" s="34"/>
      <c r="F882" s="35"/>
      <c r="G882" s="9"/>
      <c r="H882" s="9"/>
      <c r="I882" s="34"/>
      <c r="J882" s="30" t="str">
        <f aca="false">IF(F882="","",G882-B882)</f>
        <v/>
      </c>
      <c r="K882" s="31" t="str">
        <f aca="false">IF(F882="","",IF(H882&lt;&gt;"",H882,MAX('Vade Sapması'!$D$3,G882)))</f>
        <v/>
      </c>
      <c r="L882" s="30" t="str">
        <f aca="false">IF(F882="","",K882-B882)</f>
        <v/>
      </c>
      <c r="M882" s="30" t="str">
        <f aca="false">IF(F882="","",L882-J882)</f>
        <v/>
      </c>
      <c r="N882" s="32" t="str">
        <f aca="false">IF(F882="","",IF(H882&lt;&gt;"","Kapandı",IF('Vade Sapması'!$D$3&gt;G882,"Açık · vadesi geçti","Açık · vadesi gelmedi")))</f>
        <v/>
      </c>
      <c r="O882" s="30" t="str">
        <f aca="false">IF(F882="","",IF(AND(H882="",'Vade Sapması'!$D$3&gt;G882),'Vade Sapması'!$D$3-G882,0))</f>
        <v/>
      </c>
      <c r="P882" s="33" t="str">
        <f aca="false">IF(F882="","",F882*J882)</f>
        <v/>
      </c>
      <c r="Q882" s="33" t="str">
        <f aca="false">IF(F882="","",F882*L882)</f>
        <v/>
      </c>
      <c r="R882" s="33" t="str">
        <f aca="false">IF(F882="","",IF(H882="",F882,0))</f>
        <v/>
      </c>
      <c r="S882" s="32" t="str">
        <f aca="false">IF(F882="","",IF(N(O882)=0,"",IF(O882&lt;=30,"1-30",IF(O882&lt;=60,"31-60",IF(O882&lt;=90,"61-90","90+")))))</f>
        <v/>
      </c>
      <c r="T882" s="32" t="str">
        <f aca="false">IF(F882="","",IF(E882="","Diğer",E882))</f>
        <v/>
      </c>
      <c r="U882" s="32" t="str">
        <f aca="false">IF(OR(F882="",C882=""),"",IF(COUNTIF($C$2:C882,C882)=1,MAX($U$1:U881)+1,""))</f>
        <v/>
      </c>
    </row>
    <row r="883" customFormat="false" ht="15" hidden="false" customHeight="false" outlineLevel="0" collapsed="false">
      <c r="A883" s="34"/>
      <c r="B883" s="9"/>
      <c r="C883" s="34"/>
      <c r="D883" s="34"/>
      <c r="E883" s="34"/>
      <c r="F883" s="35"/>
      <c r="G883" s="9"/>
      <c r="H883" s="9"/>
      <c r="I883" s="34"/>
      <c r="J883" s="30" t="str">
        <f aca="false">IF(F883="","",G883-B883)</f>
        <v/>
      </c>
      <c r="K883" s="31" t="str">
        <f aca="false">IF(F883="","",IF(H883&lt;&gt;"",H883,MAX('Vade Sapması'!$D$3,G883)))</f>
        <v/>
      </c>
      <c r="L883" s="30" t="str">
        <f aca="false">IF(F883="","",K883-B883)</f>
        <v/>
      </c>
      <c r="M883" s="30" t="str">
        <f aca="false">IF(F883="","",L883-J883)</f>
        <v/>
      </c>
      <c r="N883" s="32" t="str">
        <f aca="false">IF(F883="","",IF(H883&lt;&gt;"","Kapandı",IF('Vade Sapması'!$D$3&gt;G883,"Açık · vadesi geçti","Açık · vadesi gelmedi")))</f>
        <v/>
      </c>
      <c r="O883" s="30" t="str">
        <f aca="false">IF(F883="","",IF(AND(H883="",'Vade Sapması'!$D$3&gt;G883),'Vade Sapması'!$D$3-G883,0))</f>
        <v/>
      </c>
      <c r="P883" s="33" t="str">
        <f aca="false">IF(F883="","",F883*J883)</f>
        <v/>
      </c>
      <c r="Q883" s="33" t="str">
        <f aca="false">IF(F883="","",F883*L883)</f>
        <v/>
      </c>
      <c r="R883" s="33" t="str">
        <f aca="false">IF(F883="","",IF(H883="",F883,0))</f>
        <v/>
      </c>
      <c r="S883" s="32" t="str">
        <f aca="false">IF(F883="","",IF(N(O883)=0,"",IF(O883&lt;=30,"1-30",IF(O883&lt;=60,"31-60",IF(O883&lt;=90,"61-90","90+")))))</f>
        <v/>
      </c>
      <c r="T883" s="32" t="str">
        <f aca="false">IF(F883="","",IF(E883="","Diğer",E883))</f>
        <v/>
      </c>
      <c r="U883" s="32" t="str">
        <f aca="false">IF(OR(F883="",C883=""),"",IF(COUNTIF($C$2:C883,C883)=1,MAX($U$1:U882)+1,""))</f>
        <v/>
      </c>
    </row>
    <row r="884" customFormat="false" ht="15" hidden="false" customHeight="false" outlineLevel="0" collapsed="false">
      <c r="A884" s="34"/>
      <c r="B884" s="9"/>
      <c r="C884" s="34"/>
      <c r="D884" s="34"/>
      <c r="E884" s="34"/>
      <c r="F884" s="35"/>
      <c r="G884" s="9"/>
      <c r="H884" s="9"/>
      <c r="I884" s="34"/>
      <c r="J884" s="30" t="str">
        <f aca="false">IF(F884="","",G884-B884)</f>
        <v/>
      </c>
      <c r="K884" s="31" t="str">
        <f aca="false">IF(F884="","",IF(H884&lt;&gt;"",H884,MAX('Vade Sapması'!$D$3,G884)))</f>
        <v/>
      </c>
      <c r="L884" s="30" t="str">
        <f aca="false">IF(F884="","",K884-B884)</f>
        <v/>
      </c>
      <c r="M884" s="30" t="str">
        <f aca="false">IF(F884="","",L884-J884)</f>
        <v/>
      </c>
      <c r="N884" s="32" t="str">
        <f aca="false">IF(F884="","",IF(H884&lt;&gt;"","Kapandı",IF('Vade Sapması'!$D$3&gt;G884,"Açık · vadesi geçti","Açık · vadesi gelmedi")))</f>
        <v/>
      </c>
      <c r="O884" s="30" t="str">
        <f aca="false">IF(F884="","",IF(AND(H884="",'Vade Sapması'!$D$3&gt;G884),'Vade Sapması'!$D$3-G884,0))</f>
        <v/>
      </c>
      <c r="P884" s="33" t="str">
        <f aca="false">IF(F884="","",F884*J884)</f>
        <v/>
      </c>
      <c r="Q884" s="33" t="str">
        <f aca="false">IF(F884="","",F884*L884)</f>
        <v/>
      </c>
      <c r="R884" s="33" t="str">
        <f aca="false">IF(F884="","",IF(H884="",F884,0))</f>
        <v/>
      </c>
      <c r="S884" s="32" t="str">
        <f aca="false">IF(F884="","",IF(N(O884)=0,"",IF(O884&lt;=30,"1-30",IF(O884&lt;=60,"31-60",IF(O884&lt;=90,"61-90","90+")))))</f>
        <v/>
      </c>
      <c r="T884" s="32" t="str">
        <f aca="false">IF(F884="","",IF(E884="","Diğer",E884))</f>
        <v/>
      </c>
      <c r="U884" s="32" t="str">
        <f aca="false">IF(OR(F884="",C884=""),"",IF(COUNTIF($C$2:C884,C884)=1,MAX($U$1:U883)+1,""))</f>
        <v/>
      </c>
    </row>
    <row r="885" customFormat="false" ht="15" hidden="false" customHeight="false" outlineLevel="0" collapsed="false">
      <c r="A885" s="34"/>
      <c r="B885" s="9"/>
      <c r="C885" s="34"/>
      <c r="D885" s="34"/>
      <c r="E885" s="34"/>
      <c r="F885" s="35"/>
      <c r="G885" s="9"/>
      <c r="H885" s="9"/>
      <c r="I885" s="34"/>
      <c r="J885" s="30" t="str">
        <f aca="false">IF(F885="","",G885-B885)</f>
        <v/>
      </c>
      <c r="K885" s="31" t="str">
        <f aca="false">IF(F885="","",IF(H885&lt;&gt;"",H885,MAX('Vade Sapması'!$D$3,G885)))</f>
        <v/>
      </c>
      <c r="L885" s="30" t="str">
        <f aca="false">IF(F885="","",K885-B885)</f>
        <v/>
      </c>
      <c r="M885" s="30" t="str">
        <f aca="false">IF(F885="","",L885-J885)</f>
        <v/>
      </c>
      <c r="N885" s="32" t="str">
        <f aca="false">IF(F885="","",IF(H885&lt;&gt;"","Kapandı",IF('Vade Sapması'!$D$3&gt;G885,"Açık · vadesi geçti","Açık · vadesi gelmedi")))</f>
        <v/>
      </c>
      <c r="O885" s="30" t="str">
        <f aca="false">IF(F885="","",IF(AND(H885="",'Vade Sapması'!$D$3&gt;G885),'Vade Sapması'!$D$3-G885,0))</f>
        <v/>
      </c>
      <c r="P885" s="33" t="str">
        <f aca="false">IF(F885="","",F885*J885)</f>
        <v/>
      </c>
      <c r="Q885" s="33" t="str">
        <f aca="false">IF(F885="","",F885*L885)</f>
        <v/>
      </c>
      <c r="R885" s="33" t="str">
        <f aca="false">IF(F885="","",IF(H885="",F885,0))</f>
        <v/>
      </c>
      <c r="S885" s="32" t="str">
        <f aca="false">IF(F885="","",IF(N(O885)=0,"",IF(O885&lt;=30,"1-30",IF(O885&lt;=60,"31-60",IF(O885&lt;=90,"61-90","90+")))))</f>
        <v/>
      </c>
      <c r="T885" s="32" t="str">
        <f aca="false">IF(F885="","",IF(E885="","Diğer",E885))</f>
        <v/>
      </c>
      <c r="U885" s="32" t="str">
        <f aca="false">IF(OR(F885="",C885=""),"",IF(COUNTIF($C$2:C885,C885)=1,MAX($U$1:U884)+1,""))</f>
        <v/>
      </c>
    </row>
    <row r="886" customFormat="false" ht="15" hidden="false" customHeight="false" outlineLevel="0" collapsed="false">
      <c r="A886" s="34"/>
      <c r="B886" s="9"/>
      <c r="C886" s="34"/>
      <c r="D886" s="34"/>
      <c r="E886" s="34"/>
      <c r="F886" s="35"/>
      <c r="G886" s="9"/>
      <c r="H886" s="9"/>
      <c r="I886" s="34"/>
      <c r="J886" s="30" t="str">
        <f aca="false">IF(F886="","",G886-B886)</f>
        <v/>
      </c>
      <c r="K886" s="31" t="str">
        <f aca="false">IF(F886="","",IF(H886&lt;&gt;"",H886,MAX('Vade Sapması'!$D$3,G886)))</f>
        <v/>
      </c>
      <c r="L886" s="30" t="str">
        <f aca="false">IF(F886="","",K886-B886)</f>
        <v/>
      </c>
      <c r="M886" s="30" t="str">
        <f aca="false">IF(F886="","",L886-J886)</f>
        <v/>
      </c>
      <c r="N886" s="32" t="str">
        <f aca="false">IF(F886="","",IF(H886&lt;&gt;"","Kapandı",IF('Vade Sapması'!$D$3&gt;G886,"Açık · vadesi geçti","Açık · vadesi gelmedi")))</f>
        <v/>
      </c>
      <c r="O886" s="30" t="str">
        <f aca="false">IF(F886="","",IF(AND(H886="",'Vade Sapması'!$D$3&gt;G886),'Vade Sapması'!$D$3-G886,0))</f>
        <v/>
      </c>
      <c r="P886" s="33" t="str">
        <f aca="false">IF(F886="","",F886*J886)</f>
        <v/>
      </c>
      <c r="Q886" s="33" t="str">
        <f aca="false">IF(F886="","",F886*L886)</f>
        <v/>
      </c>
      <c r="R886" s="33" t="str">
        <f aca="false">IF(F886="","",IF(H886="",F886,0))</f>
        <v/>
      </c>
      <c r="S886" s="32" t="str">
        <f aca="false">IF(F886="","",IF(N(O886)=0,"",IF(O886&lt;=30,"1-30",IF(O886&lt;=60,"31-60",IF(O886&lt;=90,"61-90","90+")))))</f>
        <v/>
      </c>
      <c r="T886" s="32" t="str">
        <f aca="false">IF(F886="","",IF(E886="","Diğer",E886))</f>
        <v/>
      </c>
      <c r="U886" s="32" t="str">
        <f aca="false">IF(OR(F886="",C886=""),"",IF(COUNTIF($C$2:C886,C886)=1,MAX($U$1:U885)+1,""))</f>
        <v/>
      </c>
    </row>
    <row r="887" customFormat="false" ht="15" hidden="false" customHeight="false" outlineLevel="0" collapsed="false">
      <c r="A887" s="34"/>
      <c r="B887" s="9"/>
      <c r="C887" s="34"/>
      <c r="D887" s="34"/>
      <c r="E887" s="34"/>
      <c r="F887" s="35"/>
      <c r="G887" s="9"/>
      <c r="H887" s="9"/>
      <c r="I887" s="34"/>
      <c r="J887" s="30" t="str">
        <f aca="false">IF(F887="","",G887-B887)</f>
        <v/>
      </c>
      <c r="K887" s="31" t="str">
        <f aca="false">IF(F887="","",IF(H887&lt;&gt;"",H887,MAX('Vade Sapması'!$D$3,G887)))</f>
        <v/>
      </c>
      <c r="L887" s="30" t="str">
        <f aca="false">IF(F887="","",K887-B887)</f>
        <v/>
      </c>
      <c r="M887" s="30" t="str">
        <f aca="false">IF(F887="","",L887-J887)</f>
        <v/>
      </c>
      <c r="N887" s="32" t="str">
        <f aca="false">IF(F887="","",IF(H887&lt;&gt;"","Kapandı",IF('Vade Sapması'!$D$3&gt;G887,"Açık · vadesi geçti","Açık · vadesi gelmedi")))</f>
        <v/>
      </c>
      <c r="O887" s="30" t="str">
        <f aca="false">IF(F887="","",IF(AND(H887="",'Vade Sapması'!$D$3&gt;G887),'Vade Sapması'!$D$3-G887,0))</f>
        <v/>
      </c>
      <c r="P887" s="33" t="str">
        <f aca="false">IF(F887="","",F887*J887)</f>
        <v/>
      </c>
      <c r="Q887" s="33" t="str">
        <f aca="false">IF(F887="","",F887*L887)</f>
        <v/>
      </c>
      <c r="R887" s="33" t="str">
        <f aca="false">IF(F887="","",IF(H887="",F887,0))</f>
        <v/>
      </c>
      <c r="S887" s="32" t="str">
        <f aca="false">IF(F887="","",IF(N(O887)=0,"",IF(O887&lt;=30,"1-30",IF(O887&lt;=60,"31-60",IF(O887&lt;=90,"61-90","90+")))))</f>
        <v/>
      </c>
      <c r="T887" s="32" t="str">
        <f aca="false">IF(F887="","",IF(E887="","Diğer",E887))</f>
        <v/>
      </c>
      <c r="U887" s="32" t="str">
        <f aca="false">IF(OR(F887="",C887=""),"",IF(COUNTIF($C$2:C887,C887)=1,MAX($U$1:U886)+1,""))</f>
        <v/>
      </c>
    </row>
    <row r="888" customFormat="false" ht="15" hidden="false" customHeight="false" outlineLevel="0" collapsed="false">
      <c r="A888" s="34"/>
      <c r="B888" s="9"/>
      <c r="C888" s="34"/>
      <c r="D888" s="34"/>
      <c r="E888" s="34"/>
      <c r="F888" s="35"/>
      <c r="G888" s="9"/>
      <c r="H888" s="9"/>
      <c r="I888" s="34"/>
      <c r="J888" s="30" t="str">
        <f aca="false">IF(F888="","",G888-B888)</f>
        <v/>
      </c>
      <c r="K888" s="31" t="str">
        <f aca="false">IF(F888="","",IF(H888&lt;&gt;"",H888,MAX('Vade Sapması'!$D$3,G888)))</f>
        <v/>
      </c>
      <c r="L888" s="30" t="str">
        <f aca="false">IF(F888="","",K888-B888)</f>
        <v/>
      </c>
      <c r="M888" s="30" t="str">
        <f aca="false">IF(F888="","",L888-J888)</f>
        <v/>
      </c>
      <c r="N888" s="32" t="str">
        <f aca="false">IF(F888="","",IF(H888&lt;&gt;"","Kapandı",IF('Vade Sapması'!$D$3&gt;G888,"Açık · vadesi geçti","Açık · vadesi gelmedi")))</f>
        <v/>
      </c>
      <c r="O888" s="30" t="str">
        <f aca="false">IF(F888="","",IF(AND(H888="",'Vade Sapması'!$D$3&gt;G888),'Vade Sapması'!$D$3-G888,0))</f>
        <v/>
      </c>
      <c r="P888" s="33" t="str">
        <f aca="false">IF(F888="","",F888*J888)</f>
        <v/>
      </c>
      <c r="Q888" s="33" t="str">
        <f aca="false">IF(F888="","",F888*L888)</f>
        <v/>
      </c>
      <c r="R888" s="33" t="str">
        <f aca="false">IF(F888="","",IF(H888="",F888,0))</f>
        <v/>
      </c>
      <c r="S888" s="32" t="str">
        <f aca="false">IF(F888="","",IF(N(O888)=0,"",IF(O888&lt;=30,"1-30",IF(O888&lt;=60,"31-60",IF(O888&lt;=90,"61-90","90+")))))</f>
        <v/>
      </c>
      <c r="T888" s="32" t="str">
        <f aca="false">IF(F888="","",IF(E888="","Diğer",E888))</f>
        <v/>
      </c>
      <c r="U888" s="32" t="str">
        <f aca="false">IF(OR(F888="",C888=""),"",IF(COUNTIF($C$2:C888,C888)=1,MAX($U$1:U887)+1,""))</f>
        <v/>
      </c>
    </row>
    <row r="889" customFormat="false" ht="15" hidden="false" customHeight="false" outlineLevel="0" collapsed="false">
      <c r="A889" s="34"/>
      <c r="B889" s="9"/>
      <c r="C889" s="34"/>
      <c r="D889" s="34"/>
      <c r="E889" s="34"/>
      <c r="F889" s="35"/>
      <c r="G889" s="9"/>
      <c r="H889" s="9"/>
      <c r="I889" s="34"/>
      <c r="J889" s="30" t="str">
        <f aca="false">IF(F889="","",G889-B889)</f>
        <v/>
      </c>
      <c r="K889" s="31" t="str">
        <f aca="false">IF(F889="","",IF(H889&lt;&gt;"",H889,MAX('Vade Sapması'!$D$3,G889)))</f>
        <v/>
      </c>
      <c r="L889" s="30" t="str">
        <f aca="false">IF(F889="","",K889-B889)</f>
        <v/>
      </c>
      <c r="M889" s="30" t="str">
        <f aca="false">IF(F889="","",L889-J889)</f>
        <v/>
      </c>
      <c r="N889" s="32" t="str">
        <f aca="false">IF(F889="","",IF(H889&lt;&gt;"","Kapandı",IF('Vade Sapması'!$D$3&gt;G889,"Açık · vadesi geçti","Açık · vadesi gelmedi")))</f>
        <v/>
      </c>
      <c r="O889" s="30" t="str">
        <f aca="false">IF(F889="","",IF(AND(H889="",'Vade Sapması'!$D$3&gt;G889),'Vade Sapması'!$D$3-G889,0))</f>
        <v/>
      </c>
      <c r="P889" s="33" t="str">
        <f aca="false">IF(F889="","",F889*J889)</f>
        <v/>
      </c>
      <c r="Q889" s="33" t="str">
        <f aca="false">IF(F889="","",F889*L889)</f>
        <v/>
      </c>
      <c r="R889" s="33" t="str">
        <f aca="false">IF(F889="","",IF(H889="",F889,0))</f>
        <v/>
      </c>
      <c r="S889" s="32" t="str">
        <f aca="false">IF(F889="","",IF(N(O889)=0,"",IF(O889&lt;=30,"1-30",IF(O889&lt;=60,"31-60",IF(O889&lt;=90,"61-90","90+")))))</f>
        <v/>
      </c>
      <c r="T889" s="32" t="str">
        <f aca="false">IF(F889="","",IF(E889="","Diğer",E889))</f>
        <v/>
      </c>
      <c r="U889" s="32" t="str">
        <f aca="false">IF(OR(F889="",C889=""),"",IF(COUNTIF($C$2:C889,C889)=1,MAX($U$1:U888)+1,""))</f>
        <v/>
      </c>
    </row>
    <row r="890" customFormat="false" ht="15" hidden="false" customHeight="false" outlineLevel="0" collapsed="false">
      <c r="A890" s="34"/>
      <c r="B890" s="9"/>
      <c r="C890" s="34"/>
      <c r="D890" s="34"/>
      <c r="E890" s="34"/>
      <c r="F890" s="35"/>
      <c r="G890" s="9"/>
      <c r="H890" s="9"/>
      <c r="I890" s="34"/>
      <c r="J890" s="30" t="str">
        <f aca="false">IF(F890="","",G890-B890)</f>
        <v/>
      </c>
      <c r="K890" s="31" t="str">
        <f aca="false">IF(F890="","",IF(H890&lt;&gt;"",H890,MAX('Vade Sapması'!$D$3,G890)))</f>
        <v/>
      </c>
      <c r="L890" s="30" t="str">
        <f aca="false">IF(F890="","",K890-B890)</f>
        <v/>
      </c>
      <c r="M890" s="30" t="str">
        <f aca="false">IF(F890="","",L890-J890)</f>
        <v/>
      </c>
      <c r="N890" s="32" t="str">
        <f aca="false">IF(F890="","",IF(H890&lt;&gt;"","Kapandı",IF('Vade Sapması'!$D$3&gt;G890,"Açık · vadesi geçti","Açık · vadesi gelmedi")))</f>
        <v/>
      </c>
      <c r="O890" s="30" t="str">
        <f aca="false">IF(F890="","",IF(AND(H890="",'Vade Sapması'!$D$3&gt;G890),'Vade Sapması'!$D$3-G890,0))</f>
        <v/>
      </c>
      <c r="P890" s="33" t="str">
        <f aca="false">IF(F890="","",F890*J890)</f>
        <v/>
      </c>
      <c r="Q890" s="33" t="str">
        <f aca="false">IF(F890="","",F890*L890)</f>
        <v/>
      </c>
      <c r="R890" s="33" t="str">
        <f aca="false">IF(F890="","",IF(H890="",F890,0))</f>
        <v/>
      </c>
      <c r="S890" s="32" t="str">
        <f aca="false">IF(F890="","",IF(N(O890)=0,"",IF(O890&lt;=30,"1-30",IF(O890&lt;=60,"31-60",IF(O890&lt;=90,"61-90","90+")))))</f>
        <v/>
      </c>
      <c r="T890" s="32" t="str">
        <f aca="false">IF(F890="","",IF(E890="","Diğer",E890))</f>
        <v/>
      </c>
      <c r="U890" s="32" t="str">
        <f aca="false">IF(OR(F890="",C890=""),"",IF(COUNTIF($C$2:C890,C890)=1,MAX($U$1:U889)+1,""))</f>
        <v/>
      </c>
    </row>
    <row r="891" customFormat="false" ht="15" hidden="false" customHeight="false" outlineLevel="0" collapsed="false">
      <c r="A891" s="34"/>
      <c r="B891" s="9"/>
      <c r="C891" s="34"/>
      <c r="D891" s="34"/>
      <c r="E891" s="34"/>
      <c r="F891" s="35"/>
      <c r="G891" s="9"/>
      <c r="H891" s="9"/>
      <c r="I891" s="34"/>
      <c r="J891" s="30" t="str">
        <f aca="false">IF(F891="","",G891-B891)</f>
        <v/>
      </c>
      <c r="K891" s="31" t="str">
        <f aca="false">IF(F891="","",IF(H891&lt;&gt;"",H891,MAX('Vade Sapması'!$D$3,G891)))</f>
        <v/>
      </c>
      <c r="L891" s="30" t="str">
        <f aca="false">IF(F891="","",K891-B891)</f>
        <v/>
      </c>
      <c r="M891" s="30" t="str">
        <f aca="false">IF(F891="","",L891-J891)</f>
        <v/>
      </c>
      <c r="N891" s="32" t="str">
        <f aca="false">IF(F891="","",IF(H891&lt;&gt;"","Kapandı",IF('Vade Sapması'!$D$3&gt;G891,"Açık · vadesi geçti","Açık · vadesi gelmedi")))</f>
        <v/>
      </c>
      <c r="O891" s="30" t="str">
        <f aca="false">IF(F891="","",IF(AND(H891="",'Vade Sapması'!$D$3&gt;G891),'Vade Sapması'!$D$3-G891,0))</f>
        <v/>
      </c>
      <c r="P891" s="33" t="str">
        <f aca="false">IF(F891="","",F891*J891)</f>
        <v/>
      </c>
      <c r="Q891" s="33" t="str">
        <f aca="false">IF(F891="","",F891*L891)</f>
        <v/>
      </c>
      <c r="R891" s="33" t="str">
        <f aca="false">IF(F891="","",IF(H891="",F891,0))</f>
        <v/>
      </c>
      <c r="S891" s="32" t="str">
        <f aca="false">IF(F891="","",IF(N(O891)=0,"",IF(O891&lt;=30,"1-30",IF(O891&lt;=60,"31-60",IF(O891&lt;=90,"61-90","90+")))))</f>
        <v/>
      </c>
      <c r="T891" s="32" t="str">
        <f aca="false">IF(F891="","",IF(E891="","Diğer",E891))</f>
        <v/>
      </c>
      <c r="U891" s="32" t="str">
        <f aca="false">IF(OR(F891="",C891=""),"",IF(COUNTIF($C$2:C891,C891)=1,MAX($U$1:U890)+1,""))</f>
        <v/>
      </c>
    </row>
    <row r="892" customFormat="false" ht="15" hidden="false" customHeight="false" outlineLevel="0" collapsed="false">
      <c r="A892" s="34"/>
      <c r="B892" s="9"/>
      <c r="C892" s="34"/>
      <c r="D892" s="34"/>
      <c r="E892" s="34"/>
      <c r="F892" s="35"/>
      <c r="G892" s="9"/>
      <c r="H892" s="9"/>
      <c r="I892" s="34"/>
      <c r="J892" s="30" t="str">
        <f aca="false">IF(F892="","",G892-B892)</f>
        <v/>
      </c>
      <c r="K892" s="31" t="str">
        <f aca="false">IF(F892="","",IF(H892&lt;&gt;"",H892,MAX('Vade Sapması'!$D$3,G892)))</f>
        <v/>
      </c>
      <c r="L892" s="30" t="str">
        <f aca="false">IF(F892="","",K892-B892)</f>
        <v/>
      </c>
      <c r="M892" s="30" t="str">
        <f aca="false">IF(F892="","",L892-J892)</f>
        <v/>
      </c>
      <c r="N892" s="32" t="str">
        <f aca="false">IF(F892="","",IF(H892&lt;&gt;"","Kapandı",IF('Vade Sapması'!$D$3&gt;G892,"Açık · vadesi geçti","Açık · vadesi gelmedi")))</f>
        <v/>
      </c>
      <c r="O892" s="30" t="str">
        <f aca="false">IF(F892="","",IF(AND(H892="",'Vade Sapması'!$D$3&gt;G892),'Vade Sapması'!$D$3-G892,0))</f>
        <v/>
      </c>
      <c r="P892" s="33" t="str">
        <f aca="false">IF(F892="","",F892*J892)</f>
        <v/>
      </c>
      <c r="Q892" s="33" t="str">
        <f aca="false">IF(F892="","",F892*L892)</f>
        <v/>
      </c>
      <c r="R892" s="33" t="str">
        <f aca="false">IF(F892="","",IF(H892="",F892,0))</f>
        <v/>
      </c>
      <c r="S892" s="32" t="str">
        <f aca="false">IF(F892="","",IF(N(O892)=0,"",IF(O892&lt;=30,"1-30",IF(O892&lt;=60,"31-60",IF(O892&lt;=90,"61-90","90+")))))</f>
        <v/>
      </c>
      <c r="T892" s="32" t="str">
        <f aca="false">IF(F892="","",IF(E892="","Diğer",E892))</f>
        <v/>
      </c>
      <c r="U892" s="32" t="str">
        <f aca="false">IF(OR(F892="",C892=""),"",IF(COUNTIF($C$2:C892,C892)=1,MAX($U$1:U891)+1,""))</f>
        <v/>
      </c>
    </row>
    <row r="893" customFormat="false" ht="15" hidden="false" customHeight="false" outlineLevel="0" collapsed="false">
      <c r="A893" s="34"/>
      <c r="B893" s="9"/>
      <c r="C893" s="34"/>
      <c r="D893" s="34"/>
      <c r="E893" s="34"/>
      <c r="F893" s="35"/>
      <c r="G893" s="9"/>
      <c r="H893" s="9"/>
      <c r="I893" s="34"/>
      <c r="J893" s="30" t="str">
        <f aca="false">IF(F893="","",G893-B893)</f>
        <v/>
      </c>
      <c r="K893" s="31" t="str">
        <f aca="false">IF(F893="","",IF(H893&lt;&gt;"",H893,MAX('Vade Sapması'!$D$3,G893)))</f>
        <v/>
      </c>
      <c r="L893" s="30" t="str">
        <f aca="false">IF(F893="","",K893-B893)</f>
        <v/>
      </c>
      <c r="M893" s="30" t="str">
        <f aca="false">IF(F893="","",L893-J893)</f>
        <v/>
      </c>
      <c r="N893" s="32" t="str">
        <f aca="false">IF(F893="","",IF(H893&lt;&gt;"","Kapandı",IF('Vade Sapması'!$D$3&gt;G893,"Açık · vadesi geçti","Açık · vadesi gelmedi")))</f>
        <v/>
      </c>
      <c r="O893" s="30" t="str">
        <f aca="false">IF(F893="","",IF(AND(H893="",'Vade Sapması'!$D$3&gt;G893),'Vade Sapması'!$D$3-G893,0))</f>
        <v/>
      </c>
      <c r="P893" s="33" t="str">
        <f aca="false">IF(F893="","",F893*J893)</f>
        <v/>
      </c>
      <c r="Q893" s="33" t="str">
        <f aca="false">IF(F893="","",F893*L893)</f>
        <v/>
      </c>
      <c r="R893" s="33" t="str">
        <f aca="false">IF(F893="","",IF(H893="",F893,0))</f>
        <v/>
      </c>
      <c r="S893" s="32" t="str">
        <f aca="false">IF(F893="","",IF(N(O893)=0,"",IF(O893&lt;=30,"1-30",IF(O893&lt;=60,"31-60",IF(O893&lt;=90,"61-90","90+")))))</f>
        <v/>
      </c>
      <c r="T893" s="32" t="str">
        <f aca="false">IF(F893="","",IF(E893="","Diğer",E893))</f>
        <v/>
      </c>
      <c r="U893" s="32" t="str">
        <f aca="false">IF(OR(F893="",C893=""),"",IF(COUNTIF($C$2:C893,C893)=1,MAX($U$1:U892)+1,""))</f>
        <v/>
      </c>
    </row>
    <row r="894" customFormat="false" ht="15" hidden="false" customHeight="false" outlineLevel="0" collapsed="false">
      <c r="A894" s="34"/>
      <c r="B894" s="9"/>
      <c r="C894" s="34"/>
      <c r="D894" s="34"/>
      <c r="E894" s="34"/>
      <c r="F894" s="35"/>
      <c r="G894" s="9"/>
      <c r="H894" s="9"/>
      <c r="I894" s="34"/>
      <c r="J894" s="30" t="str">
        <f aca="false">IF(F894="","",G894-B894)</f>
        <v/>
      </c>
      <c r="K894" s="31" t="str">
        <f aca="false">IF(F894="","",IF(H894&lt;&gt;"",H894,MAX('Vade Sapması'!$D$3,G894)))</f>
        <v/>
      </c>
      <c r="L894" s="30" t="str">
        <f aca="false">IF(F894="","",K894-B894)</f>
        <v/>
      </c>
      <c r="M894" s="30" t="str">
        <f aca="false">IF(F894="","",L894-J894)</f>
        <v/>
      </c>
      <c r="N894" s="32" t="str">
        <f aca="false">IF(F894="","",IF(H894&lt;&gt;"","Kapandı",IF('Vade Sapması'!$D$3&gt;G894,"Açık · vadesi geçti","Açık · vadesi gelmedi")))</f>
        <v/>
      </c>
      <c r="O894" s="30" t="str">
        <f aca="false">IF(F894="","",IF(AND(H894="",'Vade Sapması'!$D$3&gt;G894),'Vade Sapması'!$D$3-G894,0))</f>
        <v/>
      </c>
      <c r="P894" s="33" t="str">
        <f aca="false">IF(F894="","",F894*J894)</f>
        <v/>
      </c>
      <c r="Q894" s="33" t="str">
        <f aca="false">IF(F894="","",F894*L894)</f>
        <v/>
      </c>
      <c r="R894" s="33" t="str">
        <f aca="false">IF(F894="","",IF(H894="",F894,0))</f>
        <v/>
      </c>
      <c r="S894" s="32" t="str">
        <f aca="false">IF(F894="","",IF(N(O894)=0,"",IF(O894&lt;=30,"1-30",IF(O894&lt;=60,"31-60",IF(O894&lt;=90,"61-90","90+")))))</f>
        <v/>
      </c>
      <c r="T894" s="32" t="str">
        <f aca="false">IF(F894="","",IF(E894="","Diğer",E894))</f>
        <v/>
      </c>
      <c r="U894" s="32" t="str">
        <f aca="false">IF(OR(F894="",C894=""),"",IF(COUNTIF($C$2:C894,C894)=1,MAX($U$1:U893)+1,""))</f>
        <v/>
      </c>
    </row>
    <row r="895" customFormat="false" ht="15" hidden="false" customHeight="false" outlineLevel="0" collapsed="false">
      <c r="A895" s="34"/>
      <c r="B895" s="9"/>
      <c r="C895" s="34"/>
      <c r="D895" s="34"/>
      <c r="E895" s="34"/>
      <c r="F895" s="35"/>
      <c r="G895" s="9"/>
      <c r="H895" s="9"/>
      <c r="I895" s="34"/>
      <c r="J895" s="30" t="str">
        <f aca="false">IF(F895="","",G895-B895)</f>
        <v/>
      </c>
      <c r="K895" s="31" t="str">
        <f aca="false">IF(F895="","",IF(H895&lt;&gt;"",H895,MAX('Vade Sapması'!$D$3,G895)))</f>
        <v/>
      </c>
      <c r="L895" s="30" t="str">
        <f aca="false">IF(F895="","",K895-B895)</f>
        <v/>
      </c>
      <c r="M895" s="30" t="str">
        <f aca="false">IF(F895="","",L895-J895)</f>
        <v/>
      </c>
      <c r="N895" s="32" t="str">
        <f aca="false">IF(F895="","",IF(H895&lt;&gt;"","Kapandı",IF('Vade Sapması'!$D$3&gt;G895,"Açık · vadesi geçti","Açık · vadesi gelmedi")))</f>
        <v/>
      </c>
      <c r="O895" s="30" t="str">
        <f aca="false">IF(F895="","",IF(AND(H895="",'Vade Sapması'!$D$3&gt;G895),'Vade Sapması'!$D$3-G895,0))</f>
        <v/>
      </c>
      <c r="P895" s="33" t="str">
        <f aca="false">IF(F895="","",F895*J895)</f>
        <v/>
      </c>
      <c r="Q895" s="33" t="str">
        <f aca="false">IF(F895="","",F895*L895)</f>
        <v/>
      </c>
      <c r="R895" s="33" t="str">
        <f aca="false">IF(F895="","",IF(H895="",F895,0))</f>
        <v/>
      </c>
      <c r="S895" s="32" t="str">
        <f aca="false">IF(F895="","",IF(N(O895)=0,"",IF(O895&lt;=30,"1-30",IF(O895&lt;=60,"31-60",IF(O895&lt;=90,"61-90","90+")))))</f>
        <v/>
      </c>
      <c r="T895" s="32" t="str">
        <f aca="false">IF(F895="","",IF(E895="","Diğer",E895))</f>
        <v/>
      </c>
      <c r="U895" s="32" t="str">
        <f aca="false">IF(OR(F895="",C895=""),"",IF(COUNTIF($C$2:C895,C895)=1,MAX($U$1:U894)+1,""))</f>
        <v/>
      </c>
    </row>
    <row r="896" customFormat="false" ht="15" hidden="false" customHeight="false" outlineLevel="0" collapsed="false">
      <c r="A896" s="34"/>
      <c r="B896" s="9"/>
      <c r="C896" s="34"/>
      <c r="D896" s="34"/>
      <c r="E896" s="34"/>
      <c r="F896" s="35"/>
      <c r="G896" s="9"/>
      <c r="H896" s="9"/>
      <c r="I896" s="34"/>
      <c r="J896" s="30" t="str">
        <f aca="false">IF(F896="","",G896-B896)</f>
        <v/>
      </c>
      <c r="K896" s="31" t="str">
        <f aca="false">IF(F896="","",IF(H896&lt;&gt;"",H896,MAX('Vade Sapması'!$D$3,G896)))</f>
        <v/>
      </c>
      <c r="L896" s="30" t="str">
        <f aca="false">IF(F896="","",K896-B896)</f>
        <v/>
      </c>
      <c r="M896" s="30" t="str">
        <f aca="false">IF(F896="","",L896-J896)</f>
        <v/>
      </c>
      <c r="N896" s="32" t="str">
        <f aca="false">IF(F896="","",IF(H896&lt;&gt;"","Kapandı",IF('Vade Sapması'!$D$3&gt;G896,"Açık · vadesi geçti","Açık · vadesi gelmedi")))</f>
        <v/>
      </c>
      <c r="O896" s="30" t="str">
        <f aca="false">IF(F896="","",IF(AND(H896="",'Vade Sapması'!$D$3&gt;G896),'Vade Sapması'!$D$3-G896,0))</f>
        <v/>
      </c>
      <c r="P896" s="33" t="str">
        <f aca="false">IF(F896="","",F896*J896)</f>
        <v/>
      </c>
      <c r="Q896" s="33" t="str">
        <f aca="false">IF(F896="","",F896*L896)</f>
        <v/>
      </c>
      <c r="R896" s="33" t="str">
        <f aca="false">IF(F896="","",IF(H896="",F896,0))</f>
        <v/>
      </c>
      <c r="S896" s="32" t="str">
        <f aca="false">IF(F896="","",IF(N(O896)=0,"",IF(O896&lt;=30,"1-30",IF(O896&lt;=60,"31-60",IF(O896&lt;=90,"61-90","90+")))))</f>
        <v/>
      </c>
      <c r="T896" s="32" t="str">
        <f aca="false">IF(F896="","",IF(E896="","Diğer",E896))</f>
        <v/>
      </c>
      <c r="U896" s="32" t="str">
        <f aca="false">IF(OR(F896="",C896=""),"",IF(COUNTIF($C$2:C896,C896)=1,MAX($U$1:U895)+1,""))</f>
        <v/>
      </c>
    </row>
    <row r="897" customFormat="false" ht="15" hidden="false" customHeight="false" outlineLevel="0" collapsed="false">
      <c r="A897" s="34"/>
      <c r="B897" s="9"/>
      <c r="C897" s="34"/>
      <c r="D897" s="34"/>
      <c r="E897" s="34"/>
      <c r="F897" s="35"/>
      <c r="G897" s="9"/>
      <c r="H897" s="9"/>
      <c r="I897" s="34"/>
      <c r="J897" s="30" t="str">
        <f aca="false">IF(F897="","",G897-B897)</f>
        <v/>
      </c>
      <c r="K897" s="31" t="str">
        <f aca="false">IF(F897="","",IF(H897&lt;&gt;"",H897,MAX('Vade Sapması'!$D$3,G897)))</f>
        <v/>
      </c>
      <c r="L897" s="30" t="str">
        <f aca="false">IF(F897="","",K897-B897)</f>
        <v/>
      </c>
      <c r="M897" s="30" t="str">
        <f aca="false">IF(F897="","",L897-J897)</f>
        <v/>
      </c>
      <c r="N897" s="32" t="str">
        <f aca="false">IF(F897="","",IF(H897&lt;&gt;"","Kapandı",IF('Vade Sapması'!$D$3&gt;G897,"Açık · vadesi geçti","Açık · vadesi gelmedi")))</f>
        <v/>
      </c>
      <c r="O897" s="30" t="str">
        <f aca="false">IF(F897="","",IF(AND(H897="",'Vade Sapması'!$D$3&gt;G897),'Vade Sapması'!$D$3-G897,0))</f>
        <v/>
      </c>
      <c r="P897" s="33" t="str">
        <f aca="false">IF(F897="","",F897*J897)</f>
        <v/>
      </c>
      <c r="Q897" s="33" t="str">
        <f aca="false">IF(F897="","",F897*L897)</f>
        <v/>
      </c>
      <c r="R897" s="33" t="str">
        <f aca="false">IF(F897="","",IF(H897="",F897,0))</f>
        <v/>
      </c>
      <c r="S897" s="32" t="str">
        <f aca="false">IF(F897="","",IF(N(O897)=0,"",IF(O897&lt;=30,"1-30",IF(O897&lt;=60,"31-60",IF(O897&lt;=90,"61-90","90+")))))</f>
        <v/>
      </c>
      <c r="T897" s="32" t="str">
        <f aca="false">IF(F897="","",IF(E897="","Diğer",E897))</f>
        <v/>
      </c>
      <c r="U897" s="32" t="str">
        <f aca="false">IF(OR(F897="",C897=""),"",IF(COUNTIF($C$2:C897,C897)=1,MAX($U$1:U896)+1,""))</f>
        <v/>
      </c>
    </row>
    <row r="898" customFormat="false" ht="15" hidden="false" customHeight="false" outlineLevel="0" collapsed="false">
      <c r="A898" s="34"/>
      <c r="B898" s="9"/>
      <c r="C898" s="34"/>
      <c r="D898" s="34"/>
      <c r="E898" s="34"/>
      <c r="F898" s="35"/>
      <c r="G898" s="9"/>
      <c r="H898" s="9"/>
      <c r="I898" s="34"/>
      <c r="J898" s="30" t="str">
        <f aca="false">IF(F898="","",G898-B898)</f>
        <v/>
      </c>
      <c r="K898" s="31" t="str">
        <f aca="false">IF(F898="","",IF(H898&lt;&gt;"",H898,MAX('Vade Sapması'!$D$3,G898)))</f>
        <v/>
      </c>
      <c r="L898" s="30" t="str">
        <f aca="false">IF(F898="","",K898-B898)</f>
        <v/>
      </c>
      <c r="M898" s="30" t="str">
        <f aca="false">IF(F898="","",L898-J898)</f>
        <v/>
      </c>
      <c r="N898" s="32" t="str">
        <f aca="false">IF(F898="","",IF(H898&lt;&gt;"","Kapandı",IF('Vade Sapması'!$D$3&gt;G898,"Açık · vadesi geçti","Açık · vadesi gelmedi")))</f>
        <v/>
      </c>
      <c r="O898" s="30" t="str">
        <f aca="false">IF(F898="","",IF(AND(H898="",'Vade Sapması'!$D$3&gt;G898),'Vade Sapması'!$D$3-G898,0))</f>
        <v/>
      </c>
      <c r="P898" s="33" t="str">
        <f aca="false">IF(F898="","",F898*J898)</f>
        <v/>
      </c>
      <c r="Q898" s="33" t="str">
        <f aca="false">IF(F898="","",F898*L898)</f>
        <v/>
      </c>
      <c r="R898" s="33" t="str">
        <f aca="false">IF(F898="","",IF(H898="",F898,0))</f>
        <v/>
      </c>
      <c r="S898" s="32" t="str">
        <f aca="false">IF(F898="","",IF(N(O898)=0,"",IF(O898&lt;=30,"1-30",IF(O898&lt;=60,"31-60",IF(O898&lt;=90,"61-90","90+")))))</f>
        <v/>
      </c>
      <c r="T898" s="32" t="str">
        <f aca="false">IF(F898="","",IF(E898="","Diğer",E898))</f>
        <v/>
      </c>
      <c r="U898" s="32" t="str">
        <f aca="false">IF(OR(F898="",C898=""),"",IF(COUNTIF($C$2:C898,C898)=1,MAX($U$1:U897)+1,""))</f>
        <v/>
      </c>
    </row>
    <row r="899" customFormat="false" ht="15" hidden="false" customHeight="false" outlineLevel="0" collapsed="false">
      <c r="A899" s="34"/>
      <c r="B899" s="9"/>
      <c r="C899" s="34"/>
      <c r="D899" s="34"/>
      <c r="E899" s="34"/>
      <c r="F899" s="35"/>
      <c r="G899" s="9"/>
      <c r="H899" s="9"/>
      <c r="I899" s="34"/>
      <c r="J899" s="30" t="str">
        <f aca="false">IF(F899="","",G899-B899)</f>
        <v/>
      </c>
      <c r="K899" s="31" t="str">
        <f aca="false">IF(F899="","",IF(H899&lt;&gt;"",H899,MAX('Vade Sapması'!$D$3,G899)))</f>
        <v/>
      </c>
      <c r="L899" s="30" t="str">
        <f aca="false">IF(F899="","",K899-B899)</f>
        <v/>
      </c>
      <c r="M899" s="30" t="str">
        <f aca="false">IF(F899="","",L899-J899)</f>
        <v/>
      </c>
      <c r="N899" s="32" t="str">
        <f aca="false">IF(F899="","",IF(H899&lt;&gt;"","Kapandı",IF('Vade Sapması'!$D$3&gt;G899,"Açık · vadesi geçti","Açık · vadesi gelmedi")))</f>
        <v/>
      </c>
      <c r="O899" s="30" t="str">
        <f aca="false">IF(F899="","",IF(AND(H899="",'Vade Sapması'!$D$3&gt;G899),'Vade Sapması'!$D$3-G899,0))</f>
        <v/>
      </c>
      <c r="P899" s="33" t="str">
        <f aca="false">IF(F899="","",F899*J899)</f>
        <v/>
      </c>
      <c r="Q899" s="33" t="str">
        <f aca="false">IF(F899="","",F899*L899)</f>
        <v/>
      </c>
      <c r="R899" s="33" t="str">
        <f aca="false">IF(F899="","",IF(H899="",F899,0))</f>
        <v/>
      </c>
      <c r="S899" s="32" t="str">
        <f aca="false">IF(F899="","",IF(N(O899)=0,"",IF(O899&lt;=30,"1-30",IF(O899&lt;=60,"31-60",IF(O899&lt;=90,"61-90","90+")))))</f>
        <v/>
      </c>
      <c r="T899" s="32" t="str">
        <f aca="false">IF(F899="","",IF(E899="","Diğer",E899))</f>
        <v/>
      </c>
      <c r="U899" s="32" t="str">
        <f aca="false">IF(OR(F899="",C899=""),"",IF(COUNTIF($C$2:C899,C899)=1,MAX($U$1:U898)+1,""))</f>
        <v/>
      </c>
    </row>
    <row r="900" customFormat="false" ht="15" hidden="false" customHeight="false" outlineLevel="0" collapsed="false">
      <c r="A900" s="34"/>
      <c r="B900" s="9"/>
      <c r="C900" s="34"/>
      <c r="D900" s="34"/>
      <c r="E900" s="34"/>
      <c r="F900" s="35"/>
      <c r="G900" s="9"/>
      <c r="H900" s="9"/>
      <c r="I900" s="34"/>
      <c r="J900" s="30" t="str">
        <f aca="false">IF(F900="","",G900-B900)</f>
        <v/>
      </c>
      <c r="K900" s="31" t="str">
        <f aca="false">IF(F900="","",IF(H900&lt;&gt;"",H900,MAX('Vade Sapması'!$D$3,G900)))</f>
        <v/>
      </c>
      <c r="L900" s="30" t="str">
        <f aca="false">IF(F900="","",K900-B900)</f>
        <v/>
      </c>
      <c r="M900" s="30" t="str">
        <f aca="false">IF(F900="","",L900-J900)</f>
        <v/>
      </c>
      <c r="N900" s="32" t="str">
        <f aca="false">IF(F900="","",IF(H900&lt;&gt;"","Kapandı",IF('Vade Sapması'!$D$3&gt;G900,"Açık · vadesi geçti","Açık · vadesi gelmedi")))</f>
        <v/>
      </c>
      <c r="O900" s="30" t="str">
        <f aca="false">IF(F900="","",IF(AND(H900="",'Vade Sapması'!$D$3&gt;G900),'Vade Sapması'!$D$3-G900,0))</f>
        <v/>
      </c>
      <c r="P900" s="33" t="str">
        <f aca="false">IF(F900="","",F900*J900)</f>
        <v/>
      </c>
      <c r="Q900" s="33" t="str">
        <f aca="false">IF(F900="","",F900*L900)</f>
        <v/>
      </c>
      <c r="R900" s="33" t="str">
        <f aca="false">IF(F900="","",IF(H900="",F900,0))</f>
        <v/>
      </c>
      <c r="S900" s="32" t="str">
        <f aca="false">IF(F900="","",IF(N(O900)=0,"",IF(O900&lt;=30,"1-30",IF(O900&lt;=60,"31-60",IF(O900&lt;=90,"61-90","90+")))))</f>
        <v/>
      </c>
      <c r="T900" s="32" t="str">
        <f aca="false">IF(F900="","",IF(E900="","Diğer",E900))</f>
        <v/>
      </c>
      <c r="U900" s="32" t="str">
        <f aca="false">IF(OR(F900="",C900=""),"",IF(COUNTIF($C$2:C900,C900)=1,MAX($U$1:U899)+1,""))</f>
        <v/>
      </c>
    </row>
    <row r="901" customFormat="false" ht="15" hidden="false" customHeight="false" outlineLevel="0" collapsed="false">
      <c r="A901" s="34"/>
      <c r="B901" s="9"/>
      <c r="C901" s="34"/>
      <c r="D901" s="34"/>
      <c r="E901" s="34"/>
      <c r="F901" s="35"/>
      <c r="G901" s="9"/>
      <c r="H901" s="9"/>
      <c r="I901" s="34"/>
      <c r="J901" s="30" t="str">
        <f aca="false">IF(F901="","",G901-B901)</f>
        <v/>
      </c>
      <c r="K901" s="31" t="str">
        <f aca="false">IF(F901="","",IF(H901&lt;&gt;"",H901,MAX('Vade Sapması'!$D$3,G901)))</f>
        <v/>
      </c>
      <c r="L901" s="30" t="str">
        <f aca="false">IF(F901="","",K901-B901)</f>
        <v/>
      </c>
      <c r="M901" s="30" t="str">
        <f aca="false">IF(F901="","",L901-J901)</f>
        <v/>
      </c>
      <c r="N901" s="32" t="str">
        <f aca="false">IF(F901="","",IF(H901&lt;&gt;"","Kapandı",IF('Vade Sapması'!$D$3&gt;G901,"Açık · vadesi geçti","Açık · vadesi gelmedi")))</f>
        <v/>
      </c>
      <c r="O901" s="30" t="str">
        <f aca="false">IF(F901="","",IF(AND(H901="",'Vade Sapması'!$D$3&gt;G901),'Vade Sapması'!$D$3-G901,0))</f>
        <v/>
      </c>
      <c r="P901" s="33" t="str">
        <f aca="false">IF(F901="","",F901*J901)</f>
        <v/>
      </c>
      <c r="Q901" s="33" t="str">
        <f aca="false">IF(F901="","",F901*L901)</f>
        <v/>
      </c>
      <c r="R901" s="33" t="str">
        <f aca="false">IF(F901="","",IF(H901="",F901,0))</f>
        <v/>
      </c>
      <c r="S901" s="32" t="str">
        <f aca="false">IF(F901="","",IF(N(O901)=0,"",IF(O901&lt;=30,"1-30",IF(O901&lt;=60,"31-60",IF(O901&lt;=90,"61-90","90+")))))</f>
        <v/>
      </c>
      <c r="T901" s="32" t="str">
        <f aca="false">IF(F901="","",IF(E901="","Diğer",E901))</f>
        <v/>
      </c>
      <c r="U901" s="32" t="str">
        <f aca="false">IF(OR(F901="",C901=""),"",IF(COUNTIF($C$2:C901,C901)=1,MAX($U$1:U900)+1,""))</f>
        <v/>
      </c>
    </row>
    <row r="902" customFormat="false" ht="15" hidden="false" customHeight="false" outlineLevel="0" collapsed="false">
      <c r="A902" s="34"/>
      <c r="B902" s="9"/>
      <c r="C902" s="34"/>
      <c r="D902" s="34"/>
      <c r="E902" s="34"/>
      <c r="F902" s="35"/>
      <c r="G902" s="9"/>
      <c r="H902" s="9"/>
      <c r="I902" s="34"/>
      <c r="J902" s="30" t="str">
        <f aca="false">IF(F902="","",G902-B902)</f>
        <v/>
      </c>
      <c r="K902" s="31" t="str">
        <f aca="false">IF(F902="","",IF(H902&lt;&gt;"",H902,MAX('Vade Sapması'!$D$3,G902)))</f>
        <v/>
      </c>
      <c r="L902" s="30" t="str">
        <f aca="false">IF(F902="","",K902-B902)</f>
        <v/>
      </c>
      <c r="M902" s="30" t="str">
        <f aca="false">IF(F902="","",L902-J902)</f>
        <v/>
      </c>
      <c r="N902" s="32" t="str">
        <f aca="false">IF(F902="","",IF(H902&lt;&gt;"","Kapandı",IF('Vade Sapması'!$D$3&gt;G902,"Açık · vadesi geçti","Açık · vadesi gelmedi")))</f>
        <v/>
      </c>
      <c r="O902" s="30" t="str">
        <f aca="false">IF(F902="","",IF(AND(H902="",'Vade Sapması'!$D$3&gt;G902),'Vade Sapması'!$D$3-G902,0))</f>
        <v/>
      </c>
      <c r="P902" s="33" t="str">
        <f aca="false">IF(F902="","",F902*J902)</f>
        <v/>
      </c>
      <c r="Q902" s="33" t="str">
        <f aca="false">IF(F902="","",F902*L902)</f>
        <v/>
      </c>
      <c r="R902" s="33" t="str">
        <f aca="false">IF(F902="","",IF(H902="",F902,0))</f>
        <v/>
      </c>
      <c r="S902" s="32" t="str">
        <f aca="false">IF(F902="","",IF(N(O902)=0,"",IF(O902&lt;=30,"1-30",IF(O902&lt;=60,"31-60",IF(O902&lt;=90,"61-90","90+")))))</f>
        <v/>
      </c>
      <c r="T902" s="32" t="str">
        <f aca="false">IF(F902="","",IF(E902="","Diğer",E902))</f>
        <v/>
      </c>
      <c r="U902" s="32" t="str">
        <f aca="false">IF(OR(F902="",C902=""),"",IF(COUNTIF($C$2:C902,C902)=1,MAX($U$1:U901)+1,""))</f>
        <v/>
      </c>
    </row>
    <row r="903" customFormat="false" ht="15" hidden="false" customHeight="false" outlineLevel="0" collapsed="false">
      <c r="A903" s="34"/>
      <c r="B903" s="9"/>
      <c r="C903" s="34"/>
      <c r="D903" s="34"/>
      <c r="E903" s="34"/>
      <c r="F903" s="35"/>
      <c r="G903" s="9"/>
      <c r="H903" s="9"/>
      <c r="I903" s="34"/>
      <c r="J903" s="30" t="str">
        <f aca="false">IF(F903="","",G903-B903)</f>
        <v/>
      </c>
      <c r="K903" s="31" t="str">
        <f aca="false">IF(F903="","",IF(H903&lt;&gt;"",H903,MAX('Vade Sapması'!$D$3,G903)))</f>
        <v/>
      </c>
      <c r="L903" s="30" t="str">
        <f aca="false">IF(F903="","",K903-B903)</f>
        <v/>
      </c>
      <c r="M903" s="30" t="str">
        <f aca="false">IF(F903="","",L903-J903)</f>
        <v/>
      </c>
      <c r="N903" s="32" t="str">
        <f aca="false">IF(F903="","",IF(H903&lt;&gt;"","Kapandı",IF('Vade Sapması'!$D$3&gt;G903,"Açık · vadesi geçti","Açık · vadesi gelmedi")))</f>
        <v/>
      </c>
      <c r="O903" s="30" t="str">
        <f aca="false">IF(F903="","",IF(AND(H903="",'Vade Sapması'!$D$3&gt;G903),'Vade Sapması'!$D$3-G903,0))</f>
        <v/>
      </c>
      <c r="P903" s="33" t="str">
        <f aca="false">IF(F903="","",F903*J903)</f>
        <v/>
      </c>
      <c r="Q903" s="33" t="str">
        <f aca="false">IF(F903="","",F903*L903)</f>
        <v/>
      </c>
      <c r="R903" s="33" t="str">
        <f aca="false">IF(F903="","",IF(H903="",F903,0))</f>
        <v/>
      </c>
      <c r="S903" s="32" t="str">
        <f aca="false">IF(F903="","",IF(N(O903)=0,"",IF(O903&lt;=30,"1-30",IF(O903&lt;=60,"31-60",IF(O903&lt;=90,"61-90","90+")))))</f>
        <v/>
      </c>
      <c r="T903" s="32" t="str">
        <f aca="false">IF(F903="","",IF(E903="","Diğer",E903))</f>
        <v/>
      </c>
      <c r="U903" s="32" t="str">
        <f aca="false">IF(OR(F903="",C903=""),"",IF(COUNTIF($C$2:C903,C903)=1,MAX($U$1:U902)+1,""))</f>
        <v/>
      </c>
    </row>
    <row r="904" customFormat="false" ht="15" hidden="false" customHeight="false" outlineLevel="0" collapsed="false">
      <c r="A904" s="34"/>
      <c r="B904" s="9"/>
      <c r="C904" s="34"/>
      <c r="D904" s="34"/>
      <c r="E904" s="34"/>
      <c r="F904" s="35"/>
      <c r="G904" s="9"/>
      <c r="H904" s="9"/>
      <c r="I904" s="34"/>
      <c r="J904" s="30" t="str">
        <f aca="false">IF(F904="","",G904-B904)</f>
        <v/>
      </c>
      <c r="K904" s="31" t="str">
        <f aca="false">IF(F904="","",IF(H904&lt;&gt;"",H904,MAX('Vade Sapması'!$D$3,G904)))</f>
        <v/>
      </c>
      <c r="L904" s="30" t="str">
        <f aca="false">IF(F904="","",K904-B904)</f>
        <v/>
      </c>
      <c r="M904" s="30" t="str">
        <f aca="false">IF(F904="","",L904-J904)</f>
        <v/>
      </c>
      <c r="N904" s="32" t="str">
        <f aca="false">IF(F904="","",IF(H904&lt;&gt;"","Kapandı",IF('Vade Sapması'!$D$3&gt;G904,"Açık · vadesi geçti","Açık · vadesi gelmedi")))</f>
        <v/>
      </c>
      <c r="O904" s="30" t="str">
        <f aca="false">IF(F904="","",IF(AND(H904="",'Vade Sapması'!$D$3&gt;G904),'Vade Sapması'!$D$3-G904,0))</f>
        <v/>
      </c>
      <c r="P904" s="33" t="str">
        <f aca="false">IF(F904="","",F904*J904)</f>
        <v/>
      </c>
      <c r="Q904" s="33" t="str">
        <f aca="false">IF(F904="","",F904*L904)</f>
        <v/>
      </c>
      <c r="R904" s="33" t="str">
        <f aca="false">IF(F904="","",IF(H904="",F904,0))</f>
        <v/>
      </c>
      <c r="S904" s="32" t="str">
        <f aca="false">IF(F904="","",IF(N(O904)=0,"",IF(O904&lt;=30,"1-30",IF(O904&lt;=60,"31-60",IF(O904&lt;=90,"61-90","90+")))))</f>
        <v/>
      </c>
      <c r="T904" s="32" t="str">
        <f aca="false">IF(F904="","",IF(E904="","Diğer",E904))</f>
        <v/>
      </c>
      <c r="U904" s="32" t="str">
        <f aca="false">IF(OR(F904="",C904=""),"",IF(COUNTIF($C$2:C904,C904)=1,MAX($U$1:U903)+1,""))</f>
        <v/>
      </c>
    </row>
    <row r="905" customFormat="false" ht="15" hidden="false" customHeight="false" outlineLevel="0" collapsed="false">
      <c r="A905" s="34"/>
      <c r="B905" s="9"/>
      <c r="C905" s="34"/>
      <c r="D905" s="34"/>
      <c r="E905" s="34"/>
      <c r="F905" s="35"/>
      <c r="G905" s="9"/>
      <c r="H905" s="9"/>
      <c r="I905" s="34"/>
      <c r="J905" s="30" t="str">
        <f aca="false">IF(F905="","",G905-B905)</f>
        <v/>
      </c>
      <c r="K905" s="31" t="str">
        <f aca="false">IF(F905="","",IF(H905&lt;&gt;"",H905,MAX('Vade Sapması'!$D$3,G905)))</f>
        <v/>
      </c>
      <c r="L905" s="30" t="str">
        <f aca="false">IF(F905="","",K905-B905)</f>
        <v/>
      </c>
      <c r="M905" s="30" t="str">
        <f aca="false">IF(F905="","",L905-J905)</f>
        <v/>
      </c>
      <c r="N905" s="32" t="str">
        <f aca="false">IF(F905="","",IF(H905&lt;&gt;"","Kapandı",IF('Vade Sapması'!$D$3&gt;G905,"Açık · vadesi geçti","Açık · vadesi gelmedi")))</f>
        <v/>
      </c>
      <c r="O905" s="30" t="str">
        <f aca="false">IF(F905="","",IF(AND(H905="",'Vade Sapması'!$D$3&gt;G905),'Vade Sapması'!$D$3-G905,0))</f>
        <v/>
      </c>
      <c r="P905" s="33" t="str">
        <f aca="false">IF(F905="","",F905*J905)</f>
        <v/>
      </c>
      <c r="Q905" s="33" t="str">
        <f aca="false">IF(F905="","",F905*L905)</f>
        <v/>
      </c>
      <c r="R905" s="33" t="str">
        <f aca="false">IF(F905="","",IF(H905="",F905,0))</f>
        <v/>
      </c>
      <c r="S905" s="32" t="str">
        <f aca="false">IF(F905="","",IF(N(O905)=0,"",IF(O905&lt;=30,"1-30",IF(O905&lt;=60,"31-60",IF(O905&lt;=90,"61-90","90+")))))</f>
        <v/>
      </c>
      <c r="T905" s="32" t="str">
        <f aca="false">IF(F905="","",IF(E905="","Diğer",E905))</f>
        <v/>
      </c>
      <c r="U905" s="32" t="str">
        <f aca="false">IF(OR(F905="",C905=""),"",IF(COUNTIF($C$2:C905,C905)=1,MAX($U$1:U904)+1,""))</f>
        <v/>
      </c>
    </row>
    <row r="906" customFormat="false" ht="15" hidden="false" customHeight="false" outlineLevel="0" collapsed="false">
      <c r="A906" s="34"/>
      <c r="B906" s="9"/>
      <c r="C906" s="34"/>
      <c r="D906" s="34"/>
      <c r="E906" s="34"/>
      <c r="F906" s="35"/>
      <c r="G906" s="9"/>
      <c r="H906" s="9"/>
      <c r="I906" s="34"/>
      <c r="J906" s="30" t="str">
        <f aca="false">IF(F906="","",G906-B906)</f>
        <v/>
      </c>
      <c r="K906" s="31" t="str">
        <f aca="false">IF(F906="","",IF(H906&lt;&gt;"",H906,MAX('Vade Sapması'!$D$3,G906)))</f>
        <v/>
      </c>
      <c r="L906" s="30" t="str">
        <f aca="false">IF(F906="","",K906-B906)</f>
        <v/>
      </c>
      <c r="M906" s="30" t="str">
        <f aca="false">IF(F906="","",L906-J906)</f>
        <v/>
      </c>
      <c r="N906" s="32" t="str">
        <f aca="false">IF(F906="","",IF(H906&lt;&gt;"","Kapandı",IF('Vade Sapması'!$D$3&gt;G906,"Açık · vadesi geçti","Açık · vadesi gelmedi")))</f>
        <v/>
      </c>
      <c r="O906" s="30" t="str">
        <f aca="false">IF(F906="","",IF(AND(H906="",'Vade Sapması'!$D$3&gt;G906),'Vade Sapması'!$D$3-G906,0))</f>
        <v/>
      </c>
      <c r="P906" s="33" t="str">
        <f aca="false">IF(F906="","",F906*J906)</f>
        <v/>
      </c>
      <c r="Q906" s="33" t="str">
        <f aca="false">IF(F906="","",F906*L906)</f>
        <v/>
      </c>
      <c r="R906" s="33" t="str">
        <f aca="false">IF(F906="","",IF(H906="",F906,0))</f>
        <v/>
      </c>
      <c r="S906" s="32" t="str">
        <f aca="false">IF(F906="","",IF(N(O906)=0,"",IF(O906&lt;=30,"1-30",IF(O906&lt;=60,"31-60",IF(O906&lt;=90,"61-90","90+")))))</f>
        <v/>
      </c>
      <c r="T906" s="32" t="str">
        <f aca="false">IF(F906="","",IF(E906="","Diğer",E906))</f>
        <v/>
      </c>
      <c r="U906" s="32" t="str">
        <f aca="false">IF(OR(F906="",C906=""),"",IF(COUNTIF($C$2:C906,C906)=1,MAX($U$1:U905)+1,""))</f>
        <v/>
      </c>
    </row>
    <row r="907" customFormat="false" ht="15" hidden="false" customHeight="false" outlineLevel="0" collapsed="false">
      <c r="A907" s="34"/>
      <c r="B907" s="9"/>
      <c r="C907" s="34"/>
      <c r="D907" s="34"/>
      <c r="E907" s="34"/>
      <c r="F907" s="35"/>
      <c r="G907" s="9"/>
      <c r="H907" s="9"/>
      <c r="I907" s="34"/>
      <c r="J907" s="30" t="str">
        <f aca="false">IF(F907="","",G907-B907)</f>
        <v/>
      </c>
      <c r="K907" s="31" t="str">
        <f aca="false">IF(F907="","",IF(H907&lt;&gt;"",H907,MAX('Vade Sapması'!$D$3,G907)))</f>
        <v/>
      </c>
      <c r="L907" s="30" t="str">
        <f aca="false">IF(F907="","",K907-B907)</f>
        <v/>
      </c>
      <c r="M907" s="30" t="str">
        <f aca="false">IF(F907="","",L907-J907)</f>
        <v/>
      </c>
      <c r="N907" s="32" t="str">
        <f aca="false">IF(F907="","",IF(H907&lt;&gt;"","Kapandı",IF('Vade Sapması'!$D$3&gt;G907,"Açık · vadesi geçti","Açık · vadesi gelmedi")))</f>
        <v/>
      </c>
      <c r="O907" s="30" t="str">
        <f aca="false">IF(F907="","",IF(AND(H907="",'Vade Sapması'!$D$3&gt;G907),'Vade Sapması'!$D$3-G907,0))</f>
        <v/>
      </c>
      <c r="P907" s="33" t="str">
        <f aca="false">IF(F907="","",F907*J907)</f>
        <v/>
      </c>
      <c r="Q907" s="33" t="str">
        <f aca="false">IF(F907="","",F907*L907)</f>
        <v/>
      </c>
      <c r="R907" s="33" t="str">
        <f aca="false">IF(F907="","",IF(H907="",F907,0))</f>
        <v/>
      </c>
      <c r="S907" s="32" t="str">
        <f aca="false">IF(F907="","",IF(N(O907)=0,"",IF(O907&lt;=30,"1-30",IF(O907&lt;=60,"31-60",IF(O907&lt;=90,"61-90","90+")))))</f>
        <v/>
      </c>
      <c r="T907" s="32" t="str">
        <f aca="false">IF(F907="","",IF(E907="","Diğer",E907))</f>
        <v/>
      </c>
      <c r="U907" s="32" t="str">
        <f aca="false">IF(OR(F907="",C907=""),"",IF(COUNTIF($C$2:C907,C907)=1,MAX($U$1:U906)+1,""))</f>
        <v/>
      </c>
    </row>
    <row r="908" customFormat="false" ht="15" hidden="false" customHeight="false" outlineLevel="0" collapsed="false">
      <c r="A908" s="34"/>
      <c r="B908" s="9"/>
      <c r="C908" s="34"/>
      <c r="D908" s="34"/>
      <c r="E908" s="34"/>
      <c r="F908" s="35"/>
      <c r="G908" s="9"/>
      <c r="H908" s="9"/>
      <c r="I908" s="34"/>
      <c r="J908" s="30" t="str">
        <f aca="false">IF(F908="","",G908-B908)</f>
        <v/>
      </c>
      <c r="K908" s="31" t="str">
        <f aca="false">IF(F908="","",IF(H908&lt;&gt;"",H908,MAX('Vade Sapması'!$D$3,G908)))</f>
        <v/>
      </c>
      <c r="L908" s="30" t="str">
        <f aca="false">IF(F908="","",K908-B908)</f>
        <v/>
      </c>
      <c r="M908" s="30" t="str">
        <f aca="false">IF(F908="","",L908-J908)</f>
        <v/>
      </c>
      <c r="N908" s="32" t="str">
        <f aca="false">IF(F908="","",IF(H908&lt;&gt;"","Kapandı",IF('Vade Sapması'!$D$3&gt;G908,"Açık · vadesi geçti","Açık · vadesi gelmedi")))</f>
        <v/>
      </c>
      <c r="O908" s="30" t="str">
        <f aca="false">IF(F908="","",IF(AND(H908="",'Vade Sapması'!$D$3&gt;G908),'Vade Sapması'!$D$3-G908,0))</f>
        <v/>
      </c>
      <c r="P908" s="33" t="str">
        <f aca="false">IF(F908="","",F908*J908)</f>
        <v/>
      </c>
      <c r="Q908" s="33" t="str">
        <f aca="false">IF(F908="","",F908*L908)</f>
        <v/>
      </c>
      <c r="R908" s="33" t="str">
        <f aca="false">IF(F908="","",IF(H908="",F908,0))</f>
        <v/>
      </c>
      <c r="S908" s="32" t="str">
        <f aca="false">IF(F908="","",IF(N(O908)=0,"",IF(O908&lt;=30,"1-30",IF(O908&lt;=60,"31-60",IF(O908&lt;=90,"61-90","90+")))))</f>
        <v/>
      </c>
      <c r="T908" s="32" t="str">
        <f aca="false">IF(F908="","",IF(E908="","Diğer",E908))</f>
        <v/>
      </c>
      <c r="U908" s="32" t="str">
        <f aca="false">IF(OR(F908="",C908=""),"",IF(COUNTIF($C$2:C908,C908)=1,MAX($U$1:U907)+1,""))</f>
        <v/>
      </c>
    </row>
    <row r="909" customFormat="false" ht="15" hidden="false" customHeight="false" outlineLevel="0" collapsed="false">
      <c r="A909" s="34"/>
      <c r="B909" s="9"/>
      <c r="C909" s="34"/>
      <c r="D909" s="34"/>
      <c r="E909" s="34"/>
      <c r="F909" s="35"/>
      <c r="G909" s="9"/>
      <c r="H909" s="9"/>
      <c r="I909" s="34"/>
      <c r="J909" s="30" t="str">
        <f aca="false">IF(F909="","",G909-B909)</f>
        <v/>
      </c>
      <c r="K909" s="31" t="str">
        <f aca="false">IF(F909="","",IF(H909&lt;&gt;"",H909,MAX('Vade Sapması'!$D$3,G909)))</f>
        <v/>
      </c>
      <c r="L909" s="30" t="str">
        <f aca="false">IF(F909="","",K909-B909)</f>
        <v/>
      </c>
      <c r="M909" s="30" t="str">
        <f aca="false">IF(F909="","",L909-J909)</f>
        <v/>
      </c>
      <c r="N909" s="32" t="str">
        <f aca="false">IF(F909="","",IF(H909&lt;&gt;"","Kapandı",IF('Vade Sapması'!$D$3&gt;G909,"Açık · vadesi geçti","Açık · vadesi gelmedi")))</f>
        <v/>
      </c>
      <c r="O909" s="30" t="str">
        <f aca="false">IF(F909="","",IF(AND(H909="",'Vade Sapması'!$D$3&gt;G909),'Vade Sapması'!$D$3-G909,0))</f>
        <v/>
      </c>
      <c r="P909" s="33" t="str">
        <f aca="false">IF(F909="","",F909*J909)</f>
        <v/>
      </c>
      <c r="Q909" s="33" t="str">
        <f aca="false">IF(F909="","",F909*L909)</f>
        <v/>
      </c>
      <c r="R909" s="33" t="str">
        <f aca="false">IF(F909="","",IF(H909="",F909,0))</f>
        <v/>
      </c>
      <c r="S909" s="32" t="str">
        <f aca="false">IF(F909="","",IF(N(O909)=0,"",IF(O909&lt;=30,"1-30",IF(O909&lt;=60,"31-60",IF(O909&lt;=90,"61-90","90+")))))</f>
        <v/>
      </c>
      <c r="T909" s="32" t="str">
        <f aca="false">IF(F909="","",IF(E909="","Diğer",E909))</f>
        <v/>
      </c>
      <c r="U909" s="32" t="str">
        <f aca="false">IF(OR(F909="",C909=""),"",IF(COUNTIF($C$2:C909,C909)=1,MAX($U$1:U908)+1,""))</f>
        <v/>
      </c>
    </row>
    <row r="910" customFormat="false" ht="15" hidden="false" customHeight="false" outlineLevel="0" collapsed="false">
      <c r="A910" s="34"/>
      <c r="B910" s="9"/>
      <c r="C910" s="34"/>
      <c r="D910" s="34"/>
      <c r="E910" s="34"/>
      <c r="F910" s="35"/>
      <c r="G910" s="9"/>
      <c r="H910" s="9"/>
      <c r="I910" s="34"/>
      <c r="J910" s="30" t="str">
        <f aca="false">IF(F910="","",G910-B910)</f>
        <v/>
      </c>
      <c r="K910" s="31" t="str">
        <f aca="false">IF(F910="","",IF(H910&lt;&gt;"",H910,MAX('Vade Sapması'!$D$3,G910)))</f>
        <v/>
      </c>
      <c r="L910" s="30" t="str">
        <f aca="false">IF(F910="","",K910-B910)</f>
        <v/>
      </c>
      <c r="M910" s="30" t="str">
        <f aca="false">IF(F910="","",L910-J910)</f>
        <v/>
      </c>
      <c r="N910" s="32" t="str">
        <f aca="false">IF(F910="","",IF(H910&lt;&gt;"","Kapandı",IF('Vade Sapması'!$D$3&gt;G910,"Açık · vadesi geçti","Açık · vadesi gelmedi")))</f>
        <v/>
      </c>
      <c r="O910" s="30" t="str">
        <f aca="false">IF(F910="","",IF(AND(H910="",'Vade Sapması'!$D$3&gt;G910),'Vade Sapması'!$D$3-G910,0))</f>
        <v/>
      </c>
      <c r="P910" s="33" t="str">
        <f aca="false">IF(F910="","",F910*J910)</f>
        <v/>
      </c>
      <c r="Q910" s="33" t="str">
        <f aca="false">IF(F910="","",F910*L910)</f>
        <v/>
      </c>
      <c r="R910" s="33" t="str">
        <f aca="false">IF(F910="","",IF(H910="",F910,0))</f>
        <v/>
      </c>
      <c r="S910" s="32" t="str">
        <f aca="false">IF(F910="","",IF(N(O910)=0,"",IF(O910&lt;=30,"1-30",IF(O910&lt;=60,"31-60",IF(O910&lt;=90,"61-90","90+")))))</f>
        <v/>
      </c>
      <c r="T910" s="32" t="str">
        <f aca="false">IF(F910="","",IF(E910="","Diğer",E910))</f>
        <v/>
      </c>
      <c r="U910" s="32" t="str">
        <f aca="false">IF(OR(F910="",C910=""),"",IF(COUNTIF($C$2:C910,C910)=1,MAX($U$1:U909)+1,""))</f>
        <v/>
      </c>
    </row>
    <row r="911" customFormat="false" ht="15" hidden="false" customHeight="false" outlineLevel="0" collapsed="false">
      <c r="A911" s="34"/>
      <c r="B911" s="9"/>
      <c r="C911" s="34"/>
      <c r="D911" s="34"/>
      <c r="E911" s="34"/>
      <c r="F911" s="35"/>
      <c r="G911" s="9"/>
      <c r="H911" s="9"/>
      <c r="I911" s="34"/>
      <c r="J911" s="30" t="str">
        <f aca="false">IF(F911="","",G911-B911)</f>
        <v/>
      </c>
      <c r="K911" s="31" t="str">
        <f aca="false">IF(F911="","",IF(H911&lt;&gt;"",H911,MAX('Vade Sapması'!$D$3,G911)))</f>
        <v/>
      </c>
      <c r="L911" s="30" t="str">
        <f aca="false">IF(F911="","",K911-B911)</f>
        <v/>
      </c>
      <c r="M911" s="30" t="str">
        <f aca="false">IF(F911="","",L911-J911)</f>
        <v/>
      </c>
      <c r="N911" s="32" t="str">
        <f aca="false">IF(F911="","",IF(H911&lt;&gt;"","Kapandı",IF('Vade Sapması'!$D$3&gt;G911,"Açık · vadesi geçti","Açık · vadesi gelmedi")))</f>
        <v/>
      </c>
      <c r="O911" s="30" t="str">
        <f aca="false">IF(F911="","",IF(AND(H911="",'Vade Sapması'!$D$3&gt;G911),'Vade Sapması'!$D$3-G911,0))</f>
        <v/>
      </c>
      <c r="P911" s="33" t="str">
        <f aca="false">IF(F911="","",F911*J911)</f>
        <v/>
      </c>
      <c r="Q911" s="33" t="str">
        <f aca="false">IF(F911="","",F911*L911)</f>
        <v/>
      </c>
      <c r="R911" s="33" t="str">
        <f aca="false">IF(F911="","",IF(H911="",F911,0))</f>
        <v/>
      </c>
      <c r="S911" s="32" t="str">
        <f aca="false">IF(F911="","",IF(N(O911)=0,"",IF(O911&lt;=30,"1-30",IF(O911&lt;=60,"31-60",IF(O911&lt;=90,"61-90","90+")))))</f>
        <v/>
      </c>
      <c r="T911" s="32" t="str">
        <f aca="false">IF(F911="","",IF(E911="","Diğer",E911))</f>
        <v/>
      </c>
      <c r="U911" s="32" t="str">
        <f aca="false">IF(OR(F911="",C911=""),"",IF(COUNTIF($C$2:C911,C911)=1,MAX($U$1:U910)+1,""))</f>
        <v/>
      </c>
    </row>
    <row r="912" customFormat="false" ht="15" hidden="false" customHeight="false" outlineLevel="0" collapsed="false">
      <c r="A912" s="34"/>
      <c r="B912" s="9"/>
      <c r="C912" s="34"/>
      <c r="D912" s="34"/>
      <c r="E912" s="34"/>
      <c r="F912" s="35"/>
      <c r="G912" s="9"/>
      <c r="H912" s="9"/>
      <c r="I912" s="34"/>
      <c r="J912" s="30" t="str">
        <f aca="false">IF(F912="","",G912-B912)</f>
        <v/>
      </c>
      <c r="K912" s="31" t="str">
        <f aca="false">IF(F912="","",IF(H912&lt;&gt;"",H912,MAX('Vade Sapması'!$D$3,G912)))</f>
        <v/>
      </c>
      <c r="L912" s="30" t="str">
        <f aca="false">IF(F912="","",K912-B912)</f>
        <v/>
      </c>
      <c r="M912" s="30" t="str">
        <f aca="false">IF(F912="","",L912-J912)</f>
        <v/>
      </c>
      <c r="N912" s="32" t="str">
        <f aca="false">IF(F912="","",IF(H912&lt;&gt;"","Kapandı",IF('Vade Sapması'!$D$3&gt;G912,"Açık · vadesi geçti","Açık · vadesi gelmedi")))</f>
        <v/>
      </c>
      <c r="O912" s="30" t="str">
        <f aca="false">IF(F912="","",IF(AND(H912="",'Vade Sapması'!$D$3&gt;G912),'Vade Sapması'!$D$3-G912,0))</f>
        <v/>
      </c>
      <c r="P912" s="33" t="str">
        <f aca="false">IF(F912="","",F912*J912)</f>
        <v/>
      </c>
      <c r="Q912" s="33" t="str">
        <f aca="false">IF(F912="","",F912*L912)</f>
        <v/>
      </c>
      <c r="R912" s="33" t="str">
        <f aca="false">IF(F912="","",IF(H912="",F912,0))</f>
        <v/>
      </c>
      <c r="S912" s="32" t="str">
        <f aca="false">IF(F912="","",IF(N(O912)=0,"",IF(O912&lt;=30,"1-30",IF(O912&lt;=60,"31-60",IF(O912&lt;=90,"61-90","90+")))))</f>
        <v/>
      </c>
      <c r="T912" s="32" t="str">
        <f aca="false">IF(F912="","",IF(E912="","Diğer",E912))</f>
        <v/>
      </c>
      <c r="U912" s="32" t="str">
        <f aca="false">IF(OR(F912="",C912=""),"",IF(COUNTIF($C$2:C912,C912)=1,MAX($U$1:U911)+1,""))</f>
        <v/>
      </c>
    </row>
    <row r="913" customFormat="false" ht="15" hidden="false" customHeight="false" outlineLevel="0" collapsed="false">
      <c r="A913" s="34"/>
      <c r="B913" s="9"/>
      <c r="C913" s="34"/>
      <c r="D913" s="34"/>
      <c r="E913" s="34"/>
      <c r="F913" s="35"/>
      <c r="G913" s="9"/>
      <c r="H913" s="9"/>
      <c r="I913" s="34"/>
      <c r="J913" s="30" t="str">
        <f aca="false">IF(F913="","",G913-B913)</f>
        <v/>
      </c>
      <c r="K913" s="31" t="str">
        <f aca="false">IF(F913="","",IF(H913&lt;&gt;"",H913,MAX('Vade Sapması'!$D$3,G913)))</f>
        <v/>
      </c>
      <c r="L913" s="30" t="str">
        <f aca="false">IF(F913="","",K913-B913)</f>
        <v/>
      </c>
      <c r="M913" s="30" t="str">
        <f aca="false">IF(F913="","",L913-J913)</f>
        <v/>
      </c>
      <c r="N913" s="32" t="str">
        <f aca="false">IF(F913="","",IF(H913&lt;&gt;"","Kapandı",IF('Vade Sapması'!$D$3&gt;G913,"Açık · vadesi geçti","Açık · vadesi gelmedi")))</f>
        <v/>
      </c>
      <c r="O913" s="30" t="str">
        <f aca="false">IF(F913="","",IF(AND(H913="",'Vade Sapması'!$D$3&gt;G913),'Vade Sapması'!$D$3-G913,0))</f>
        <v/>
      </c>
      <c r="P913" s="33" t="str">
        <f aca="false">IF(F913="","",F913*J913)</f>
        <v/>
      </c>
      <c r="Q913" s="33" t="str">
        <f aca="false">IF(F913="","",F913*L913)</f>
        <v/>
      </c>
      <c r="R913" s="33" t="str">
        <f aca="false">IF(F913="","",IF(H913="",F913,0))</f>
        <v/>
      </c>
      <c r="S913" s="32" t="str">
        <f aca="false">IF(F913="","",IF(N(O913)=0,"",IF(O913&lt;=30,"1-30",IF(O913&lt;=60,"31-60",IF(O913&lt;=90,"61-90","90+")))))</f>
        <v/>
      </c>
      <c r="T913" s="32" t="str">
        <f aca="false">IF(F913="","",IF(E913="","Diğer",E913))</f>
        <v/>
      </c>
      <c r="U913" s="32" t="str">
        <f aca="false">IF(OR(F913="",C913=""),"",IF(COUNTIF($C$2:C913,C913)=1,MAX($U$1:U912)+1,""))</f>
        <v/>
      </c>
    </row>
    <row r="914" customFormat="false" ht="15" hidden="false" customHeight="false" outlineLevel="0" collapsed="false">
      <c r="A914" s="34"/>
      <c r="B914" s="9"/>
      <c r="C914" s="34"/>
      <c r="D914" s="34"/>
      <c r="E914" s="34"/>
      <c r="F914" s="35"/>
      <c r="G914" s="9"/>
      <c r="H914" s="9"/>
      <c r="I914" s="34"/>
      <c r="J914" s="30" t="str">
        <f aca="false">IF(F914="","",G914-B914)</f>
        <v/>
      </c>
      <c r="K914" s="31" t="str">
        <f aca="false">IF(F914="","",IF(H914&lt;&gt;"",H914,MAX('Vade Sapması'!$D$3,G914)))</f>
        <v/>
      </c>
      <c r="L914" s="30" t="str">
        <f aca="false">IF(F914="","",K914-B914)</f>
        <v/>
      </c>
      <c r="M914" s="30" t="str">
        <f aca="false">IF(F914="","",L914-J914)</f>
        <v/>
      </c>
      <c r="N914" s="32" t="str">
        <f aca="false">IF(F914="","",IF(H914&lt;&gt;"","Kapandı",IF('Vade Sapması'!$D$3&gt;G914,"Açık · vadesi geçti","Açık · vadesi gelmedi")))</f>
        <v/>
      </c>
      <c r="O914" s="30" t="str">
        <f aca="false">IF(F914="","",IF(AND(H914="",'Vade Sapması'!$D$3&gt;G914),'Vade Sapması'!$D$3-G914,0))</f>
        <v/>
      </c>
      <c r="P914" s="33" t="str">
        <f aca="false">IF(F914="","",F914*J914)</f>
        <v/>
      </c>
      <c r="Q914" s="33" t="str">
        <f aca="false">IF(F914="","",F914*L914)</f>
        <v/>
      </c>
      <c r="R914" s="33" t="str">
        <f aca="false">IF(F914="","",IF(H914="",F914,0))</f>
        <v/>
      </c>
      <c r="S914" s="32" t="str">
        <f aca="false">IF(F914="","",IF(N(O914)=0,"",IF(O914&lt;=30,"1-30",IF(O914&lt;=60,"31-60",IF(O914&lt;=90,"61-90","90+")))))</f>
        <v/>
      </c>
      <c r="T914" s="32" t="str">
        <f aca="false">IF(F914="","",IF(E914="","Diğer",E914))</f>
        <v/>
      </c>
      <c r="U914" s="32" t="str">
        <f aca="false">IF(OR(F914="",C914=""),"",IF(COUNTIF($C$2:C914,C914)=1,MAX($U$1:U913)+1,""))</f>
        <v/>
      </c>
    </row>
    <row r="915" customFormat="false" ht="15" hidden="false" customHeight="false" outlineLevel="0" collapsed="false">
      <c r="A915" s="34"/>
      <c r="B915" s="9"/>
      <c r="C915" s="34"/>
      <c r="D915" s="34"/>
      <c r="E915" s="34"/>
      <c r="F915" s="35"/>
      <c r="G915" s="9"/>
      <c r="H915" s="9"/>
      <c r="I915" s="34"/>
      <c r="J915" s="30" t="str">
        <f aca="false">IF(F915="","",G915-B915)</f>
        <v/>
      </c>
      <c r="K915" s="31" t="str">
        <f aca="false">IF(F915="","",IF(H915&lt;&gt;"",H915,MAX('Vade Sapması'!$D$3,G915)))</f>
        <v/>
      </c>
      <c r="L915" s="30" t="str">
        <f aca="false">IF(F915="","",K915-B915)</f>
        <v/>
      </c>
      <c r="M915" s="30" t="str">
        <f aca="false">IF(F915="","",L915-J915)</f>
        <v/>
      </c>
      <c r="N915" s="32" t="str">
        <f aca="false">IF(F915="","",IF(H915&lt;&gt;"","Kapandı",IF('Vade Sapması'!$D$3&gt;G915,"Açık · vadesi geçti","Açık · vadesi gelmedi")))</f>
        <v/>
      </c>
      <c r="O915" s="30" t="str">
        <f aca="false">IF(F915="","",IF(AND(H915="",'Vade Sapması'!$D$3&gt;G915),'Vade Sapması'!$D$3-G915,0))</f>
        <v/>
      </c>
      <c r="P915" s="33" t="str">
        <f aca="false">IF(F915="","",F915*J915)</f>
        <v/>
      </c>
      <c r="Q915" s="33" t="str">
        <f aca="false">IF(F915="","",F915*L915)</f>
        <v/>
      </c>
      <c r="R915" s="33" t="str">
        <f aca="false">IF(F915="","",IF(H915="",F915,0))</f>
        <v/>
      </c>
      <c r="S915" s="32" t="str">
        <f aca="false">IF(F915="","",IF(N(O915)=0,"",IF(O915&lt;=30,"1-30",IF(O915&lt;=60,"31-60",IF(O915&lt;=90,"61-90","90+")))))</f>
        <v/>
      </c>
      <c r="T915" s="32" t="str">
        <f aca="false">IF(F915="","",IF(E915="","Diğer",E915))</f>
        <v/>
      </c>
      <c r="U915" s="32" t="str">
        <f aca="false">IF(OR(F915="",C915=""),"",IF(COUNTIF($C$2:C915,C915)=1,MAX($U$1:U914)+1,""))</f>
        <v/>
      </c>
    </row>
    <row r="916" customFormat="false" ht="15" hidden="false" customHeight="false" outlineLevel="0" collapsed="false">
      <c r="A916" s="34"/>
      <c r="B916" s="9"/>
      <c r="C916" s="34"/>
      <c r="D916" s="34"/>
      <c r="E916" s="34"/>
      <c r="F916" s="35"/>
      <c r="G916" s="9"/>
      <c r="H916" s="9"/>
      <c r="I916" s="34"/>
      <c r="J916" s="30" t="str">
        <f aca="false">IF(F916="","",G916-B916)</f>
        <v/>
      </c>
      <c r="K916" s="31" t="str">
        <f aca="false">IF(F916="","",IF(H916&lt;&gt;"",H916,MAX('Vade Sapması'!$D$3,G916)))</f>
        <v/>
      </c>
      <c r="L916" s="30" t="str">
        <f aca="false">IF(F916="","",K916-B916)</f>
        <v/>
      </c>
      <c r="M916" s="30" t="str">
        <f aca="false">IF(F916="","",L916-J916)</f>
        <v/>
      </c>
      <c r="N916" s="32" t="str">
        <f aca="false">IF(F916="","",IF(H916&lt;&gt;"","Kapandı",IF('Vade Sapması'!$D$3&gt;G916,"Açık · vadesi geçti","Açık · vadesi gelmedi")))</f>
        <v/>
      </c>
      <c r="O916" s="30" t="str">
        <f aca="false">IF(F916="","",IF(AND(H916="",'Vade Sapması'!$D$3&gt;G916),'Vade Sapması'!$D$3-G916,0))</f>
        <v/>
      </c>
      <c r="P916" s="33" t="str">
        <f aca="false">IF(F916="","",F916*J916)</f>
        <v/>
      </c>
      <c r="Q916" s="33" t="str">
        <f aca="false">IF(F916="","",F916*L916)</f>
        <v/>
      </c>
      <c r="R916" s="33" t="str">
        <f aca="false">IF(F916="","",IF(H916="",F916,0))</f>
        <v/>
      </c>
      <c r="S916" s="32" t="str">
        <f aca="false">IF(F916="","",IF(N(O916)=0,"",IF(O916&lt;=30,"1-30",IF(O916&lt;=60,"31-60",IF(O916&lt;=90,"61-90","90+")))))</f>
        <v/>
      </c>
      <c r="T916" s="32" t="str">
        <f aca="false">IF(F916="","",IF(E916="","Diğer",E916))</f>
        <v/>
      </c>
      <c r="U916" s="32" t="str">
        <f aca="false">IF(OR(F916="",C916=""),"",IF(COUNTIF($C$2:C916,C916)=1,MAX($U$1:U915)+1,""))</f>
        <v/>
      </c>
    </row>
    <row r="917" customFormat="false" ht="15" hidden="false" customHeight="false" outlineLevel="0" collapsed="false">
      <c r="A917" s="34"/>
      <c r="B917" s="9"/>
      <c r="C917" s="34"/>
      <c r="D917" s="34"/>
      <c r="E917" s="34"/>
      <c r="F917" s="35"/>
      <c r="G917" s="9"/>
      <c r="H917" s="9"/>
      <c r="I917" s="34"/>
      <c r="J917" s="30" t="str">
        <f aca="false">IF(F917="","",G917-B917)</f>
        <v/>
      </c>
      <c r="K917" s="31" t="str">
        <f aca="false">IF(F917="","",IF(H917&lt;&gt;"",H917,MAX('Vade Sapması'!$D$3,G917)))</f>
        <v/>
      </c>
      <c r="L917" s="30" t="str">
        <f aca="false">IF(F917="","",K917-B917)</f>
        <v/>
      </c>
      <c r="M917" s="30" t="str">
        <f aca="false">IF(F917="","",L917-J917)</f>
        <v/>
      </c>
      <c r="N917" s="32" t="str">
        <f aca="false">IF(F917="","",IF(H917&lt;&gt;"","Kapandı",IF('Vade Sapması'!$D$3&gt;G917,"Açık · vadesi geçti","Açık · vadesi gelmedi")))</f>
        <v/>
      </c>
      <c r="O917" s="30" t="str">
        <f aca="false">IF(F917="","",IF(AND(H917="",'Vade Sapması'!$D$3&gt;G917),'Vade Sapması'!$D$3-G917,0))</f>
        <v/>
      </c>
      <c r="P917" s="33" t="str">
        <f aca="false">IF(F917="","",F917*J917)</f>
        <v/>
      </c>
      <c r="Q917" s="33" t="str">
        <f aca="false">IF(F917="","",F917*L917)</f>
        <v/>
      </c>
      <c r="R917" s="33" t="str">
        <f aca="false">IF(F917="","",IF(H917="",F917,0))</f>
        <v/>
      </c>
      <c r="S917" s="32" t="str">
        <f aca="false">IF(F917="","",IF(N(O917)=0,"",IF(O917&lt;=30,"1-30",IF(O917&lt;=60,"31-60",IF(O917&lt;=90,"61-90","90+")))))</f>
        <v/>
      </c>
      <c r="T917" s="32" t="str">
        <f aca="false">IF(F917="","",IF(E917="","Diğer",E917))</f>
        <v/>
      </c>
      <c r="U917" s="32" t="str">
        <f aca="false">IF(OR(F917="",C917=""),"",IF(COUNTIF($C$2:C917,C917)=1,MAX($U$1:U916)+1,""))</f>
        <v/>
      </c>
    </row>
    <row r="918" customFormat="false" ht="15" hidden="false" customHeight="false" outlineLevel="0" collapsed="false">
      <c r="A918" s="34"/>
      <c r="B918" s="9"/>
      <c r="C918" s="34"/>
      <c r="D918" s="34"/>
      <c r="E918" s="34"/>
      <c r="F918" s="35"/>
      <c r="G918" s="9"/>
      <c r="H918" s="9"/>
      <c r="I918" s="34"/>
      <c r="J918" s="30" t="str">
        <f aca="false">IF(F918="","",G918-B918)</f>
        <v/>
      </c>
      <c r="K918" s="31" t="str">
        <f aca="false">IF(F918="","",IF(H918&lt;&gt;"",H918,MAX('Vade Sapması'!$D$3,G918)))</f>
        <v/>
      </c>
      <c r="L918" s="30" t="str">
        <f aca="false">IF(F918="","",K918-B918)</f>
        <v/>
      </c>
      <c r="M918" s="30" t="str">
        <f aca="false">IF(F918="","",L918-J918)</f>
        <v/>
      </c>
      <c r="N918" s="32" t="str">
        <f aca="false">IF(F918="","",IF(H918&lt;&gt;"","Kapandı",IF('Vade Sapması'!$D$3&gt;G918,"Açık · vadesi geçti","Açık · vadesi gelmedi")))</f>
        <v/>
      </c>
      <c r="O918" s="30" t="str">
        <f aca="false">IF(F918="","",IF(AND(H918="",'Vade Sapması'!$D$3&gt;G918),'Vade Sapması'!$D$3-G918,0))</f>
        <v/>
      </c>
      <c r="P918" s="33" t="str">
        <f aca="false">IF(F918="","",F918*J918)</f>
        <v/>
      </c>
      <c r="Q918" s="33" t="str">
        <f aca="false">IF(F918="","",F918*L918)</f>
        <v/>
      </c>
      <c r="R918" s="33" t="str">
        <f aca="false">IF(F918="","",IF(H918="",F918,0))</f>
        <v/>
      </c>
      <c r="S918" s="32" t="str">
        <f aca="false">IF(F918="","",IF(N(O918)=0,"",IF(O918&lt;=30,"1-30",IF(O918&lt;=60,"31-60",IF(O918&lt;=90,"61-90","90+")))))</f>
        <v/>
      </c>
      <c r="T918" s="32" t="str">
        <f aca="false">IF(F918="","",IF(E918="","Diğer",E918))</f>
        <v/>
      </c>
      <c r="U918" s="32" t="str">
        <f aca="false">IF(OR(F918="",C918=""),"",IF(COUNTIF($C$2:C918,C918)=1,MAX($U$1:U917)+1,""))</f>
        <v/>
      </c>
    </row>
    <row r="919" customFormat="false" ht="15" hidden="false" customHeight="false" outlineLevel="0" collapsed="false">
      <c r="A919" s="34"/>
      <c r="B919" s="9"/>
      <c r="C919" s="34"/>
      <c r="D919" s="34"/>
      <c r="E919" s="34"/>
      <c r="F919" s="35"/>
      <c r="G919" s="9"/>
      <c r="H919" s="9"/>
      <c r="I919" s="34"/>
      <c r="J919" s="30" t="str">
        <f aca="false">IF(F919="","",G919-B919)</f>
        <v/>
      </c>
      <c r="K919" s="31" t="str">
        <f aca="false">IF(F919="","",IF(H919&lt;&gt;"",H919,MAX('Vade Sapması'!$D$3,G919)))</f>
        <v/>
      </c>
      <c r="L919" s="30" t="str">
        <f aca="false">IF(F919="","",K919-B919)</f>
        <v/>
      </c>
      <c r="M919" s="30" t="str">
        <f aca="false">IF(F919="","",L919-J919)</f>
        <v/>
      </c>
      <c r="N919" s="32" t="str">
        <f aca="false">IF(F919="","",IF(H919&lt;&gt;"","Kapandı",IF('Vade Sapması'!$D$3&gt;G919,"Açık · vadesi geçti","Açık · vadesi gelmedi")))</f>
        <v/>
      </c>
      <c r="O919" s="30" t="str">
        <f aca="false">IF(F919="","",IF(AND(H919="",'Vade Sapması'!$D$3&gt;G919),'Vade Sapması'!$D$3-G919,0))</f>
        <v/>
      </c>
      <c r="P919" s="33" t="str">
        <f aca="false">IF(F919="","",F919*J919)</f>
        <v/>
      </c>
      <c r="Q919" s="33" t="str">
        <f aca="false">IF(F919="","",F919*L919)</f>
        <v/>
      </c>
      <c r="R919" s="33" t="str">
        <f aca="false">IF(F919="","",IF(H919="",F919,0))</f>
        <v/>
      </c>
      <c r="S919" s="32" t="str">
        <f aca="false">IF(F919="","",IF(N(O919)=0,"",IF(O919&lt;=30,"1-30",IF(O919&lt;=60,"31-60",IF(O919&lt;=90,"61-90","90+")))))</f>
        <v/>
      </c>
      <c r="T919" s="32" t="str">
        <f aca="false">IF(F919="","",IF(E919="","Diğer",E919))</f>
        <v/>
      </c>
      <c r="U919" s="32" t="str">
        <f aca="false">IF(OR(F919="",C919=""),"",IF(COUNTIF($C$2:C919,C919)=1,MAX($U$1:U918)+1,""))</f>
        <v/>
      </c>
    </row>
    <row r="920" customFormat="false" ht="15" hidden="false" customHeight="false" outlineLevel="0" collapsed="false">
      <c r="A920" s="34"/>
      <c r="B920" s="9"/>
      <c r="C920" s="34"/>
      <c r="D920" s="34"/>
      <c r="E920" s="34"/>
      <c r="F920" s="35"/>
      <c r="G920" s="9"/>
      <c r="H920" s="9"/>
      <c r="I920" s="34"/>
      <c r="J920" s="30" t="str">
        <f aca="false">IF(F920="","",G920-B920)</f>
        <v/>
      </c>
      <c r="K920" s="31" t="str">
        <f aca="false">IF(F920="","",IF(H920&lt;&gt;"",H920,MAX('Vade Sapması'!$D$3,G920)))</f>
        <v/>
      </c>
      <c r="L920" s="30" t="str">
        <f aca="false">IF(F920="","",K920-B920)</f>
        <v/>
      </c>
      <c r="M920" s="30" t="str">
        <f aca="false">IF(F920="","",L920-J920)</f>
        <v/>
      </c>
      <c r="N920" s="32" t="str">
        <f aca="false">IF(F920="","",IF(H920&lt;&gt;"","Kapandı",IF('Vade Sapması'!$D$3&gt;G920,"Açık · vadesi geçti","Açık · vadesi gelmedi")))</f>
        <v/>
      </c>
      <c r="O920" s="30" t="str">
        <f aca="false">IF(F920="","",IF(AND(H920="",'Vade Sapması'!$D$3&gt;G920),'Vade Sapması'!$D$3-G920,0))</f>
        <v/>
      </c>
      <c r="P920" s="33" t="str">
        <f aca="false">IF(F920="","",F920*J920)</f>
        <v/>
      </c>
      <c r="Q920" s="33" t="str">
        <f aca="false">IF(F920="","",F920*L920)</f>
        <v/>
      </c>
      <c r="R920" s="33" t="str">
        <f aca="false">IF(F920="","",IF(H920="",F920,0))</f>
        <v/>
      </c>
      <c r="S920" s="32" t="str">
        <f aca="false">IF(F920="","",IF(N(O920)=0,"",IF(O920&lt;=30,"1-30",IF(O920&lt;=60,"31-60",IF(O920&lt;=90,"61-90","90+")))))</f>
        <v/>
      </c>
      <c r="T920" s="32" t="str">
        <f aca="false">IF(F920="","",IF(E920="","Diğer",E920))</f>
        <v/>
      </c>
      <c r="U920" s="32" t="str">
        <f aca="false">IF(OR(F920="",C920=""),"",IF(COUNTIF($C$2:C920,C920)=1,MAX($U$1:U919)+1,""))</f>
        <v/>
      </c>
    </row>
    <row r="921" customFormat="false" ht="15" hidden="false" customHeight="false" outlineLevel="0" collapsed="false">
      <c r="A921" s="34"/>
      <c r="B921" s="9"/>
      <c r="C921" s="34"/>
      <c r="D921" s="34"/>
      <c r="E921" s="34"/>
      <c r="F921" s="35"/>
      <c r="G921" s="9"/>
      <c r="H921" s="9"/>
      <c r="I921" s="34"/>
      <c r="J921" s="30" t="str">
        <f aca="false">IF(F921="","",G921-B921)</f>
        <v/>
      </c>
      <c r="K921" s="31" t="str">
        <f aca="false">IF(F921="","",IF(H921&lt;&gt;"",H921,MAX('Vade Sapması'!$D$3,G921)))</f>
        <v/>
      </c>
      <c r="L921" s="30" t="str">
        <f aca="false">IF(F921="","",K921-B921)</f>
        <v/>
      </c>
      <c r="M921" s="30" t="str">
        <f aca="false">IF(F921="","",L921-J921)</f>
        <v/>
      </c>
      <c r="N921" s="32" t="str">
        <f aca="false">IF(F921="","",IF(H921&lt;&gt;"","Kapandı",IF('Vade Sapması'!$D$3&gt;G921,"Açık · vadesi geçti","Açık · vadesi gelmedi")))</f>
        <v/>
      </c>
      <c r="O921" s="30" t="str">
        <f aca="false">IF(F921="","",IF(AND(H921="",'Vade Sapması'!$D$3&gt;G921),'Vade Sapması'!$D$3-G921,0))</f>
        <v/>
      </c>
      <c r="P921" s="33" t="str">
        <f aca="false">IF(F921="","",F921*J921)</f>
        <v/>
      </c>
      <c r="Q921" s="33" t="str">
        <f aca="false">IF(F921="","",F921*L921)</f>
        <v/>
      </c>
      <c r="R921" s="33" t="str">
        <f aca="false">IF(F921="","",IF(H921="",F921,0))</f>
        <v/>
      </c>
      <c r="S921" s="32" t="str">
        <f aca="false">IF(F921="","",IF(N(O921)=0,"",IF(O921&lt;=30,"1-30",IF(O921&lt;=60,"31-60",IF(O921&lt;=90,"61-90","90+")))))</f>
        <v/>
      </c>
      <c r="T921" s="32" t="str">
        <f aca="false">IF(F921="","",IF(E921="","Diğer",E921))</f>
        <v/>
      </c>
      <c r="U921" s="32" t="str">
        <f aca="false">IF(OR(F921="",C921=""),"",IF(COUNTIF($C$2:C921,C921)=1,MAX($U$1:U920)+1,""))</f>
        <v/>
      </c>
    </row>
    <row r="922" customFormat="false" ht="15" hidden="false" customHeight="false" outlineLevel="0" collapsed="false">
      <c r="A922" s="34"/>
      <c r="B922" s="9"/>
      <c r="C922" s="34"/>
      <c r="D922" s="34"/>
      <c r="E922" s="34"/>
      <c r="F922" s="35"/>
      <c r="G922" s="9"/>
      <c r="H922" s="9"/>
      <c r="I922" s="34"/>
      <c r="J922" s="30" t="str">
        <f aca="false">IF(F922="","",G922-B922)</f>
        <v/>
      </c>
      <c r="K922" s="31" t="str">
        <f aca="false">IF(F922="","",IF(H922&lt;&gt;"",H922,MAX('Vade Sapması'!$D$3,G922)))</f>
        <v/>
      </c>
      <c r="L922" s="30" t="str">
        <f aca="false">IF(F922="","",K922-B922)</f>
        <v/>
      </c>
      <c r="M922" s="30" t="str">
        <f aca="false">IF(F922="","",L922-J922)</f>
        <v/>
      </c>
      <c r="N922" s="32" t="str">
        <f aca="false">IF(F922="","",IF(H922&lt;&gt;"","Kapandı",IF('Vade Sapması'!$D$3&gt;G922,"Açık · vadesi geçti","Açık · vadesi gelmedi")))</f>
        <v/>
      </c>
      <c r="O922" s="30" t="str">
        <f aca="false">IF(F922="","",IF(AND(H922="",'Vade Sapması'!$D$3&gt;G922),'Vade Sapması'!$D$3-G922,0))</f>
        <v/>
      </c>
      <c r="P922" s="33" t="str">
        <f aca="false">IF(F922="","",F922*J922)</f>
        <v/>
      </c>
      <c r="Q922" s="33" t="str">
        <f aca="false">IF(F922="","",F922*L922)</f>
        <v/>
      </c>
      <c r="R922" s="33" t="str">
        <f aca="false">IF(F922="","",IF(H922="",F922,0))</f>
        <v/>
      </c>
      <c r="S922" s="32" t="str">
        <f aca="false">IF(F922="","",IF(N(O922)=0,"",IF(O922&lt;=30,"1-30",IF(O922&lt;=60,"31-60",IF(O922&lt;=90,"61-90","90+")))))</f>
        <v/>
      </c>
      <c r="T922" s="32" t="str">
        <f aca="false">IF(F922="","",IF(E922="","Diğer",E922))</f>
        <v/>
      </c>
      <c r="U922" s="32" t="str">
        <f aca="false">IF(OR(F922="",C922=""),"",IF(COUNTIF($C$2:C922,C922)=1,MAX($U$1:U921)+1,""))</f>
        <v/>
      </c>
    </row>
    <row r="923" customFormat="false" ht="15" hidden="false" customHeight="false" outlineLevel="0" collapsed="false">
      <c r="A923" s="34"/>
      <c r="B923" s="9"/>
      <c r="C923" s="34"/>
      <c r="D923" s="34"/>
      <c r="E923" s="34"/>
      <c r="F923" s="35"/>
      <c r="G923" s="9"/>
      <c r="H923" s="9"/>
      <c r="I923" s="34"/>
      <c r="J923" s="30" t="str">
        <f aca="false">IF(F923="","",G923-B923)</f>
        <v/>
      </c>
      <c r="K923" s="31" t="str">
        <f aca="false">IF(F923="","",IF(H923&lt;&gt;"",H923,MAX('Vade Sapması'!$D$3,G923)))</f>
        <v/>
      </c>
      <c r="L923" s="30" t="str">
        <f aca="false">IF(F923="","",K923-B923)</f>
        <v/>
      </c>
      <c r="M923" s="30" t="str">
        <f aca="false">IF(F923="","",L923-J923)</f>
        <v/>
      </c>
      <c r="N923" s="32" t="str">
        <f aca="false">IF(F923="","",IF(H923&lt;&gt;"","Kapandı",IF('Vade Sapması'!$D$3&gt;G923,"Açık · vadesi geçti","Açık · vadesi gelmedi")))</f>
        <v/>
      </c>
      <c r="O923" s="30" t="str">
        <f aca="false">IF(F923="","",IF(AND(H923="",'Vade Sapması'!$D$3&gt;G923),'Vade Sapması'!$D$3-G923,0))</f>
        <v/>
      </c>
      <c r="P923" s="33" t="str">
        <f aca="false">IF(F923="","",F923*J923)</f>
        <v/>
      </c>
      <c r="Q923" s="33" t="str">
        <f aca="false">IF(F923="","",F923*L923)</f>
        <v/>
      </c>
      <c r="R923" s="33" t="str">
        <f aca="false">IF(F923="","",IF(H923="",F923,0))</f>
        <v/>
      </c>
      <c r="S923" s="32" t="str">
        <f aca="false">IF(F923="","",IF(N(O923)=0,"",IF(O923&lt;=30,"1-30",IF(O923&lt;=60,"31-60",IF(O923&lt;=90,"61-90","90+")))))</f>
        <v/>
      </c>
      <c r="T923" s="32" t="str">
        <f aca="false">IF(F923="","",IF(E923="","Diğer",E923))</f>
        <v/>
      </c>
      <c r="U923" s="32" t="str">
        <f aca="false">IF(OR(F923="",C923=""),"",IF(COUNTIF($C$2:C923,C923)=1,MAX($U$1:U922)+1,""))</f>
        <v/>
      </c>
    </row>
    <row r="924" customFormat="false" ht="15" hidden="false" customHeight="false" outlineLevel="0" collapsed="false">
      <c r="A924" s="34"/>
      <c r="B924" s="9"/>
      <c r="C924" s="34"/>
      <c r="D924" s="34"/>
      <c r="E924" s="34"/>
      <c r="F924" s="35"/>
      <c r="G924" s="9"/>
      <c r="H924" s="9"/>
      <c r="I924" s="34"/>
      <c r="J924" s="30" t="str">
        <f aca="false">IF(F924="","",G924-B924)</f>
        <v/>
      </c>
      <c r="K924" s="31" t="str">
        <f aca="false">IF(F924="","",IF(H924&lt;&gt;"",H924,MAX('Vade Sapması'!$D$3,G924)))</f>
        <v/>
      </c>
      <c r="L924" s="30" t="str">
        <f aca="false">IF(F924="","",K924-B924)</f>
        <v/>
      </c>
      <c r="M924" s="30" t="str">
        <f aca="false">IF(F924="","",L924-J924)</f>
        <v/>
      </c>
      <c r="N924" s="32" t="str">
        <f aca="false">IF(F924="","",IF(H924&lt;&gt;"","Kapandı",IF('Vade Sapması'!$D$3&gt;G924,"Açık · vadesi geçti","Açık · vadesi gelmedi")))</f>
        <v/>
      </c>
      <c r="O924" s="30" t="str">
        <f aca="false">IF(F924="","",IF(AND(H924="",'Vade Sapması'!$D$3&gt;G924),'Vade Sapması'!$D$3-G924,0))</f>
        <v/>
      </c>
      <c r="P924" s="33" t="str">
        <f aca="false">IF(F924="","",F924*J924)</f>
        <v/>
      </c>
      <c r="Q924" s="33" t="str">
        <f aca="false">IF(F924="","",F924*L924)</f>
        <v/>
      </c>
      <c r="R924" s="33" t="str">
        <f aca="false">IF(F924="","",IF(H924="",F924,0))</f>
        <v/>
      </c>
      <c r="S924" s="32" t="str">
        <f aca="false">IF(F924="","",IF(N(O924)=0,"",IF(O924&lt;=30,"1-30",IF(O924&lt;=60,"31-60",IF(O924&lt;=90,"61-90","90+")))))</f>
        <v/>
      </c>
      <c r="T924" s="32" t="str">
        <f aca="false">IF(F924="","",IF(E924="","Diğer",E924))</f>
        <v/>
      </c>
      <c r="U924" s="32" t="str">
        <f aca="false">IF(OR(F924="",C924=""),"",IF(COUNTIF($C$2:C924,C924)=1,MAX($U$1:U923)+1,""))</f>
        <v/>
      </c>
    </row>
    <row r="925" customFormat="false" ht="15" hidden="false" customHeight="false" outlineLevel="0" collapsed="false">
      <c r="A925" s="34"/>
      <c r="B925" s="9"/>
      <c r="C925" s="34"/>
      <c r="D925" s="34"/>
      <c r="E925" s="34"/>
      <c r="F925" s="35"/>
      <c r="G925" s="9"/>
      <c r="H925" s="9"/>
      <c r="I925" s="34"/>
      <c r="J925" s="30" t="str">
        <f aca="false">IF(F925="","",G925-B925)</f>
        <v/>
      </c>
      <c r="K925" s="31" t="str">
        <f aca="false">IF(F925="","",IF(H925&lt;&gt;"",H925,MAX('Vade Sapması'!$D$3,G925)))</f>
        <v/>
      </c>
      <c r="L925" s="30" t="str">
        <f aca="false">IF(F925="","",K925-B925)</f>
        <v/>
      </c>
      <c r="M925" s="30" t="str">
        <f aca="false">IF(F925="","",L925-J925)</f>
        <v/>
      </c>
      <c r="N925" s="32" t="str">
        <f aca="false">IF(F925="","",IF(H925&lt;&gt;"","Kapandı",IF('Vade Sapması'!$D$3&gt;G925,"Açık · vadesi geçti","Açık · vadesi gelmedi")))</f>
        <v/>
      </c>
      <c r="O925" s="30" t="str">
        <f aca="false">IF(F925="","",IF(AND(H925="",'Vade Sapması'!$D$3&gt;G925),'Vade Sapması'!$D$3-G925,0))</f>
        <v/>
      </c>
      <c r="P925" s="33" t="str">
        <f aca="false">IF(F925="","",F925*J925)</f>
        <v/>
      </c>
      <c r="Q925" s="33" t="str">
        <f aca="false">IF(F925="","",F925*L925)</f>
        <v/>
      </c>
      <c r="R925" s="33" t="str">
        <f aca="false">IF(F925="","",IF(H925="",F925,0))</f>
        <v/>
      </c>
      <c r="S925" s="32" t="str">
        <f aca="false">IF(F925="","",IF(N(O925)=0,"",IF(O925&lt;=30,"1-30",IF(O925&lt;=60,"31-60",IF(O925&lt;=90,"61-90","90+")))))</f>
        <v/>
      </c>
      <c r="T925" s="32" t="str">
        <f aca="false">IF(F925="","",IF(E925="","Diğer",E925))</f>
        <v/>
      </c>
      <c r="U925" s="32" t="str">
        <f aca="false">IF(OR(F925="",C925=""),"",IF(COUNTIF($C$2:C925,C925)=1,MAX($U$1:U924)+1,""))</f>
        <v/>
      </c>
    </row>
    <row r="926" customFormat="false" ht="15" hidden="false" customHeight="false" outlineLevel="0" collapsed="false">
      <c r="A926" s="34"/>
      <c r="B926" s="9"/>
      <c r="C926" s="34"/>
      <c r="D926" s="34"/>
      <c r="E926" s="34"/>
      <c r="F926" s="35"/>
      <c r="G926" s="9"/>
      <c r="H926" s="9"/>
      <c r="I926" s="34"/>
      <c r="J926" s="30" t="str">
        <f aca="false">IF(F926="","",G926-B926)</f>
        <v/>
      </c>
      <c r="K926" s="31" t="str">
        <f aca="false">IF(F926="","",IF(H926&lt;&gt;"",H926,MAX('Vade Sapması'!$D$3,G926)))</f>
        <v/>
      </c>
      <c r="L926" s="30" t="str">
        <f aca="false">IF(F926="","",K926-B926)</f>
        <v/>
      </c>
      <c r="M926" s="30" t="str">
        <f aca="false">IF(F926="","",L926-J926)</f>
        <v/>
      </c>
      <c r="N926" s="32" t="str">
        <f aca="false">IF(F926="","",IF(H926&lt;&gt;"","Kapandı",IF('Vade Sapması'!$D$3&gt;G926,"Açık · vadesi geçti","Açık · vadesi gelmedi")))</f>
        <v/>
      </c>
      <c r="O926" s="30" t="str">
        <f aca="false">IF(F926="","",IF(AND(H926="",'Vade Sapması'!$D$3&gt;G926),'Vade Sapması'!$D$3-G926,0))</f>
        <v/>
      </c>
      <c r="P926" s="33" t="str">
        <f aca="false">IF(F926="","",F926*J926)</f>
        <v/>
      </c>
      <c r="Q926" s="33" t="str">
        <f aca="false">IF(F926="","",F926*L926)</f>
        <v/>
      </c>
      <c r="R926" s="33" t="str">
        <f aca="false">IF(F926="","",IF(H926="",F926,0))</f>
        <v/>
      </c>
      <c r="S926" s="32" t="str">
        <f aca="false">IF(F926="","",IF(N(O926)=0,"",IF(O926&lt;=30,"1-30",IF(O926&lt;=60,"31-60",IF(O926&lt;=90,"61-90","90+")))))</f>
        <v/>
      </c>
      <c r="T926" s="32" t="str">
        <f aca="false">IF(F926="","",IF(E926="","Diğer",E926))</f>
        <v/>
      </c>
      <c r="U926" s="32" t="str">
        <f aca="false">IF(OR(F926="",C926=""),"",IF(COUNTIF($C$2:C926,C926)=1,MAX($U$1:U925)+1,""))</f>
        <v/>
      </c>
    </row>
    <row r="927" customFormat="false" ht="15" hidden="false" customHeight="false" outlineLevel="0" collapsed="false">
      <c r="A927" s="34"/>
      <c r="B927" s="9"/>
      <c r="C927" s="34"/>
      <c r="D927" s="34"/>
      <c r="E927" s="34"/>
      <c r="F927" s="35"/>
      <c r="G927" s="9"/>
      <c r="H927" s="9"/>
      <c r="I927" s="34"/>
      <c r="J927" s="30" t="str">
        <f aca="false">IF(F927="","",G927-B927)</f>
        <v/>
      </c>
      <c r="K927" s="31" t="str">
        <f aca="false">IF(F927="","",IF(H927&lt;&gt;"",H927,MAX('Vade Sapması'!$D$3,G927)))</f>
        <v/>
      </c>
      <c r="L927" s="30" t="str">
        <f aca="false">IF(F927="","",K927-B927)</f>
        <v/>
      </c>
      <c r="M927" s="30" t="str">
        <f aca="false">IF(F927="","",L927-J927)</f>
        <v/>
      </c>
      <c r="N927" s="32" t="str">
        <f aca="false">IF(F927="","",IF(H927&lt;&gt;"","Kapandı",IF('Vade Sapması'!$D$3&gt;G927,"Açık · vadesi geçti","Açık · vadesi gelmedi")))</f>
        <v/>
      </c>
      <c r="O927" s="30" t="str">
        <f aca="false">IF(F927="","",IF(AND(H927="",'Vade Sapması'!$D$3&gt;G927),'Vade Sapması'!$D$3-G927,0))</f>
        <v/>
      </c>
      <c r="P927" s="33" t="str">
        <f aca="false">IF(F927="","",F927*J927)</f>
        <v/>
      </c>
      <c r="Q927" s="33" t="str">
        <f aca="false">IF(F927="","",F927*L927)</f>
        <v/>
      </c>
      <c r="R927" s="33" t="str">
        <f aca="false">IF(F927="","",IF(H927="",F927,0))</f>
        <v/>
      </c>
      <c r="S927" s="32" t="str">
        <f aca="false">IF(F927="","",IF(N(O927)=0,"",IF(O927&lt;=30,"1-30",IF(O927&lt;=60,"31-60",IF(O927&lt;=90,"61-90","90+")))))</f>
        <v/>
      </c>
      <c r="T927" s="32" t="str">
        <f aca="false">IF(F927="","",IF(E927="","Diğer",E927))</f>
        <v/>
      </c>
      <c r="U927" s="32" t="str">
        <f aca="false">IF(OR(F927="",C927=""),"",IF(COUNTIF($C$2:C927,C927)=1,MAX($U$1:U926)+1,""))</f>
        <v/>
      </c>
    </row>
    <row r="928" customFormat="false" ht="15" hidden="false" customHeight="false" outlineLevel="0" collapsed="false">
      <c r="A928" s="34"/>
      <c r="B928" s="9"/>
      <c r="C928" s="34"/>
      <c r="D928" s="34"/>
      <c r="E928" s="34"/>
      <c r="F928" s="35"/>
      <c r="G928" s="9"/>
      <c r="H928" s="9"/>
      <c r="I928" s="34"/>
      <c r="J928" s="30" t="str">
        <f aca="false">IF(F928="","",G928-B928)</f>
        <v/>
      </c>
      <c r="K928" s="31" t="str">
        <f aca="false">IF(F928="","",IF(H928&lt;&gt;"",H928,MAX('Vade Sapması'!$D$3,G928)))</f>
        <v/>
      </c>
      <c r="L928" s="30" t="str">
        <f aca="false">IF(F928="","",K928-B928)</f>
        <v/>
      </c>
      <c r="M928" s="30" t="str">
        <f aca="false">IF(F928="","",L928-J928)</f>
        <v/>
      </c>
      <c r="N928" s="32" t="str">
        <f aca="false">IF(F928="","",IF(H928&lt;&gt;"","Kapandı",IF('Vade Sapması'!$D$3&gt;G928,"Açık · vadesi geçti","Açık · vadesi gelmedi")))</f>
        <v/>
      </c>
      <c r="O928" s="30" t="str">
        <f aca="false">IF(F928="","",IF(AND(H928="",'Vade Sapması'!$D$3&gt;G928),'Vade Sapması'!$D$3-G928,0))</f>
        <v/>
      </c>
      <c r="P928" s="33" t="str">
        <f aca="false">IF(F928="","",F928*J928)</f>
        <v/>
      </c>
      <c r="Q928" s="33" t="str">
        <f aca="false">IF(F928="","",F928*L928)</f>
        <v/>
      </c>
      <c r="R928" s="33" t="str">
        <f aca="false">IF(F928="","",IF(H928="",F928,0))</f>
        <v/>
      </c>
      <c r="S928" s="32" t="str">
        <f aca="false">IF(F928="","",IF(N(O928)=0,"",IF(O928&lt;=30,"1-30",IF(O928&lt;=60,"31-60",IF(O928&lt;=90,"61-90","90+")))))</f>
        <v/>
      </c>
      <c r="T928" s="32" t="str">
        <f aca="false">IF(F928="","",IF(E928="","Diğer",E928))</f>
        <v/>
      </c>
      <c r="U928" s="32" t="str">
        <f aca="false">IF(OR(F928="",C928=""),"",IF(COUNTIF($C$2:C928,C928)=1,MAX($U$1:U927)+1,""))</f>
        <v/>
      </c>
    </row>
    <row r="929" customFormat="false" ht="15" hidden="false" customHeight="false" outlineLevel="0" collapsed="false">
      <c r="A929" s="34"/>
      <c r="B929" s="9"/>
      <c r="C929" s="34"/>
      <c r="D929" s="34"/>
      <c r="E929" s="34"/>
      <c r="F929" s="35"/>
      <c r="G929" s="9"/>
      <c r="H929" s="9"/>
      <c r="I929" s="34"/>
      <c r="J929" s="30" t="str">
        <f aca="false">IF(F929="","",G929-B929)</f>
        <v/>
      </c>
      <c r="K929" s="31" t="str">
        <f aca="false">IF(F929="","",IF(H929&lt;&gt;"",H929,MAX('Vade Sapması'!$D$3,G929)))</f>
        <v/>
      </c>
      <c r="L929" s="30" t="str">
        <f aca="false">IF(F929="","",K929-B929)</f>
        <v/>
      </c>
      <c r="M929" s="30" t="str">
        <f aca="false">IF(F929="","",L929-J929)</f>
        <v/>
      </c>
      <c r="N929" s="32" t="str">
        <f aca="false">IF(F929="","",IF(H929&lt;&gt;"","Kapandı",IF('Vade Sapması'!$D$3&gt;G929,"Açık · vadesi geçti","Açık · vadesi gelmedi")))</f>
        <v/>
      </c>
      <c r="O929" s="30" t="str">
        <f aca="false">IF(F929="","",IF(AND(H929="",'Vade Sapması'!$D$3&gt;G929),'Vade Sapması'!$D$3-G929,0))</f>
        <v/>
      </c>
      <c r="P929" s="33" t="str">
        <f aca="false">IF(F929="","",F929*J929)</f>
        <v/>
      </c>
      <c r="Q929" s="33" t="str">
        <f aca="false">IF(F929="","",F929*L929)</f>
        <v/>
      </c>
      <c r="R929" s="33" t="str">
        <f aca="false">IF(F929="","",IF(H929="",F929,0))</f>
        <v/>
      </c>
      <c r="S929" s="32" t="str">
        <f aca="false">IF(F929="","",IF(N(O929)=0,"",IF(O929&lt;=30,"1-30",IF(O929&lt;=60,"31-60",IF(O929&lt;=90,"61-90","90+")))))</f>
        <v/>
      </c>
      <c r="T929" s="32" t="str">
        <f aca="false">IF(F929="","",IF(E929="","Diğer",E929))</f>
        <v/>
      </c>
      <c r="U929" s="32" t="str">
        <f aca="false">IF(OR(F929="",C929=""),"",IF(COUNTIF($C$2:C929,C929)=1,MAX($U$1:U928)+1,""))</f>
        <v/>
      </c>
    </row>
    <row r="930" customFormat="false" ht="15" hidden="false" customHeight="false" outlineLevel="0" collapsed="false">
      <c r="A930" s="34"/>
      <c r="B930" s="9"/>
      <c r="C930" s="34"/>
      <c r="D930" s="34"/>
      <c r="E930" s="34"/>
      <c r="F930" s="35"/>
      <c r="G930" s="9"/>
      <c r="H930" s="9"/>
      <c r="I930" s="34"/>
      <c r="J930" s="30" t="str">
        <f aca="false">IF(F930="","",G930-B930)</f>
        <v/>
      </c>
      <c r="K930" s="31" t="str">
        <f aca="false">IF(F930="","",IF(H930&lt;&gt;"",H930,MAX('Vade Sapması'!$D$3,G930)))</f>
        <v/>
      </c>
      <c r="L930" s="30" t="str">
        <f aca="false">IF(F930="","",K930-B930)</f>
        <v/>
      </c>
      <c r="M930" s="30" t="str">
        <f aca="false">IF(F930="","",L930-J930)</f>
        <v/>
      </c>
      <c r="N930" s="32" t="str">
        <f aca="false">IF(F930="","",IF(H930&lt;&gt;"","Kapandı",IF('Vade Sapması'!$D$3&gt;G930,"Açık · vadesi geçti","Açık · vadesi gelmedi")))</f>
        <v/>
      </c>
      <c r="O930" s="30" t="str">
        <f aca="false">IF(F930="","",IF(AND(H930="",'Vade Sapması'!$D$3&gt;G930),'Vade Sapması'!$D$3-G930,0))</f>
        <v/>
      </c>
      <c r="P930" s="33" t="str">
        <f aca="false">IF(F930="","",F930*J930)</f>
        <v/>
      </c>
      <c r="Q930" s="33" t="str">
        <f aca="false">IF(F930="","",F930*L930)</f>
        <v/>
      </c>
      <c r="R930" s="33" t="str">
        <f aca="false">IF(F930="","",IF(H930="",F930,0))</f>
        <v/>
      </c>
      <c r="S930" s="32" t="str">
        <f aca="false">IF(F930="","",IF(N(O930)=0,"",IF(O930&lt;=30,"1-30",IF(O930&lt;=60,"31-60",IF(O930&lt;=90,"61-90","90+")))))</f>
        <v/>
      </c>
      <c r="T930" s="32" t="str">
        <f aca="false">IF(F930="","",IF(E930="","Diğer",E930))</f>
        <v/>
      </c>
      <c r="U930" s="32" t="str">
        <f aca="false">IF(OR(F930="",C930=""),"",IF(COUNTIF($C$2:C930,C930)=1,MAX($U$1:U929)+1,""))</f>
        <v/>
      </c>
    </row>
    <row r="931" customFormat="false" ht="15" hidden="false" customHeight="false" outlineLevel="0" collapsed="false">
      <c r="A931" s="34"/>
      <c r="B931" s="9"/>
      <c r="C931" s="34"/>
      <c r="D931" s="34"/>
      <c r="E931" s="34"/>
      <c r="F931" s="35"/>
      <c r="G931" s="9"/>
      <c r="H931" s="9"/>
      <c r="I931" s="34"/>
      <c r="J931" s="30" t="str">
        <f aca="false">IF(F931="","",G931-B931)</f>
        <v/>
      </c>
      <c r="K931" s="31" t="str">
        <f aca="false">IF(F931="","",IF(H931&lt;&gt;"",H931,MAX('Vade Sapması'!$D$3,G931)))</f>
        <v/>
      </c>
      <c r="L931" s="30" t="str">
        <f aca="false">IF(F931="","",K931-B931)</f>
        <v/>
      </c>
      <c r="M931" s="30" t="str">
        <f aca="false">IF(F931="","",L931-J931)</f>
        <v/>
      </c>
      <c r="N931" s="32" t="str">
        <f aca="false">IF(F931="","",IF(H931&lt;&gt;"","Kapandı",IF('Vade Sapması'!$D$3&gt;G931,"Açık · vadesi geçti","Açık · vadesi gelmedi")))</f>
        <v/>
      </c>
      <c r="O931" s="30" t="str">
        <f aca="false">IF(F931="","",IF(AND(H931="",'Vade Sapması'!$D$3&gt;G931),'Vade Sapması'!$D$3-G931,0))</f>
        <v/>
      </c>
      <c r="P931" s="33" t="str">
        <f aca="false">IF(F931="","",F931*J931)</f>
        <v/>
      </c>
      <c r="Q931" s="33" t="str">
        <f aca="false">IF(F931="","",F931*L931)</f>
        <v/>
      </c>
      <c r="R931" s="33" t="str">
        <f aca="false">IF(F931="","",IF(H931="",F931,0))</f>
        <v/>
      </c>
      <c r="S931" s="32" t="str">
        <f aca="false">IF(F931="","",IF(N(O931)=0,"",IF(O931&lt;=30,"1-30",IF(O931&lt;=60,"31-60",IF(O931&lt;=90,"61-90","90+")))))</f>
        <v/>
      </c>
      <c r="T931" s="32" t="str">
        <f aca="false">IF(F931="","",IF(E931="","Diğer",E931))</f>
        <v/>
      </c>
      <c r="U931" s="32" t="str">
        <f aca="false">IF(OR(F931="",C931=""),"",IF(COUNTIF($C$2:C931,C931)=1,MAX($U$1:U930)+1,""))</f>
        <v/>
      </c>
    </row>
    <row r="932" customFormat="false" ht="15" hidden="false" customHeight="false" outlineLevel="0" collapsed="false">
      <c r="A932" s="34"/>
      <c r="B932" s="9"/>
      <c r="C932" s="34"/>
      <c r="D932" s="34"/>
      <c r="E932" s="34"/>
      <c r="F932" s="35"/>
      <c r="G932" s="9"/>
      <c r="H932" s="9"/>
      <c r="I932" s="34"/>
      <c r="J932" s="30" t="str">
        <f aca="false">IF(F932="","",G932-B932)</f>
        <v/>
      </c>
      <c r="K932" s="31" t="str">
        <f aca="false">IF(F932="","",IF(H932&lt;&gt;"",H932,MAX('Vade Sapması'!$D$3,G932)))</f>
        <v/>
      </c>
      <c r="L932" s="30" t="str">
        <f aca="false">IF(F932="","",K932-B932)</f>
        <v/>
      </c>
      <c r="M932" s="30" t="str">
        <f aca="false">IF(F932="","",L932-J932)</f>
        <v/>
      </c>
      <c r="N932" s="32" t="str">
        <f aca="false">IF(F932="","",IF(H932&lt;&gt;"","Kapandı",IF('Vade Sapması'!$D$3&gt;G932,"Açık · vadesi geçti","Açık · vadesi gelmedi")))</f>
        <v/>
      </c>
      <c r="O932" s="30" t="str">
        <f aca="false">IF(F932="","",IF(AND(H932="",'Vade Sapması'!$D$3&gt;G932),'Vade Sapması'!$D$3-G932,0))</f>
        <v/>
      </c>
      <c r="P932" s="33" t="str">
        <f aca="false">IF(F932="","",F932*J932)</f>
        <v/>
      </c>
      <c r="Q932" s="33" t="str">
        <f aca="false">IF(F932="","",F932*L932)</f>
        <v/>
      </c>
      <c r="R932" s="33" t="str">
        <f aca="false">IF(F932="","",IF(H932="",F932,0))</f>
        <v/>
      </c>
      <c r="S932" s="32" t="str">
        <f aca="false">IF(F932="","",IF(N(O932)=0,"",IF(O932&lt;=30,"1-30",IF(O932&lt;=60,"31-60",IF(O932&lt;=90,"61-90","90+")))))</f>
        <v/>
      </c>
      <c r="T932" s="32" t="str">
        <f aca="false">IF(F932="","",IF(E932="","Diğer",E932))</f>
        <v/>
      </c>
      <c r="U932" s="32" t="str">
        <f aca="false">IF(OR(F932="",C932=""),"",IF(COUNTIF($C$2:C932,C932)=1,MAX($U$1:U931)+1,""))</f>
        <v/>
      </c>
    </row>
    <row r="933" customFormat="false" ht="15" hidden="false" customHeight="false" outlineLevel="0" collapsed="false">
      <c r="A933" s="34"/>
      <c r="B933" s="9"/>
      <c r="C933" s="34"/>
      <c r="D933" s="34"/>
      <c r="E933" s="34"/>
      <c r="F933" s="35"/>
      <c r="G933" s="9"/>
      <c r="H933" s="9"/>
      <c r="I933" s="34"/>
      <c r="J933" s="30" t="str">
        <f aca="false">IF(F933="","",G933-B933)</f>
        <v/>
      </c>
      <c r="K933" s="31" t="str">
        <f aca="false">IF(F933="","",IF(H933&lt;&gt;"",H933,MAX('Vade Sapması'!$D$3,G933)))</f>
        <v/>
      </c>
      <c r="L933" s="30" t="str">
        <f aca="false">IF(F933="","",K933-B933)</f>
        <v/>
      </c>
      <c r="M933" s="30" t="str">
        <f aca="false">IF(F933="","",L933-J933)</f>
        <v/>
      </c>
      <c r="N933" s="32" t="str">
        <f aca="false">IF(F933="","",IF(H933&lt;&gt;"","Kapandı",IF('Vade Sapması'!$D$3&gt;G933,"Açık · vadesi geçti","Açık · vadesi gelmedi")))</f>
        <v/>
      </c>
      <c r="O933" s="30" t="str">
        <f aca="false">IF(F933="","",IF(AND(H933="",'Vade Sapması'!$D$3&gt;G933),'Vade Sapması'!$D$3-G933,0))</f>
        <v/>
      </c>
      <c r="P933" s="33" t="str">
        <f aca="false">IF(F933="","",F933*J933)</f>
        <v/>
      </c>
      <c r="Q933" s="33" t="str">
        <f aca="false">IF(F933="","",F933*L933)</f>
        <v/>
      </c>
      <c r="R933" s="33" t="str">
        <f aca="false">IF(F933="","",IF(H933="",F933,0))</f>
        <v/>
      </c>
      <c r="S933" s="32" t="str">
        <f aca="false">IF(F933="","",IF(N(O933)=0,"",IF(O933&lt;=30,"1-30",IF(O933&lt;=60,"31-60",IF(O933&lt;=90,"61-90","90+")))))</f>
        <v/>
      </c>
      <c r="T933" s="32" t="str">
        <f aca="false">IF(F933="","",IF(E933="","Diğer",E933))</f>
        <v/>
      </c>
      <c r="U933" s="32" t="str">
        <f aca="false">IF(OR(F933="",C933=""),"",IF(COUNTIF($C$2:C933,C933)=1,MAX($U$1:U932)+1,""))</f>
        <v/>
      </c>
    </row>
    <row r="934" customFormat="false" ht="15" hidden="false" customHeight="false" outlineLevel="0" collapsed="false">
      <c r="A934" s="34"/>
      <c r="B934" s="9"/>
      <c r="C934" s="34"/>
      <c r="D934" s="34"/>
      <c r="E934" s="34"/>
      <c r="F934" s="35"/>
      <c r="G934" s="9"/>
      <c r="H934" s="9"/>
      <c r="I934" s="34"/>
      <c r="J934" s="30" t="str">
        <f aca="false">IF(F934="","",G934-B934)</f>
        <v/>
      </c>
      <c r="K934" s="31" t="str">
        <f aca="false">IF(F934="","",IF(H934&lt;&gt;"",H934,MAX('Vade Sapması'!$D$3,G934)))</f>
        <v/>
      </c>
      <c r="L934" s="30" t="str">
        <f aca="false">IF(F934="","",K934-B934)</f>
        <v/>
      </c>
      <c r="M934" s="30" t="str">
        <f aca="false">IF(F934="","",L934-J934)</f>
        <v/>
      </c>
      <c r="N934" s="32" t="str">
        <f aca="false">IF(F934="","",IF(H934&lt;&gt;"","Kapandı",IF('Vade Sapması'!$D$3&gt;G934,"Açık · vadesi geçti","Açık · vadesi gelmedi")))</f>
        <v/>
      </c>
      <c r="O934" s="30" t="str">
        <f aca="false">IF(F934="","",IF(AND(H934="",'Vade Sapması'!$D$3&gt;G934),'Vade Sapması'!$D$3-G934,0))</f>
        <v/>
      </c>
      <c r="P934" s="33" t="str">
        <f aca="false">IF(F934="","",F934*J934)</f>
        <v/>
      </c>
      <c r="Q934" s="33" t="str">
        <f aca="false">IF(F934="","",F934*L934)</f>
        <v/>
      </c>
      <c r="R934" s="33" t="str">
        <f aca="false">IF(F934="","",IF(H934="",F934,0))</f>
        <v/>
      </c>
      <c r="S934" s="32" t="str">
        <f aca="false">IF(F934="","",IF(N(O934)=0,"",IF(O934&lt;=30,"1-30",IF(O934&lt;=60,"31-60",IF(O934&lt;=90,"61-90","90+")))))</f>
        <v/>
      </c>
      <c r="T934" s="32" t="str">
        <f aca="false">IF(F934="","",IF(E934="","Diğer",E934))</f>
        <v/>
      </c>
      <c r="U934" s="32" t="str">
        <f aca="false">IF(OR(F934="",C934=""),"",IF(COUNTIF($C$2:C934,C934)=1,MAX($U$1:U933)+1,""))</f>
        <v/>
      </c>
    </row>
    <row r="935" customFormat="false" ht="15" hidden="false" customHeight="false" outlineLevel="0" collapsed="false">
      <c r="A935" s="34"/>
      <c r="B935" s="9"/>
      <c r="C935" s="34"/>
      <c r="D935" s="34"/>
      <c r="E935" s="34"/>
      <c r="F935" s="35"/>
      <c r="G935" s="9"/>
      <c r="H935" s="9"/>
      <c r="I935" s="34"/>
      <c r="J935" s="30" t="str">
        <f aca="false">IF(F935="","",G935-B935)</f>
        <v/>
      </c>
      <c r="K935" s="31" t="str">
        <f aca="false">IF(F935="","",IF(H935&lt;&gt;"",H935,MAX('Vade Sapması'!$D$3,G935)))</f>
        <v/>
      </c>
      <c r="L935" s="30" t="str">
        <f aca="false">IF(F935="","",K935-B935)</f>
        <v/>
      </c>
      <c r="M935" s="30" t="str">
        <f aca="false">IF(F935="","",L935-J935)</f>
        <v/>
      </c>
      <c r="N935" s="32" t="str">
        <f aca="false">IF(F935="","",IF(H935&lt;&gt;"","Kapandı",IF('Vade Sapması'!$D$3&gt;G935,"Açık · vadesi geçti","Açık · vadesi gelmedi")))</f>
        <v/>
      </c>
      <c r="O935" s="30" t="str">
        <f aca="false">IF(F935="","",IF(AND(H935="",'Vade Sapması'!$D$3&gt;G935),'Vade Sapması'!$D$3-G935,0))</f>
        <v/>
      </c>
      <c r="P935" s="33" t="str">
        <f aca="false">IF(F935="","",F935*J935)</f>
        <v/>
      </c>
      <c r="Q935" s="33" t="str">
        <f aca="false">IF(F935="","",F935*L935)</f>
        <v/>
      </c>
      <c r="R935" s="33" t="str">
        <f aca="false">IF(F935="","",IF(H935="",F935,0))</f>
        <v/>
      </c>
      <c r="S935" s="32" t="str">
        <f aca="false">IF(F935="","",IF(N(O935)=0,"",IF(O935&lt;=30,"1-30",IF(O935&lt;=60,"31-60",IF(O935&lt;=90,"61-90","90+")))))</f>
        <v/>
      </c>
      <c r="T935" s="32" t="str">
        <f aca="false">IF(F935="","",IF(E935="","Diğer",E935))</f>
        <v/>
      </c>
      <c r="U935" s="32" t="str">
        <f aca="false">IF(OR(F935="",C935=""),"",IF(COUNTIF($C$2:C935,C935)=1,MAX($U$1:U934)+1,""))</f>
        <v/>
      </c>
    </row>
    <row r="936" customFormat="false" ht="15" hidden="false" customHeight="false" outlineLevel="0" collapsed="false">
      <c r="A936" s="34"/>
      <c r="B936" s="9"/>
      <c r="C936" s="34"/>
      <c r="D936" s="34"/>
      <c r="E936" s="34"/>
      <c r="F936" s="35"/>
      <c r="G936" s="9"/>
      <c r="H936" s="9"/>
      <c r="I936" s="34"/>
      <c r="J936" s="30" t="str">
        <f aca="false">IF(F936="","",G936-B936)</f>
        <v/>
      </c>
      <c r="K936" s="31" t="str">
        <f aca="false">IF(F936="","",IF(H936&lt;&gt;"",H936,MAX('Vade Sapması'!$D$3,G936)))</f>
        <v/>
      </c>
      <c r="L936" s="30" t="str">
        <f aca="false">IF(F936="","",K936-B936)</f>
        <v/>
      </c>
      <c r="M936" s="30" t="str">
        <f aca="false">IF(F936="","",L936-J936)</f>
        <v/>
      </c>
      <c r="N936" s="32" t="str">
        <f aca="false">IF(F936="","",IF(H936&lt;&gt;"","Kapandı",IF('Vade Sapması'!$D$3&gt;G936,"Açık · vadesi geçti","Açık · vadesi gelmedi")))</f>
        <v/>
      </c>
      <c r="O936" s="30" t="str">
        <f aca="false">IF(F936="","",IF(AND(H936="",'Vade Sapması'!$D$3&gt;G936),'Vade Sapması'!$D$3-G936,0))</f>
        <v/>
      </c>
      <c r="P936" s="33" t="str">
        <f aca="false">IF(F936="","",F936*J936)</f>
        <v/>
      </c>
      <c r="Q936" s="33" t="str">
        <f aca="false">IF(F936="","",F936*L936)</f>
        <v/>
      </c>
      <c r="R936" s="33" t="str">
        <f aca="false">IF(F936="","",IF(H936="",F936,0))</f>
        <v/>
      </c>
      <c r="S936" s="32" t="str">
        <f aca="false">IF(F936="","",IF(N(O936)=0,"",IF(O936&lt;=30,"1-30",IF(O936&lt;=60,"31-60",IF(O936&lt;=90,"61-90","90+")))))</f>
        <v/>
      </c>
      <c r="T936" s="32" t="str">
        <f aca="false">IF(F936="","",IF(E936="","Diğer",E936))</f>
        <v/>
      </c>
      <c r="U936" s="32" t="str">
        <f aca="false">IF(OR(F936="",C936=""),"",IF(COUNTIF($C$2:C936,C936)=1,MAX($U$1:U935)+1,""))</f>
        <v/>
      </c>
    </row>
    <row r="937" customFormat="false" ht="15" hidden="false" customHeight="false" outlineLevel="0" collapsed="false">
      <c r="A937" s="34"/>
      <c r="B937" s="9"/>
      <c r="C937" s="34"/>
      <c r="D937" s="34"/>
      <c r="E937" s="34"/>
      <c r="F937" s="35"/>
      <c r="G937" s="9"/>
      <c r="H937" s="9"/>
      <c r="I937" s="34"/>
      <c r="J937" s="30" t="str">
        <f aca="false">IF(F937="","",G937-B937)</f>
        <v/>
      </c>
      <c r="K937" s="31" t="str">
        <f aca="false">IF(F937="","",IF(H937&lt;&gt;"",H937,MAX('Vade Sapması'!$D$3,G937)))</f>
        <v/>
      </c>
      <c r="L937" s="30" t="str">
        <f aca="false">IF(F937="","",K937-B937)</f>
        <v/>
      </c>
      <c r="M937" s="30" t="str">
        <f aca="false">IF(F937="","",L937-J937)</f>
        <v/>
      </c>
      <c r="N937" s="32" t="str">
        <f aca="false">IF(F937="","",IF(H937&lt;&gt;"","Kapandı",IF('Vade Sapması'!$D$3&gt;G937,"Açık · vadesi geçti","Açık · vadesi gelmedi")))</f>
        <v/>
      </c>
      <c r="O937" s="30" t="str">
        <f aca="false">IF(F937="","",IF(AND(H937="",'Vade Sapması'!$D$3&gt;G937),'Vade Sapması'!$D$3-G937,0))</f>
        <v/>
      </c>
      <c r="P937" s="33" t="str">
        <f aca="false">IF(F937="","",F937*J937)</f>
        <v/>
      </c>
      <c r="Q937" s="33" t="str">
        <f aca="false">IF(F937="","",F937*L937)</f>
        <v/>
      </c>
      <c r="R937" s="33" t="str">
        <f aca="false">IF(F937="","",IF(H937="",F937,0))</f>
        <v/>
      </c>
      <c r="S937" s="32" t="str">
        <f aca="false">IF(F937="","",IF(N(O937)=0,"",IF(O937&lt;=30,"1-30",IF(O937&lt;=60,"31-60",IF(O937&lt;=90,"61-90","90+")))))</f>
        <v/>
      </c>
      <c r="T937" s="32" t="str">
        <f aca="false">IF(F937="","",IF(E937="","Diğer",E937))</f>
        <v/>
      </c>
      <c r="U937" s="32" t="str">
        <f aca="false">IF(OR(F937="",C937=""),"",IF(COUNTIF($C$2:C937,C937)=1,MAX($U$1:U936)+1,""))</f>
        <v/>
      </c>
    </row>
    <row r="938" customFormat="false" ht="15" hidden="false" customHeight="false" outlineLevel="0" collapsed="false">
      <c r="A938" s="34"/>
      <c r="B938" s="9"/>
      <c r="C938" s="34"/>
      <c r="D938" s="34"/>
      <c r="E938" s="34"/>
      <c r="F938" s="35"/>
      <c r="G938" s="9"/>
      <c r="H938" s="9"/>
      <c r="I938" s="34"/>
      <c r="J938" s="30" t="str">
        <f aca="false">IF(F938="","",G938-B938)</f>
        <v/>
      </c>
      <c r="K938" s="31" t="str">
        <f aca="false">IF(F938="","",IF(H938&lt;&gt;"",H938,MAX('Vade Sapması'!$D$3,G938)))</f>
        <v/>
      </c>
      <c r="L938" s="30" t="str">
        <f aca="false">IF(F938="","",K938-B938)</f>
        <v/>
      </c>
      <c r="M938" s="30" t="str">
        <f aca="false">IF(F938="","",L938-J938)</f>
        <v/>
      </c>
      <c r="N938" s="32" t="str">
        <f aca="false">IF(F938="","",IF(H938&lt;&gt;"","Kapandı",IF('Vade Sapması'!$D$3&gt;G938,"Açık · vadesi geçti","Açık · vadesi gelmedi")))</f>
        <v/>
      </c>
      <c r="O938" s="30" t="str">
        <f aca="false">IF(F938="","",IF(AND(H938="",'Vade Sapması'!$D$3&gt;G938),'Vade Sapması'!$D$3-G938,0))</f>
        <v/>
      </c>
      <c r="P938" s="33" t="str">
        <f aca="false">IF(F938="","",F938*J938)</f>
        <v/>
      </c>
      <c r="Q938" s="33" t="str">
        <f aca="false">IF(F938="","",F938*L938)</f>
        <v/>
      </c>
      <c r="R938" s="33" t="str">
        <f aca="false">IF(F938="","",IF(H938="",F938,0))</f>
        <v/>
      </c>
      <c r="S938" s="32" t="str">
        <f aca="false">IF(F938="","",IF(N(O938)=0,"",IF(O938&lt;=30,"1-30",IF(O938&lt;=60,"31-60",IF(O938&lt;=90,"61-90","90+")))))</f>
        <v/>
      </c>
      <c r="T938" s="32" t="str">
        <f aca="false">IF(F938="","",IF(E938="","Diğer",E938))</f>
        <v/>
      </c>
      <c r="U938" s="32" t="str">
        <f aca="false">IF(OR(F938="",C938=""),"",IF(COUNTIF($C$2:C938,C938)=1,MAX($U$1:U937)+1,""))</f>
        <v/>
      </c>
    </row>
    <row r="939" customFormat="false" ht="15" hidden="false" customHeight="false" outlineLevel="0" collapsed="false">
      <c r="A939" s="34"/>
      <c r="B939" s="9"/>
      <c r="C939" s="34"/>
      <c r="D939" s="34"/>
      <c r="E939" s="34"/>
      <c r="F939" s="35"/>
      <c r="G939" s="9"/>
      <c r="H939" s="9"/>
      <c r="I939" s="34"/>
      <c r="J939" s="30" t="str">
        <f aca="false">IF(F939="","",G939-B939)</f>
        <v/>
      </c>
      <c r="K939" s="31" t="str">
        <f aca="false">IF(F939="","",IF(H939&lt;&gt;"",H939,MAX('Vade Sapması'!$D$3,G939)))</f>
        <v/>
      </c>
      <c r="L939" s="30" t="str">
        <f aca="false">IF(F939="","",K939-B939)</f>
        <v/>
      </c>
      <c r="M939" s="30" t="str">
        <f aca="false">IF(F939="","",L939-J939)</f>
        <v/>
      </c>
      <c r="N939" s="32" t="str">
        <f aca="false">IF(F939="","",IF(H939&lt;&gt;"","Kapandı",IF('Vade Sapması'!$D$3&gt;G939,"Açık · vadesi geçti","Açık · vadesi gelmedi")))</f>
        <v/>
      </c>
      <c r="O939" s="30" t="str">
        <f aca="false">IF(F939="","",IF(AND(H939="",'Vade Sapması'!$D$3&gt;G939),'Vade Sapması'!$D$3-G939,0))</f>
        <v/>
      </c>
      <c r="P939" s="33" t="str">
        <f aca="false">IF(F939="","",F939*J939)</f>
        <v/>
      </c>
      <c r="Q939" s="33" t="str">
        <f aca="false">IF(F939="","",F939*L939)</f>
        <v/>
      </c>
      <c r="R939" s="33" t="str">
        <f aca="false">IF(F939="","",IF(H939="",F939,0))</f>
        <v/>
      </c>
      <c r="S939" s="32" t="str">
        <f aca="false">IF(F939="","",IF(N(O939)=0,"",IF(O939&lt;=30,"1-30",IF(O939&lt;=60,"31-60",IF(O939&lt;=90,"61-90","90+")))))</f>
        <v/>
      </c>
      <c r="T939" s="32" t="str">
        <f aca="false">IF(F939="","",IF(E939="","Diğer",E939))</f>
        <v/>
      </c>
      <c r="U939" s="32" t="str">
        <f aca="false">IF(OR(F939="",C939=""),"",IF(COUNTIF($C$2:C939,C939)=1,MAX($U$1:U938)+1,""))</f>
        <v/>
      </c>
    </row>
    <row r="940" customFormat="false" ht="15" hidden="false" customHeight="false" outlineLevel="0" collapsed="false">
      <c r="A940" s="34"/>
      <c r="B940" s="9"/>
      <c r="C940" s="34"/>
      <c r="D940" s="34"/>
      <c r="E940" s="34"/>
      <c r="F940" s="35"/>
      <c r="G940" s="9"/>
      <c r="H940" s="9"/>
      <c r="I940" s="34"/>
      <c r="J940" s="30" t="str">
        <f aca="false">IF(F940="","",G940-B940)</f>
        <v/>
      </c>
      <c r="K940" s="31" t="str">
        <f aca="false">IF(F940="","",IF(H940&lt;&gt;"",H940,MAX('Vade Sapması'!$D$3,G940)))</f>
        <v/>
      </c>
      <c r="L940" s="30" t="str">
        <f aca="false">IF(F940="","",K940-B940)</f>
        <v/>
      </c>
      <c r="M940" s="30" t="str">
        <f aca="false">IF(F940="","",L940-J940)</f>
        <v/>
      </c>
      <c r="N940" s="32" t="str">
        <f aca="false">IF(F940="","",IF(H940&lt;&gt;"","Kapandı",IF('Vade Sapması'!$D$3&gt;G940,"Açık · vadesi geçti","Açık · vadesi gelmedi")))</f>
        <v/>
      </c>
      <c r="O940" s="30" t="str">
        <f aca="false">IF(F940="","",IF(AND(H940="",'Vade Sapması'!$D$3&gt;G940),'Vade Sapması'!$D$3-G940,0))</f>
        <v/>
      </c>
      <c r="P940" s="33" t="str">
        <f aca="false">IF(F940="","",F940*J940)</f>
        <v/>
      </c>
      <c r="Q940" s="33" t="str">
        <f aca="false">IF(F940="","",F940*L940)</f>
        <v/>
      </c>
      <c r="R940" s="33" t="str">
        <f aca="false">IF(F940="","",IF(H940="",F940,0))</f>
        <v/>
      </c>
      <c r="S940" s="32" t="str">
        <f aca="false">IF(F940="","",IF(N(O940)=0,"",IF(O940&lt;=30,"1-30",IF(O940&lt;=60,"31-60",IF(O940&lt;=90,"61-90","90+")))))</f>
        <v/>
      </c>
      <c r="T940" s="32" t="str">
        <f aca="false">IF(F940="","",IF(E940="","Diğer",E940))</f>
        <v/>
      </c>
      <c r="U940" s="32" t="str">
        <f aca="false">IF(OR(F940="",C940=""),"",IF(COUNTIF($C$2:C940,C940)=1,MAX($U$1:U939)+1,""))</f>
        <v/>
      </c>
    </row>
    <row r="941" customFormat="false" ht="15" hidden="false" customHeight="false" outlineLevel="0" collapsed="false">
      <c r="A941" s="34"/>
      <c r="B941" s="9"/>
      <c r="C941" s="34"/>
      <c r="D941" s="34"/>
      <c r="E941" s="34"/>
      <c r="F941" s="35"/>
      <c r="G941" s="9"/>
      <c r="H941" s="9"/>
      <c r="I941" s="34"/>
      <c r="J941" s="30" t="str">
        <f aca="false">IF(F941="","",G941-B941)</f>
        <v/>
      </c>
      <c r="K941" s="31" t="str">
        <f aca="false">IF(F941="","",IF(H941&lt;&gt;"",H941,MAX('Vade Sapması'!$D$3,G941)))</f>
        <v/>
      </c>
      <c r="L941" s="30" t="str">
        <f aca="false">IF(F941="","",K941-B941)</f>
        <v/>
      </c>
      <c r="M941" s="30" t="str">
        <f aca="false">IF(F941="","",L941-J941)</f>
        <v/>
      </c>
      <c r="N941" s="32" t="str">
        <f aca="false">IF(F941="","",IF(H941&lt;&gt;"","Kapandı",IF('Vade Sapması'!$D$3&gt;G941,"Açık · vadesi geçti","Açık · vadesi gelmedi")))</f>
        <v/>
      </c>
      <c r="O941" s="30" t="str">
        <f aca="false">IF(F941="","",IF(AND(H941="",'Vade Sapması'!$D$3&gt;G941),'Vade Sapması'!$D$3-G941,0))</f>
        <v/>
      </c>
      <c r="P941" s="33" t="str">
        <f aca="false">IF(F941="","",F941*J941)</f>
        <v/>
      </c>
      <c r="Q941" s="33" t="str">
        <f aca="false">IF(F941="","",F941*L941)</f>
        <v/>
      </c>
      <c r="R941" s="33" t="str">
        <f aca="false">IF(F941="","",IF(H941="",F941,0))</f>
        <v/>
      </c>
      <c r="S941" s="32" t="str">
        <f aca="false">IF(F941="","",IF(N(O941)=0,"",IF(O941&lt;=30,"1-30",IF(O941&lt;=60,"31-60",IF(O941&lt;=90,"61-90","90+")))))</f>
        <v/>
      </c>
      <c r="T941" s="32" t="str">
        <f aca="false">IF(F941="","",IF(E941="","Diğer",E941))</f>
        <v/>
      </c>
      <c r="U941" s="32" t="str">
        <f aca="false">IF(OR(F941="",C941=""),"",IF(COUNTIF($C$2:C941,C941)=1,MAX($U$1:U940)+1,""))</f>
        <v/>
      </c>
    </row>
    <row r="942" customFormat="false" ht="15" hidden="false" customHeight="false" outlineLevel="0" collapsed="false">
      <c r="A942" s="34"/>
      <c r="B942" s="9"/>
      <c r="C942" s="34"/>
      <c r="D942" s="34"/>
      <c r="E942" s="34"/>
      <c r="F942" s="35"/>
      <c r="G942" s="9"/>
      <c r="H942" s="9"/>
      <c r="I942" s="34"/>
      <c r="J942" s="30" t="str">
        <f aca="false">IF(F942="","",G942-B942)</f>
        <v/>
      </c>
      <c r="K942" s="31" t="str">
        <f aca="false">IF(F942="","",IF(H942&lt;&gt;"",H942,MAX('Vade Sapması'!$D$3,G942)))</f>
        <v/>
      </c>
      <c r="L942" s="30" t="str">
        <f aca="false">IF(F942="","",K942-B942)</f>
        <v/>
      </c>
      <c r="M942" s="30" t="str">
        <f aca="false">IF(F942="","",L942-J942)</f>
        <v/>
      </c>
      <c r="N942" s="32" t="str">
        <f aca="false">IF(F942="","",IF(H942&lt;&gt;"","Kapandı",IF('Vade Sapması'!$D$3&gt;G942,"Açık · vadesi geçti","Açık · vadesi gelmedi")))</f>
        <v/>
      </c>
      <c r="O942" s="30" t="str">
        <f aca="false">IF(F942="","",IF(AND(H942="",'Vade Sapması'!$D$3&gt;G942),'Vade Sapması'!$D$3-G942,0))</f>
        <v/>
      </c>
      <c r="P942" s="33" t="str">
        <f aca="false">IF(F942="","",F942*J942)</f>
        <v/>
      </c>
      <c r="Q942" s="33" t="str">
        <f aca="false">IF(F942="","",F942*L942)</f>
        <v/>
      </c>
      <c r="R942" s="33" t="str">
        <f aca="false">IF(F942="","",IF(H942="",F942,0))</f>
        <v/>
      </c>
      <c r="S942" s="32" t="str">
        <f aca="false">IF(F942="","",IF(N(O942)=0,"",IF(O942&lt;=30,"1-30",IF(O942&lt;=60,"31-60",IF(O942&lt;=90,"61-90","90+")))))</f>
        <v/>
      </c>
      <c r="T942" s="32" t="str">
        <f aca="false">IF(F942="","",IF(E942="","Diğer",E942))</f>
        <v/>
      </c>
      <c r="U942" s="32" t="str">
        <f aca="false">IF(OR(F942="",C942=""),"",IF(COUNTIF($C$2:C942,C942)=1,MAX($U$1:U941)+1,""))</f>
        <v/>
      </c>
    </row>
    <row r="943" customFormat="false" ht="15" hidden="false" customHeight="false" outlineLevel="0" collapsed="false">
      <c r="A943" s="34"/>
      <c r="B943" s="9"/>
      <c r="C943" s="34"/>
      <c r="D943" s="34"/>
      <c r="E943" s="34"/>
      <c r="F943" s="35"/>
      <c r="G943" s="9"/>
      <c r="H943" s="9"/>
      <c r="I943" s="34"/>
      <c r="J943" s="30" t="str">
        <f aca="false">IF(F943="","",G943-B943)</f>
        <v/>
      </c>
      <c r="K943" s="31" t="str">
        <f aca="false">IF(F943="","",IF(H943&lt;&gt;"",H943,MAX('Vade Sapması'!$D$3,G943)))</f>
        <v/>
      </c>
      <c r="L943" s="30" t="str">
        <f aca="false">IF(F943="","",K943-B943)</f>
        <v/>
      </c>
      <c r="M943" s="30" t="str">
        <f aca="false">IF(F943="","",L943-J943)</f>
        <v/>
      </c>
      <c r="N943" s="32" t="str">
        <f aca="false">IF(F943="","",IF(H943&lt;&gt;"","Kapandı",IF('Vade Sapması'!$D$3&gt;G943,"Açık · vadesi geçti","Açık · vadesi gelmedi")))</f>
        <v/>
      </c>
      <c r="O943" s="30" t="str">
        <f aca="false">IF(F943="","",IF(AND(H943="",'Vade Sapması'!$D$3&gt;G943),'Vade Sapması'!$D$3-G943,0))</f>
        <v/>
      </c>
      <c r="P943" s="33" t="str">
        <f aca="false">IF(F943="","",F943*J943)</f>
        <v/>
      </c>
      <c r="Q943" s="33" t="str">
        <f aca="false">IF(F943="","",F943*L943)</f>
        <v/>
      </c>
      <c r="R943" s="33" t="str">
        <f aca="false">IF(F943="","",IF(H943="",F943,0))</f>
        <v/>
      </c>
      <c r="S943" s="32" t="str">
        <f aca="false">IF(F943="","",IF(N(O943)=0,"",IF(O943&lt;=30,"1-30",IF(O943&lt;=60,"31-60",IF(O943&lt;=90,"61-90","90+")))))</f>
        <v/>
      </c>
      <c r="T943" s="32" t="str">
        <f aca="false">IF(F943="","",IF(E943="","Diğer",E943))</f>
        <v/>
      </c>
      <c r="U943" s="32" t="str">
        <f aca="false">IF(OR(F943="",C943=""),"",IF(COUNTIF($C$2:C943,C943)=1,MAX($U$1:U942)+1,""))</f>
        <v/>
      </c>
    </row>
    <row r="944" customFormat="false" ht="15" hidden="false" customHeight="false" outlineLevel="0" collapsed="false">
      <c r="A944" s="34"/>
      <c r="B944" s="9"/>
      <c r="C944" s="34"/>
      <c r="D944" s="34"/>
      <c r="E944" s="34"/>
      <c r="F944" s="35"/>
      <c r="G944" s="9"/>
      <c r="H944" s="9"/>
      <c r="I944" s="34"/>
      <c r="J944" s="30" t="str">
        <f aca="false">IF(F944="","",G944-B944)</f>
        <v/>
      </c>
      <c r="K944" s="31" t="str">
        <f aca="false">IF(F944="","",IF(H944&lt;&gt;"",H944,MAX('Vade Sapması'!$D$3,G944)))</f>
        <v/>
      </c>
      <c r="L944" s="30" t="str">
        <f aca="false">IF(F944="","",K944-B944)</f>
        <v/>
      </c>
      <c r="M944" s="30" t="str">
        <f aca="false">IF(F944="","",L944-J944)</f>
        <v/>
      </c>
      <c r="N944" s="32" t="str">
        <f aca="false">IF(F944="","",IF(H944&lt;&gt;"","Kapandı",IF('Vade Sapması'!$D$3&gt;G944,"Açık · vadesi geçti","Açık · vadesi gelmedi")))</f>
        <v/>
      </c>
      <c r="O944" s="30" t="str">
        <f aca="false">IF(F944="","",IF(AND(H944="",'Vade Sapması'!$D$3&gt;G944),'Vade Sapması'!$D$3-G944,0))</f>
        <v/>
      </c>
      <c r="P944" s="33" t="str">
        <f aca="false">IF(F944="","",F944*J944)</f>
        <v/>
      </c>
      <c r="Q944" s="33" t="str">
        <f aca="false">IF(F944="","",F944*L944)</f>
        <v/>
      </c>
      <c r="R944" s="33" t="str">
        <f aca="false">IF(F944="","",IF(H944="",F944,0))</f>
        <v/>
      </c>
      <c r="S944" s="32" t="str">
        <f aca="false">IF(F944="","",IF(N(O944)=0,"",IF(O944&lt;=30,"1-30",IF(O944&lt;=60,"31-60",IF(O944&lt;=90,"61-90","90+")))))</f>
        <v/>
      </c>
      <c r="T944" s="32" t="str">
        <f aca="false">IF(F944="","",IF(E944="","Diğer",E944))</f>
        <v/>
      </c>
      <c r="U944" s="32" t="str">
        <f aca="false">IF(OR(F944="",C944=""),"",IF(COUNTIF($C$2:C944,C944)=1,MAX($U$1:U943)+1,""))</f>
        <v/>
      </c>
    </row>
    <row r="945" customFormat="false" ht="15" hidden="false" customHeight="false" outlineLevel="0" collapsed="false">
      <c r="A945" s="34"/>
      <c r="B945" s="9"/>
      <c r="C945" s="34"/>
      <c r="D945" s="34"/>
      <c r="E945" s="34"/>
      <c r="F945" s="35"/>
      <c r="G945" s="9"/>
      <c r="H945" s="9"/>
      <c r="I945" s="34"/>
      <c r="J945" s="30" t="str">
        <f aca="false">IF(F945="","",G945-B945)</f>
        <v/>
      </c>
      <c r="K945" s="31" t="str">
        <f aca="false">IF(F945="","",IF(H945&lt;&gt;"",H945,MAX('Vade Sapması'!$D$3,G945)))</f>
        <v/>
      </c>
      <c r="L945" s="30" t="str">
        <f aca="false">IF(F945="","",K945-B945)</f>
        <v/>
      </c>
      <c r="M945" s="30" t="str">
        <f aca="false">IF(F945="","",L945-J945)</f>
        <v/>
      </c>
      <c r="N945" s="32" t="str">
        <f aca="false">IF(F945="","",IF(H945&lt;&gt;"","Kapandı",IF('Vade Sapması'!$D$3&gt;G945,"Açık · vadesi geçti","Açık · vadesi gelmedi")))</f>
        <v/>
      </c>
      <c r="O945" s="30" t="str">
        <f aca="false">IF(F945="","",IF(AND(H945="",'Vade Sapması'!$D$3&gt;G945),'Vade Sapması'!$D$3-G945,0))</f>
        <v/>
      </c>
      <c r="P945" s="33" t="str">
        <f aca="false">IF(F945="","",F945*J945)</f>
        <v/>
      </c>
      <c r="Q945" s="33" t="str">
        <f aca="false">IF(F945="","",F945*L945)</f>
        <v/>
      </c>
      <c r="R945" s="33" t="str">
        <f aca="false">IF(F945="","",IF(H945="",F945,0))</f>
        <v/>
      </c>
      <c r="S945" s="32" t="str">
        <f aca="false">IF(F945="","",IF(N(O945)=0,"",IF(O945&lt;=30,"1-30",IF(O945&lt;=60,"31-60",IF(O945&lt;=90,"61-90","90+")))))</f>
        <v/>
      </c>
      <c r="T945" s="32" t="str">
        <f aca="false">IF(F945="","",IF(E945="","Diğer",E945))</f>
        <v/>
      </c>
      <c r="U945" s="32" t="str">
        <f aca="false">IF(OR(F945="",C945=""),"",IF(COUNTIF($C$2:C945,C945)=1,MAX($U$1:U944)+1,""))</f>
        <v/>
      </c>
    </row>
    <row r="946" customFormat="false" ht="15" hidden="false" customHeight="false" outlineLevel="0" collapsed="false">
      <c r="A946" s="34"/>
      <c r="B946" s="9"/>
      <c r="C946" s="34"/>
      <c r="D946" s="34"/>
      <c r="E946" s="34"/>
      <c r="F946" s="35"/>
      <c r="G946" s="9"/>
      <c r="H946" s="9"/>
      <c r="I946" s="34"/>
      <c r="J946" s="30" t="str">
        <f aca="false">IF(F946="","",G946-B946)</f>
        <v/>
      </c>
      <c r="K946" s="31" t="str">
        <f aca="false">IF(F946="","",IF(H946&lt;&gt;"",H946,MAX('Vade Sapması'!$D$3,G946)))</f>
        <v/>
      </c>
      <c r="L946" s="30" t="str">
        <f aca="false">IF(F946="","",K946-B946)</f>
        <v/>
      </c>
      <c r="M946" s="30" t="str">
        <f aca="false">IF(F946="","",L946-J946)</f>
        <v/>
      </c>
      <c r="N946" s="32" t="str">
        <f aca="false">IF(F946="","",IF(H946&lt;&gt;"","Kapandı",IF('Vade Sapması'!$D$3&gt;G946,"Açık · vadesi geçti","Açık · vadesi gelmedi")))</f>
        <v/>
      </c>
      <c r="O946" s="30" t="str">
        <f aca="false">IF(F946="","",IF(AND(H946="",'Vade Sapması'!$D$3&gt;G946),'Vade Sapması'!$D$3-G946,0))</f>
        <v/>
      </c>
      <c r="P946" s="33" t="str">
        <f aca="false">IF(F946="","",F946*J946)</f>
        <v/>
      </c>
      <c r="Q946" s="33" t="str">
        <f aca="false">IF(F946="","",F946*L946)</f>
        <v/>
      </c>
      <c r="R946" s="33" t="str">
        <f aca="false">IF(F946="","",IF(H946="",F946,0))</f>
        <v/>
      </c>
      <c r="S946" s="32" t="str">
        <f aca="false">IF(F946="","",IF(N(O946)=0,"",IF(O946&lt;=30,"1-30",IF(O946&lt;=60,"31-60",IF(O946&lt;=90,"61-90","90+")))))</f>
        <v/>
      </c>
      <c r="T946" s="32" t="str">
        <f aca="false">IF(F946="","",IF(E946="","Diğer",E946))</f>
        <v/>
      </c>
      <c r="U946" s="32" t="str">
        <f aca="false">IF(OR(F946="",C946=""),"",IF(COUNTIF($C$2:C946,C946)=1,MAX($U$1:U945)+1,""))</f>
        <v/>
      </c>
    </row>
    <row r="947" customFormat="false" ht="15" hidden="false" customHeight="false" outlineLevel="0" collapsed="false">
      <c r="A947" s="34"/>
      <c r="B947" s="9"/>
      <c r="C947" s="34"/>
      <c r="D947" s="34"/>
      <c r="E947" s="34"/>
      <c r="F947" s="35"/>
      <c r="G947" s="9"/>
      <c r="H947" s="9"/>
      <c r="I947" s="34"/>
      <c r="J947" s="30" t="str">
        <f aca="false">IF(F947="","",G947-B947)</f>
        <v/>
      </c>
      <c r="K947" s="31" t="str">
        <f aca="false">IF(F947="","",IF(H947&lt;&gt;"",H947,MAX('Vade Sapması'!$D$3,G947)))</f>
        <v/>
      </c>
      <c r="L947" s="30" t="str">
        <f aca="false">IF(F947="","",K947-B947)</f>
        <v/>
      </c>
      <c r="M947" s="30" t="str">
        <f aca="false">IF(F947="","",L947-J947)</f>
        <v/>
      </c>
      <c r="N947" s="32" t="str">
        <f aca="false">IF(F947="","",IF(H947&lt;&gt;"","Kapandı",IF('Vade Sapması'!$D$3&gt;G947,"Açık · vadesi geçti","Açık · vadesi gelmedi")))</f>
        <v/>
      </c>
      <c r="O947" s="30" t="str">
        <f aca="false">IF(F947="","",IF(AND(H947="",'Vade Sapması'!$D$3&gt;G947),'Vade Sapması'!$D$3-G947,0))</f>
        <v/>
      </c>
      <c r="P947" s="33" t="str">
        <f aca="false">IF(F947="","",F947*J947)</f>
        <v/>
      </c>
      <c r="Q947" s="33" t="str">
        <f aca="false">IF(F947="","",F947*L947)</f>
        <v/>
      </c>
      <c r="R947" s="33" t="str">
        <f aca="false">IF(F947="","",IF(H947="",F947,0))</f>
        <v/>
      </c>
      <c r="S947" s="32" t="str">
        <f aca="false">IF(F947="","",IF(N(O947)=0,"",IF(O947&lt;=30,"1-30",IF(O947&lt;=60,"31-60",IF(O947&lt;=90,"61-90","90+")))))</f>
        <v/>
      </c>
      <c r="T947" s="32" t="str">
        <f aca="false">IF(F947="","",IF(E947="","Diğer",E947))</f>
        <v/>
      </c>
      <c r="U947" s="32" t="str">
        <f aca="false">IF(OR(F947="",C947=""),"",IF(COUNTIF($C$2:C947,C947)=1,MAX($U$1:U946)+1,""))</f>
        <v/>
      </c>
    </row>
    <row r="948" customFormat="false" ht="15" hidden="false" customHeight="false" outlineLevel="0" collapsed="false">
      <c r="A948" s="34"/>
      <c r="B948" s="9"/>
      <c r="C948" s="34"/>
      <c r="D948" s="34"/>
      <c r="E948" s="34"/>
      <c r="F948" s="35"/>
      <c r="G948" s="9"/>
      <c r="H948" s="9"/>
      <c r="I948" s="34"/>
      <c r="J948" s="30" t="str">
        <f aca="false">IF(F948="","",G948-B948)</f>
        <v/>
      </c>
      <c r="K948" s="31" t="str">
        <f aca="false">IF(F948="","",IF(H948&lt;&gt;"",H948,MAX('Vade Sapması'!$D$3,G948)))</f>
        <v/>
      </c>
      <c r="L948" s="30" t="str">
        <f aca="false">IF(F948="","",K948-B948)</f>
        <v/>
      </c>
      <c r="M948" s="30" t="str">
        <f aca="false">IF(F948="","",L948-J948)</f>
        <v/>
      </c>
      <c r="N948" s="32" t="str">
        <f aca="false">IF(F948="","",IF(H948&lt;&gt;"","Kapandı",IF('Vade Sapması'!$D$3&gt;G948,"Açık · vadesi geçti","Açık · vadesi gelmedi")))</f>
        <v/>
      </c>
      <c r="O948" s="30" t="str">
        <f aca="false">IF(F948="","",IF(AND(H948="",'Vade Sapması'!$D$3&gt;G948),'Vade Sapması'!$D$3-G948,0))</f>
        <v/>
      </c>
      <c r="P948" s="33" t="str">
        <f aca="false">IF(F948="","",F948*J948)</f>
        <v/>
      </c>
      <c r="Q948" s="33" t="str">
        <f aca="false">IF(F948="","",F948*L948)</f>
        <v/>
      </c>
      <c r="R948" s="33" t="str">
        <f aca="false">IF(F948="","",IF(H948="",F948,0))</f>
        <v/>
      </c>
      <c r="S948" s="32" t="str">
        <f aca="false">IF(F948="","",IF(N(O948)=0,"",IF(O948&lt;=30,"1-30",IF(O948&lt;=60,"31-60",IF(O948&lt;=90,"61-90","90+")))))</f>
        <v/>
      </c>
      <c r="T948" s="32" t="str">
        <f aca="false">IF(F948="","",IF(E948="","Diğer",E948))</f>
        <v/>
      </c>
      <c r="U948" s="32" t="str">
        <f aca="false">IF(OR(F948="",C948=""),"",IF(COUNTIF($C$2:C948,C948)=1,MAX($U$1:U947)+1,""))</f>
        <v/>
      </c>
    </row>
    <row r="949" customFormat="false" ht="15" hidden="false" customHeight="false" outlineLevel="0" collapsed="false">
      <c r="A949" s="34"/>
      <c r="B949" s="9"/>
      <c r="C949" s="34"/>
      <c r="D949" s="34"/>
      <c r="E949" s="34"/>
      <c r="F949" s="35"/>
      <c r="G949" s="9"/>
      <c r="H949" s="9"/>
      <c r="I949" s="34"/>
      <c r="J949" s="30" t="str">
        <f aca="false">IF(F949="","",G949-B949)</f>
        <v/>
      </c>
      <c r="K949" s="31" t="str">
        <f aca="false">IF(F949="","",IF(H949&lt;&gt;"",H949,MAX('Vade Sapması'!$D$3,G949)))</f>
        <v/>
      </c>
      <c r="L949" s="30" t="str">
        <f aca="false">IF(F949="","",K949-B949)</f>
        <v/>
      </c>
      <c r="M949" s="30" t="str">
        <f aca="false">IF(F949="","",L949-J949)</f>
        <v/>
      </c>
      <c r="N949" s="32" t="str">
        <f aca="false">IF(F949="","",IF(H949&lt;&gt;"","Kapandı",IF('Vade Sapması'!$D$3&gt;G949,"Açık · vadesi geçti","Açık · vadesi gelmedi")))</f>
        <v/>
      </c>
      <c r="O949" s="30" t="str">
        <f aca="false">IF(F949="","",IF(AND(H949="",'Vade Sapması'!$D$3&gt;G949),'Vade Sapması'!$D$3-G949,0))</f>
        <v/>
      </c>
      <c r="P949" s="33" t="str">
        <f aca="false">IF(F949="","",F949*J949)</f>
        <v/>
      </c>
      <c r="Q949" s="33" t="str">
        <f aca="false">IF(F949="","",F949*L949)</f>
        <v/>
      </c>
      <c r="R949" s="33" t="str">
        <f aca="false">IF(F949="","",IF(H949="",F949,0))</f>
        <v/>
      </c>
      <c r="S949" s="32" t="str">
        <f aca="false">IF(F949="","",IF(N(O949)=0,"",IF(O949&lt;=30,"1-30",IF(O949&lt;=60,"31-60",IF(O949&lt;=90,"61-90","90+")))))</f>
        <v/>
      </c>
      <c r="T949" s="32" t="str">
        <f aca="false">IF(F949="","",IF(E949="","Diğer",E949))</f>
        <v/>
      </c>
      <c r="U949" s="32" t="str">
        <f aca="false">IF(OR(F949="",C949=""),"",IF(COUNTIF($C$2:C949,C949)=1,MAX($U$1:U948)+1,""))</f>
        <v/>
      </c>
    </row>
    <row r="950" customFormat="false" ht="15" hidden="false" customHeight="false" outlineLevel="0" collapsed="false">
      <c r="A950" s="34"/>
      <c r="B950" s="9"/>
      <c r="C950" s="34"/>
      <c r="D950" s="34"/>
      <c r="E950" s="34"/>
      <c r="F950" s="35"/>
      <c r="G950" s="9"/>
      <c r="H950" s="9"/>
      <c r="I950" s="34"/>
      <c r="J950" s="30" t="str">
        <f aca="false">IF(F950="","",G950-B950)</f>
        <v/>
      </c>
      <c r="K950" s="31" t="str">
        <f aca="false">IF(F950="","",IF(H950&lt;&gt;"",H950,MAX('Vade Sapması'!$D$3,G950)))</f>
        <v/>
      </c>
      <c r="L950" s="30" t="str">
        <f aca="false">IF(F950="","",K950-B950)</f>
        <v/>
      </c>
      <c r="M950" s="30" t="str">
        <f aca="false">IF(F950="","",L950-J950)</f>
        <v/>
      </c>
      <c r="N950" s="32" t="str">
        <f aca="false">IF(F950="","",IF(H950&lt;&gt;"","Kapandı",IF('Vade Sapması'!$D$3&gt;G950,"Açık · vadesi geçti","Açık · vadesi gelmedi")))</f>
        <v/>
      </c>
      <c r="O950" s="30" t="str">
        <f aca="false">IF(F950="","",IF(AND(H950="",'Vade Sapması'!$D$3&gt;G950),'Vade Sapması'!$D$3-G950,0))</f>
        <v/>
      </c>
      <c r="P950" s="33" t="str">
        <f aca="false">IF(F950="","",F950*J950)</f>
        <v/>
      </c>
      <c r="Q950" s="33" t="str">
        <f aca="false">IF(F950="","",F950*L950)</f>
        <v/>
      </c>
      <c r="R950" s="33" t="str">
        <f aca="false">IF(F950="","",IF(H950="",F950,0))</f>
        <v/>
      </c>
      <c r="S950" s="32" t="str">
        <f aca="false">IF(F950="","",IF(N(O950)=0,"",IF(O950&lt;=30,"1-30",IF(O950&lt;=60,"31-60",IF(O950&lt;=90,"61-90","90+")))))</f>
        <v/>
      </c>
      <c r="T950" s="32" t="str">
        <f aca="false">IF(F950="","",IF(E950="","Diğer",E950))</f>
        <v/>
      </c>
      <c r="U950" s="32" t="str">
        <f aca="false">IF(OR(F950="",C950=""),"",IF(COUNTIF($C$2:C950,C950)=1,MAX($U$1:U949)+1,""))</f>
        <v/>
      </c>
    </row>
    <row r="951" customFormat="false" ht="15" hidden="false" customHeight="false" outlineLevel="0" collapsed="false">
      <c r="A951" s="34"/>
      <c r="B951" s="9"/>
      <c r="C951" s="34"/>
      <c r="D951" s="34"/>
      <c r="E951" s="34"/>
      <c r="F951" s="35"/>
      <c r="G951" s="9"/>
      <c r="H951" s="9"/>
      <c r="I951" s="34"/>
      <c r="J951" s="30" t="str">
        <f aca="false">IF(F951="","",G951-B951)</f>
        <v/>
      </c>
      <c r="K951" s="31" t="str">
        <f aca="false">IF(F951="","",IF(H951&lt;&gt;"",H951,MAX('Vade Sapması'!$D$3,G951)))</f>
        <v/>
      </c>
      <c r="L951" s="30" t="str">
        <f aca="false">IF(F951="","",K951-B951)</f>
        <v/>
      </c>
      <c r="M951" s="30" t="str">
        <f aca="false">IF(F951="","",L951-J951)</f>
        <v/>
      </c>
      <c r="N951" s="32" t="str">
        <f aca="false">IF(F951="","",IF(H951&lt;&gt;"","Kapandı",IF('Vade Sapması'!$D$3&gt;G951,"Açık · vadesi geçti","Açık · vadesi gelmedi")))</f>
        <v/>
      </c>
      <c r="O951" s="30" t="str">
        <f aca="false">IF(F951="","",IF(AND(H951="",'Vade Sapması'!$D$3&gt;G951),'Vade Sapması'!$D$3-G951,0))</f>
        <v/>
      </c>
      <c r="P951" s="33" t="str">
        <f aca="false">IF(F951="","",F951*J951)</f>
        <v/>
      </c>
      <c r="Q951" s="33" t="str">
        <f aca="false">IF(F951="","",F951*L951)</f>
        <v/>
      </c>
      <c r="R951" s="33" t="str">
        <f aca="false">IF(F951="","",IF(H951="",F951,0))</f>
        <v/>
      </c>
      <c r="S951" s="32" t="str">
        <f aca="false">IF(F951="","",IF(N(O951)=0,"",IF(O951&lt;=30,"1-30",IF(O951&lt;=60,"31-60",IF(O951&lt;=90,"61-90","90+")))))</f>
        <v/>
      </c>
      <c r="T951" s="32" t="str">
        <f aca="false">IF(F951="","",IF(E951="","Diğer",E951))</f>
        <v/>
      </c>
      <c r="U951" s="32" t="str">
        <f aca="false">IF(OR(F951="",C951=""),"",IF(COUNTIF($C$2:C951,C951)=1,MAX($U$1:U950)+1,""))</f>
        <v/>
      </c>
    </row>
    <row r="952" customFormat="false" ht="15" hidden="false" customHeight="false" outlineLevel="0" collapsed="false">
      <c r="A952" s="34"/>
      <c r="B952" s="9"/>
      <c r="C952" s="34"/>
      <c r="D952" s="34"/>
      <c r="E952" s="34"/>
      <c r="F952" s="35"/>
      <c r="G952" s="9"/>
      <c r="H952" s="9"/>
      <c r="I952" s="34"/>
      <c r="J952" s="30" t="str">
        <f aca="false">IF(F952="","",G952-B952)</f>
        <v/>
      </c>
      <c r="K952" s="31" t="str">
        <f aca="false">IF(F952="","",IF(H952&lt;&gt;"",H952,MAX('Vade Sapması'!$D$3,G952)))</f>
        <v/>
      </c>
      <c r="L952" s="30" t="str">
        <f aca="false">IF(F952="","",K952-B952)</f>
        <v/>
      </c>
      <c r="M952" s="30" t="str">
        <f aca="false">IF(F952="","",L952-J952)</f>
        <v/>
      </c>
      <c r="N952" s="32" t="str">
        <f aca="false">IF(F952="","",IF(H952&lt;&gt;"","Kapandı",IF('Vade Sapması'!$D$3&gt;G952,"Açık · vadesi geçti","Açık · vadesi gelmedi")))</f>
        <v/>
      </c>
      <c r="O952" s="30" t="str">
        <f aca="false">IF(F952="","",IF(AND(H952="",'Vade Sapması'!$D$3&gt;G952),'Vade Sapması'!$D$3-G952,0))</f>
        <v/>
      </c>
      <c r="P952" s="33" t="str">
        <f aca="false">IF(F952="","",F952*J952)</f>
        <v/>
      </c>
      <c r="Q952" s="33" t="str">
        <f aca="false">IF(F952="","",F952*L952)</f>
        <v/>
      </c>
      <c r="R952" s="33" t="str">
        <f aca="false">IF(F952="","",IF(H952="",F952,0))</f>
        <v/>
      </c>
      <c r="S952" s="32" t="str">
        <f aca="false">IF(F952="","",IF(N(O952)=0,"",IF(O952&lt;=30,"1-30",IF(O952&lt;=60,"31-60",IF(O952&lt;=90,"61-90","90+")))))</f>
        <v/>
      </c>
      <c r="T952" s="32" t="str">
        <f aca="false">IF(F952="","",IF(E952="","Diğer",E952))</f>
        <v/>
      </c>
      <c r="U952" s="32" t="str">
        <f aca="false">IF(OR(F952="",C952=""),"",IF(COUNTIF($C$2:C952,C952)=1,MAX($U$1:U951)+1,""))</f>
        <v/>
      </c>
    </row>
    <row r="953" customFormat="false" ht="15" hidden="false" customHeight="false" outlineLevel="0" collapsed="false">
      <c r="A953" s="34"/>
      <c r="B953" s="9"/>
      <c r="C953" s="34"/>
      <c r="D953" s="34"/>
      <c r="E953" s="34"/>
      <c r="F953" s="35"/>
      <c r="G953" s="9"/>
      <c r="H953" s="9"/>
      <c r="I953" s="34"/>
      <c r="J953" s="30" t="str">
        <f aca="false">IF(F953="","",G953-B953)</f>
        <v/>
      </c>
      <c r="K953" s="31" t="str">
        <f aca="false">IF(F953="","",IF(H953&lt;&gt;"",H953,MAX('Vade Sapması'!$D$3,G953)))</f>
        <v/>
      </c>
      <c r="L953" s="30" t="str">
        <f aca="false">IF(F953="","",K953-B953)</f>
        <v/>
      </c>
      <c r="M953" s="30" t="str">
        <f aca="false">IF(F953="","",L953-J953)</f>
        <v/>
      </c>
      <c r="N953" s="32" t="str">
        <f aca="false">IF(F953="","",IF(H953&lt;&gt;"","Kapandı",IF('Vade Sapması'!$D$3&gt;G953,"Açık · vadesi geçti","Açık · vadesi gelmedi")))</f>
        <v/>
      </c>
      <c r="O953" s="30" t="str">
        <f aca="false">IF(F953="","",IF(AND(H953="",'Vade Sapması'!$D$3&gt;G953),'Vade Sapması'!$D$3-G953,0))</f>
        <v/>
      </c>
      <c r="P953" s="33" t="str">
        <f aca="false">IF(F953="","",F953*J953)</f>
        <v/>
      </c>
      <c r="Q953" s="33" t="str">
        <f aca="false">IF(F953="","",F953*L953)</f>
        <v/>
      </c>
      <c r="R953" s="33" t="str">
        <f aca="false">IF(F953="","",IF(H953="",F953,0))</f>
        <v/>
      </c>
      <c r="S953" s="32" t="str">
        <f aca="false">IF(F953="","",IF(N(O953)=0,"",IF(O953&lt;=30,"1-30",IF(O953&lt;=60,"31-60",IF(O953&lt;=90,"61-90","90+")))))</f>
        <v/>
      </c>
      <c r="T953" s="32" t="str">
        <f aca="false">IF(F953="","",IF(E953="","Diğer",E953))</f>
        <v/>
      </c>
      <c r="U953" s="32" t="str">
        <f aca="false">IF(OR(F953="",C953=""),"",IF(COUNTIF($C$2:C953,C953)=1,MAX($U$1:U952)+1,""))</f>
        <v/>
      </c>
    </row>
    <row r="954" customFormat="false" ht="15" hidden="false" customHeight="false" outlineLevel="0" collapsed="false">
      <c r="A954" s="34"/>
      <c r="B954" s="9"/>
      <c r="C954" s="34"/>
      <c r="D954" s="34"/>
      <c r="E954" s="34"/>
      <c r="F954" s="35"/>
      <c r="G954" s="9"/>
      <c r="H954" s="9"/>
      <c r="I954" s="34"/>
      <c r="J954" s="30" t="str">
        <f aca="false">IF(F954="","",G954-B954)</f>
        <v/>
      </c>
      <c r="K954" s="31" t="str">
        <f aca="false">IF(F954="","",IF(H954&lt;&gt;"",H954,MAX('Vade Sapması'!$D$3,G954)))</f>
        <v/>
      </c>
      <c r="L954" s="30" t="str">
        <f aca="false">IF(F954="","",K954-B954)</f>
        <v/>
      </c>
      <c r="M954" s="30" t="str">
        <f aca="false">IF(F954="","",L954-J954)</f>
        <v/>
      </c>
      <c r="N954" s="32" t="str">
        <f aca="false">IF(F954="","",IF(H954&lt;&gt;"","Kapandı",IF('Vade Sapması'!$D$3&gt;G954,"Açık · vadesi geçti","Açık · vadesi gelmedi")))</f>
        <v/>
      </c>
      <c r="O954" s="30" t="str">
        <f aca="false">IF(F954="","",IF(AND(H954="",'Vade Sapması'!$D$3&gt;G954),'Vade Sapması'!$D$3-G954,0))</f>
        <v/>
      </c>
      <c r="P954" s="33" t="str">
        <f aca="false">IF(F954="","",F954*J954)</f>
        <v/>
      </c>
      <c r="Q954" s="33" t="str">
        <f aca="false">IF(F954="","",F954*L954)</f>
        <v/>
      </c>
      <c r="R954" s="33" t="str">
        <f aca="false">IF(F954="","",IF(H954="",F954,0))</f>
        <v/>
      </c>
      <c r="S954" s="32" t="str">
        <f aca="false">IF(F954="","",IF(N(O954)=0,"",IF(O954&lt;=30,"1-30",IF(O954&lt;=60,"31-60",IF(O954&lt;=90,"61-90","90+")))))</f>
        <v/>
      </c>
      <c r="T954" s="32" t="str">
        <f aca="false">IF(F954="","",IF(E954="","Diğer",E954))</f>
        <v/>
      </c>
      <c r="U954" s="32" t="str">
        <f aca="false">IF(OR(F954="",C954=""),"",IF(COUNTIF($C$2:C954,C954)=1,MAX($U$1:U953)+1,""))</f>
        <v/>
      </c>
    </row>
    <row r="955" customFormat="false" ht="15" hidden="false" customHeight="false" outlineLevel="0" collapsed="false">
      <c r="A955" s="34"/>
      <c r="B955" s="9"/>
      <c r="C955" s="34"/>
      <c r="D955" s="34"/>
      <c r="E955" s="34"/>
      <c r="F955" s="35"/>
      <c r="G955" s="9"/>
      <c r="H955" s="9"/>
      <c r="I955" s="34"/>
      <c r="J955" s="30" t="str">
        <f aca="false">IF(F955="","",G955-B955)</f>
        <v/>
      </c>
      <c r="K955" s="31" t="str">
        <f aca="false">IF(F955="","",IF(H955&lt;&gt;"",H955,MAX('Vade Sapması'!$D$3,G955)))</f>
        <v/>
      </c>
      <c r="L955" s="30" t="str">
        <f aca="false">IF(F955="","",K955-B955)</f>
        <v/>
      </c>
      <c r="M955" s="30" t="str">
        <f aca="false">IF(F955="","",L955-J955)</f>
        <v/>
      </c>
      <c r="N955" s="32" t="str">
        <f aca="false">IF(F955="","",IF(H955&lt;&gt;"","Kapandı",IF('Vade Sapması'!$D$3&gt;G955,"Açık · vadesi geçti","Açık · vadesi gelmedi")))</f>
        <v/>
      </c>
      <c r="O955" s="30" t="str">
        <f aca="false">IF(F955="","",IF(AND(H955="",'Vade Sapması'!$D$3&gt;G955),'Vade Sapması'!$D$3-G955,0))</f>
        <v/>
      </c>
      <c r="P955" s="33" t="str">
        <f aca="false">IF(F955="","",F955*J955)</f>
        <v/>
      </c>
      <c r="Q955" s="33" t="str">
        <f aca="false">IF(F955="","",F955*L955)</f>
        <v/>
      </c>
      <c r="R955" s="33" t="str">
        <f aca="false">IF(F955="","",IF(H955="",F955,0))</f>
        <v/>
      </c>
      <c r="S955" s="32" t="str">
        <f aca="false">IF(F955="","",IF(N(O955)=0,"",IF(O955&lt;=30,"1-30",IF(O955&lt;=60,"31-60",IF(O955&lt;=90,"61-90","90+")))))</f>
        <v/>
      </c>
      <c r="T955" s="32" t="str">
        <f aca="false">IF(F955="","",IF(E955="","Diğer",E955))</f>
        <v/>
      </c>
      <c r="U955" s="32" t="str">
        <f aca="false">IF(OR(F955="",C955=""),"",IF(COUNTIF($C$2:C955,C955)=1,MAX($U$1:U954)+1,""))</f>
        <v/>
      </c>
    </row>
    <row r="956" customFormat="false" ht="15" hidden="false" customHeight="false" outlineLevel="0" collapsed="false">
      <c r="A956" s="34"/>
      <c r="B956" s="9"/>
      <c r="C956" s="34"/>
      <c r="D956" s="34"/>
      <c r="E956" s="34"/>
      <c r="F956" s="35"/>
      <c r="G956" s="9"/>
      <c r="H956" s="9"/>
      <c r="I956" s="34"/>
      <c r="J956" s="30" t="str">
        <f aca="false">IF(F956="","",G956-B956)</f>
        <v/>
      </c>
      <c r="K956" s="31" t="str">
        <f aca="false">IF(F956="","",IF(H956&lt;&gt;"",H956,MAX('Vade Sapması'!$D$3,G956)))</f>
        <v/>
      </c>
      <c r="L956" s="30" t="str">
        <f aca="false">IF(F956="","",K956-B956)</f>
        <v/>
      </c>
      <c r="M956" s="30" t="str">
        <f aca="false">IF(F956="","",L956-J956)</f>
        <v/>
      </c>
      <c r="N956" s="32" t="str">
        <f aca="false">IF(F956="","",IF(H956&lt;&gt;"","Kapandı",IF('Vade Sapması'!$D$3&gt;G956,"Açık · vadesi geçti","Açık · vadesi gelmedi")))</f>
        <v/>
      </c>
      <c r="O956" s="30" t="str">
        <f aca="false">IF(F956="","",IF(AND(H956="",'Vade Sapması'!$D$3&gt;G956),'Vade Sapması'!$D$3-G956,0))</f>
        <v/>
      </c>
      <c r="P956" s="33" t="str">
        <f aca="false">IF(F956="","",F956*J956)</f>
        <v/>
      </c>
      <c r="Q956" s="33" t="str">
        <f aca="false">IF(F956="","",F956*L956)</f>
        <v/>
      </c>
      <c r="R956" s="33" t="str">
        <f aca="false">IF(F956="","",IF(H956="",F956,0))</f>
        <v/>
      </c>
      <c r="S956" s="32" t="str">
        <f aca="false">IF(F956="","",IF(N(O956)=0,"",IF(O956&lt;=30,"1-30",IF(O956&lt;=60,"31-60",IF(O956&lt;=90,"61-90","90+")))))</f>
        <v/>
      </c>
      <c r="T956" s="32" t="str">
        <f aca="false">IF(F956="","",IF(E956="","Diğer",E956))</f>
        <v/>
      </c>
      <c r="U956" s="32" t="str">
        <f aca="false">IF(OR(F956="",C956=""),"",IF(COUNTIF($C$2:C956,C956)=1,MAX($U$1:U955)+1,""))</f>
        <v/>
      </c>
    </row>
    <row r="957" customFormat="false" ht="15" hidden="false" customHeight="false" outlineLevel="0" collapsed="false">
      <c r="A957" s="34"/>
      <c r="B957" s="9"/>
      <c r="C957" s="34"/>
      <c r="D957" s="34"/>
      <c r="E957" s="34"/>
      <c r="F957" s="35"/>
      <c r="G957" s="9"/>
      <c r="H957" s="9"/>
      <c r="I957" s="34"/>
      <c r="J957" s="30" t="str">
        <f aca="false">IF(F957="","",G957-B957)</f>
        <v/>
      </c>
      <c r="K957" s="31" t="str">
        <f aca="false">IF(F957="","",IF(H957&lt;&gt;"",H957,MAX('Vade Sapması'!$D$3,G957)))</f>
        <v/>
      </c>
      <c r="L957" s="30" t="str">
        <f aca="false">IF(F957="","",K957-B957)</f>
        <v/>
      </c>
      <c r="M957" s="30" t="str">
        <f aca="false">IF(F957="","",L957-J957)</f>
        <v/>
      </c>
      <c r="N957" s="32" t="str">
        <f aca="false">IF(F957="","",IF(H957&lt;&gt;"","Kapandı",IF('Vade Sapması'!$D$3&gt;G957,"Açık · vadesi geçti","Açık · vadesi gelmedi")))</f>
        <v/>
      </c>
      <c r="O957" s="30" t="str">
        <f aca="false">IF(F957="","",IF(AND(H957="",'Vade Sapması'!$D$3&gt;G957),'Vade Sapması'!$D$3-G957,0))</f>
        <v/>
      </c>
      <c r="P957" s="33" t="str">
        <f aca="false">IF(F957="","",F957*J957)</f>
        <v/>
      </c>
      <c r="Q957" s="33" t="str">
        <f aca="false">IF(F957="","",F957*L957)</f>
        <v/>
      </c>
      <c r="R957" s="33" t="str">
        <f aca="false">IF(F957="","",IF(H957="",F957,0))</f>
        <v/>
      </c>
      <c r="S957" s="32" t="str">
        <f aca="false">IF(F957="","",IF(N(O957)=0,"",IF(O957&lt;=30,"1-30",IF(O957&lt;=60,"31-60",IF(O957&lt;=90,"61-90","90+")))))</f>
        <v/>
      </c>
      <c r="T957" s="32" t="str">
        <f aca="false">IF(F957="","",IF(E957="","Diğer",E957))</f>
        <v/>
      </c>
      <c r="U957" s="32" t="str">
        <f aca="false">IF(OR(F957="",C957=""),"",IF(COUNTIF($C$2:C957,C957)=1,MAX($U$1:U956)+1,""))</f>
        <v/>
      </c>
    </row>
    <row r="958" customFormat="false" ht="15" hidden="false" customHeight="false" outlineLevel="0" collapsed="false">
      <c r="A958" s="34"/>
      <c r="B958" s="9"/>
      <c r="C958" s="34"/>
      <c r="D958" s="34"/>
      <c r="E958" s="34"/>
      <c r="F958" s="35"/>
      <c r="G958" s="9"/>
      <c r="H958" s="9"/>
      <c r="I958" s="34"/>
      <c r="J958" s="30" t="str">
        <f aca="false">IF(F958="","",G958-B958)</f>
        <v/>
      </c>
      <c r="K958" s="31" t="str">
        <f aca="false">IF(F958="","",IF(H958&lt;&gt;"",H958,MAX('Vade Sapması'!$D$3,G958)))</f>
        <v/>
      </c>
      <c r="L958" s="30" t="str">
        <f aca="false">IF(F958="","",K958-B958)</f>
        <v/>
      </c>
      <c r="M958" s="30" t="str">
        <f aca="false">IF(F958="","",L958-J958)</f>
        <v/>
      </c>
      <c r="N958" s="32" t="str">
        <f aca="false">IF(F958="","",IF(H958&lt;&gt;"","Kapandı",IF('Vade Sapması'!$D$3&gt;G958,"Açık · vadesi geçti","Açık · vadesi gelmedi")))</f>
        <v/>
      </c>
      <c r="O958" s="30" t="str">
        <f aca="false">IF(F958="","",IF(AND(H958="",'Vade Sapması'!$D$3&gt;G958),'Vade Sapması'!$D$3-G958,0))</f>
        <v/>
      </c>
      <c r="P958" s="33" t="str">
        <f aca="false">IF(F958="","",F958*J958)</f>
        <v/>
      </c>
      <c r="Q958" s="33" t="str">
        <f aca="false">IF(F958="","",F958*L958)</f>
        <v/>
      </c>
      <c r="R958" s="33" t="str">
        <f aca="false">IF(F958="","",IF(H958="",F958,0))</f>
        <v/>
      </c>
      <c r="S958" s="32" t="str">
        <f aca="false">IF(F958="","",IF(N(O958)=0,"",IF(O958&lt;=30,"1-30",IF(O958&lt;=60,"31-60",IF(O958&lt;=90,"61-90","90+")))))</f>
        <v/>
      </c>
      <c r="T958" s="32" t="str">
        <f aca="false">IF(F958="","",IF(E958="","Diğer",E958))</f>
        <v/>
      </c>
      <c r="U958" s="32" t="str">
        <f aca="false">IF(OR(F958="",C958=""),"",IF(COUNTIF($C$2:C958,C958)=1,MAX($U$1:U957)+1,""))</f>
        <v/>
      </c>
    </row>
    <row r="959" customFormat="false" ht="15" hidden="false" customHeight="false" outlineLevel="0" collapsed="false">
      <c r="A959" s="34"/>
      <c r="B959" s="9"/>
      <c r="C959" s="34"/>
      <c r="D959" s="34"/>
      <c r="E959" s="34"/>
      <c r="F959" s="35"/>
      <c r="G959" s="9"/>
      <c r="H959" s="9"/>
      <c r="I959" s="34"/>
      <c r="J959" s="30" t="str">
        <f aca="false">IF(F959="","",G959-B959)</f>
        <v/>
      </c>
      <c r="K959" s="31" t="str">
        <f aca="false">IF(F959="","",IF(H959&lt;&gt;"",H959,MAX('Vade Sapması'!$D$3,G959)))</f>
        <v/>
      </c>
      <c r="L959" s="30" t="str">
        <f aca="false">IF(F959="","",K959-B959)</f>
        <v/>
      </c>
      <c r="M959" s="30" t="str">
        <f aca="false">IF(F959="","",L959-J959)</f>
        <v/>
      </c>
      <c r="N959" s="32" t="str">
        <f aca="false">IF(F959="","",IF(H959&lt;&gt;"","Kapandı",IF('Vade Sapması'!$D$3&gt;G959,"Açık · vadesi geçti","Açık · vadesi gelmedi")))</f>
        <v/>
      </c>
      <c r="O959" s="30" t="str">
        <f aca="false">IF(F959="","",IF(AND(H959="",'Vade Sapması'!$D$3&gt;G959),'Vade Sapması'!$D$3-G959,0))</f>
        <v/>
      </c>
      <c r="P959" s="33" t="str">
        <f aca="false">IF(F959="","",F959*J959)</f>
        <v/>
      </c>
      <c r="Q959" s="33" t="str">
        <f aca="false">IF(F959="","",F959*L959)</f>
        <v/>
      </c>
      <c r="R959" s="33" t="str">
        <f aca="false">IF(F959="","",IF(H959="",F959,0))</f>
        <v/>
      </c>
      <c r="S959" s="32" t="str">
        <f aca="false">IF(F959="","",IF(N(O959)=0,"",IF(O959&lt;=30,"1-30",IF(O959&lt;=60,"31-60",IF(O959&lt;=90,"61-90","90+")))))</f>
        <v/>
      </c>
      <c r="T959" s="32" t="str">
        <f aca="false">IF(F959="","",IF(E959="","Diğer",E959))</f>
        <v/>
      </c>
      <c r="U959" s="32" t="str">
        <f aca="false">IF(OR(F959="",C959=""),"",IF(COUNTIF($C$2:C959,C959)=1,MAX($U$1:U958)+1,""))</f>
        <v/>
      </c>
    </row>
    <row r="960" customFormat="false" ht="15" hidden="false" customHeight="false" outlineLevel="0" collapsed="false">
      <c r="A960" s="34"/>
      <c r="B960" s="9"/>
      <c r="C960" s="34"/>
      <c r="D960" s="34"/>
      <c r="E960" s="34"/>
      <c r="F960" s="35"/>
      <c r="G960" s="9"/>
      <c r="H960" s="9"/>
      <c r="I960" s="34"/>
      <c r="J960" s="30" t="str">
        <f aca="false">IF(F960="","",G960-B960)</f>
        <v/>
      </c>
      <c r="K960" s="31" t="str">
        <f aca="false">IF(F960="","",IF(H960&lt;&gt;"",H960,MAX('Vade Sapması'!$D$3,G960)))</f>
        <v/>
      </c>
      <c r="L960" s="30" t="str">
        <f aca="false">IF(F960="","",K960-B960)</f>
        <v/>
      </c>
      <c r="M960" s="30" t="str">
        <f aca="false">IF(F960="","",L960-J960)</f>
        <v/>
      </c>
      <c r="N960" s="32" t="str">
        <f aca="false">IF(F960="","",IF(H960&lt;&gt;"","Kapandı",IF('Vade Sapması'!$D$3&gt;G960,"Açık · vadesi geçti","Açık · vadesi gelmedi")))</f>
        <v/>
      </c>
      <c r="O960" s="30" t="str">
        <f aca="false">IF(F960="","",IF(AND(H960="",'Vade Sapması'!$D$3&gt;G960),'Vade Sapması'!$D$3-G960,0))</f>
        <v/>
      </c>
      <c r="P960" s="33" t="str">
        <f aca="false">IF(F960="","",F960*J960)</f>
        <v/>
      </c>
      <c r="Q960" s="33" t="str">
        <f aca="false">IF(F960="","",F960*L960)</f>
        <v/>
      </c>
      <c r="R960" s="33" t="str">
        <f aca="false">IF(F960="","",IF(H960="",F960,0))</f>
        <v/>
      </c>
      <c r="S960" s="32" t="str">
        <f aca="false">IF(F960="","",IF(N(O960)=0,"",IF(O960&lt;=30,"1-30",IF(O960&lt;=60,"31-60",IF(O960&lt;=90,"61-90","90+")))))</f>
        <v/>
      </c>
      <c r="T960" s="32" t="str">
        <f aca="false">IF(F960="","",IF(E960="","Diğer",E960))</f>
        <v/>
      </c>
      <c r="U960" s="32" t="str">
        <f aca="false">IF(OR(F960="",C960=""),"",IF(COUNTIF($C$2:C960,C960)=1,MAX($U$1:U959)+1,""))</f>
        <v/>
      </c>
    </row>
    <row r="961" customFormat="false" ht="15" hidden="false" customHeight="false" outlineLevel="0" collapsed="false">
      <c r="A961" s="34"/>
      <c r="B961" s="9"/>
      <c r="C961" s="34"/>
      <c r="D961" s="34"/>
      <c r="E961" s="34"/>
      <c r="F961" s="35"/>
      <c r="G961" s="9"/>
      <c r="H961" s="9"/>
      <c r="I961" s="34"/>
      <c r="J961" s="30" t="str">
        <f aca="false">IF(F961="","",G961-B961)</f>
        <v/>
      </c>
      <c r="K961" s="31" t="str">
        <f aca="false">IF(F961="","",IF(H961&lt;&gt;"",H961,MAX('Vade Sapması'!$D$3,G961)))</f>
        <v/>
      </c>
      <c r="L961" s="30" t="str">
        <f aca="false">IF(F961="","",K961-B961)</f>
        <v/>
      </c>
      <c r="M961" s="30" t="str">
        <f aca="false">IF(F961="","",L961-J961)</f>
        <v/>
      </c>
      <c r="N961" s="32" t="str">
        <f aca="false">IF(F961="","",IF(H961&lt;&gt;"","Kapandı",IF('Vade Sapması'!$D$3&gt;G961,"Açık · vadesi geçti","Açık · vadesi gelmedi")))</f>
        <v/>
      </c>
      <c r="O961" s="30" t="str">
        <f aca="false">IF(F961="","",IF(AND(H961="",'Vade Sapması'!$D$3&gt;G961),'Vade Sapması'!$D$3-G961,0))</f>
        <v/>
      </c>
      <c r="P961" s="33" t="str">
        <f aca="false">IF(F961="","",F961*J961)</f>
        <v/>
      </c>
      <c r="Q961" s="33" t="str">
        <f aca="false">IF(F961="","",F961*L961)</f>
        <v/>
      </c>
      <c r="R961" s="33" t="str">
        <f aca="false">IF(F961="","",IF(H961="",F961,0))</f>
        <v/>
      </c>
      <c r="S961" s="32" t="str">
        <f aca="false">IF(F961="","",IF(N(O961)=0,"",IF(O961&lt;=30,"1-30",IF(O961&lt;=60,"31-60",IF(O961&lt;=90,"61-90","90+")))))</f>
        <v/>
      </c>
      <c r="T961" s="32" t="str">
        <f aca="false">IF(F961="","",IF(E961="","Diğer",E961))</f>
        <v/>
      </c>
      <c r="U961" s="32" t="str">
        <f aca="false">IF(OR(F961="",C961=""),"",IF(COUNTIF($C$2:C961,C961)=1,MAX($U$1:U960)+1,""))</f>
        <v/>
      </c>
    </row>
    <row r="962" customFormat="false" ht="15" hidden="false" customHeight="false" outlineLevel="0" collapsed="false">
      <c r="A962" s="34"/>
      <c r="B962" s="9"/>
      <c r="C962" s="34"/>
      <c r="D962" s="34"/>
      <c r="E962" s="34"/>
      <c r="F962" s="35"/>
      <c r="G962" s="9"/>
      <c r="H962" s="9"/>
      <c r="I962" s="34"/>
      <c r="J962" s="30" t="str">
        <f aca="false">IF(F962="","",G962-B962)</f>
        <v/>
      </c>
      <c r="K962" s="31" t="str">
        <f aca="false">IF(F962="","",IF(H962&lt;&gt;"",H962,MAX('Vade Sapması'!$D$3,G962)))</f>
        <v/>
      </c>
      <c r="L962" s="30" t="str">
        <f aca="false">IF(F962="","",K962-B962)</f>
        <v/>
      </c>
      <c r="M962" s="30" t="str">
        <f aca="false">IF(F962="","",L962-J962)</f>
        <v/>
      </c>
      <c r="N962" s="32" t="str">
        <f aca="false">IF(F962="","",IF(H962&lt;&gt;"","Kapandı",IF('Vade Sapması'!$D$3&gt;G962,"Açık · vadesi geçti","Açık · vadesi gelmedi")))</f>
        <v/>
      </c>
      <c r="O962" s="30" t="str">
        <f aca="false">IF(F962="","",IF(AND(H962="",'Vade Sapması'!$D$3&gt;G962),'Vade Sapması'!$D$3-G962,0))</f>
        <v/>
      </c>
      <c r="P962" s="33" t="str">
        <f aca="false">IF(F962="","",F962*J962)</f>
        <v/>
      </c>
      <c r="Q962" s="33" t="str">
        <f aca="false">IF(F962="","",F962*L962)</f>
        <v/>
      </c>
      <c r="R962" s="33" t="str">
        <f aca="false">IF(F962="","",IF(H962="",F962,0))</f>
        <v/>
      </c>
      <c r="S962" s="32" t="str">
        <f aca="false">IF(F962="","",IF(N(O962)=0,"",IF(O962&lt;=30,"1-30",IF(O962&lt;=60,"31-60",IF(O962&lt;=90,"61-90","90+")))))</f>
        <v/>
      </c>
      <c r="T962" s="32" t="str">
        <f aca="false">IF(F962="","",IF(E962="","Diğer",E962))</f>
        <v/>
      </c>
      <c r="U962" s="32" t="str">
        <f aca="false">IF(OR(F962="",C962=""),"",IF(COUNTIF($C$2:C962,C962)=1,MAX($U$1:U961)+1,""))</f>
        <v/>
      </c>
    </row>
    <row r="963" customFormat="false" ht="15" hidden="false" customHeight="false" outlineLevel="0" collapsed="false">
      <c r="A963" s="34"/>
      <c r="B963" s="9"/>
      <c r="C963" s="34"/>
      <c r="D963" s="34"/>
      <c r="E963" s="34"/>
      <c r="F963" s="35"/>
      <c r="G963" s="9"/>
      <c r="H963" s="9"/>
      <c r="I963" s="34"/>
      <c r="J963" s="30" t="str">
        <f aca="false">IF(F963="","",G963-B963)</f>
        <v/>
      </c>
      <c r="K963" s="31" t="str">
        <f aca="false">IF(F963="","",IF(H963&lt;&gt;"",H963,MAX('Vade Sapması'!$D$3,G963)))</f>
        <v/>
      </c>
      <c r="L963" s="30" t="str">
        <f aca="false">IF(F963="","",K963-B963)</f>
        <v/>
      </c>
      <c r="M963" s="30" t="str">
        <f aca="false">IF(F963="","",L963-J963)</f>
        <v/>
      </c>
      <c r="N963" s="32" t="str">
        <f aca="false">IF(F963="","",IF(H963&lt;&gt;"","Kapandı",IF('Vade Sapması'!$D$3&gt;G963,"Açık · vadesi geçti","Açık · vadesi gelmedi")))</f>
        <v/>
      </c>
      <c r="O963" s="30" t="str">
        <f aca="false">IF(F963="","",IF(AND(H963="",'Vade Sapması'!$D$3&gt;G963),'Vade Sapması'!$D$3-G963,0))</f>
        <v/>
      </c>
      <c r="P963" s="33" t="str">
        <f aca="false">IF(F963="","",F963*J963)</f>
        <v/>
      </c>
      <c r="Q963" s="33" t="str">
        <f aca="false">IF(F963="","",F963*L963)</f>
        <v/>
      </c>
      <c r="R963" s="33" t="str">
        <f aca="false">IF(F963="","",IF(H963="",F963,0))</f>
        <v/>
      </c>
      <c r="S963" s="32" t="str">
        <f aca="false">IF(F963="","",IF(N(O963)=0,"",IF(O963&lt;=30,"1-30",IF(O963&lt;=60,"31-60",IF(O963&lt;=90,"61-90","90+")))))</f>
        <v/>
      </c>
      <c r="T963" s="32" t="str">
        <f aca="false">IF(F963="","",IF(E963="","Diğer",E963))</f>
        <v/>
      </c>
      <c r="U963" s="32" t="str">
        <f aca="false">IF(OR(F963="",C963=""),"",IF(COUNTIF($C$2:C963,C963)=1,MAX($U$1:U962)+1,""))</f>
        <v/>
      </c>
    </row>
    <row r="964" customFormat="false" ht="15" hidden="false" customHeight="false" outlineLevel="0" collapsed="false">
      <c r="A964" s="34"/>
      <c r="B964" s="9"/>
      <c r="C964" s="34"/>
      <c r="D964" s="34"/>
      <c r="E964" s="34"/>
      <c r="F964" s="35"/>
      <c r="G964" s="9"/>
      <c r="H964" s="9"/>
      <c r="I964" s="34"/>
      <c r="J964" s="30" t="str">
        <f aca="false">IF(F964="","",G964-B964)</f>
        <v/>
      </c>
      <c r="K964" s="31" t="str">
        <f aca="false">IF(F964="","",IF(H964&lt;&gt;"",H964,MAX('Vade Sapması'!$D$3,G964)))</f>
        <v/>
      </c>
      <c r="L964" s="30" t="str">
        <f aca="false">IF(F964="","",K964-B964)</f>
        <v/>
      </c>
      <c r="M964" s="30" t="str">
        <f aca="false">IF(F964="","",L964-J964)</f>
        <v/>
      </c>
      <c r="N964" s="32" t="str">
        <f aca="false">IF(F964="","",IF(H964&lt;&gt;"","Kapandı",IF('Vade Sapması'!$D$3&gt;G964,"Açık · vadesi geçti","Açık · vadesi gelmedi")))</f>
        <v/>
      </c>
      <c r="O964" s="30" t="str">
        <f aca="false">IF(F964="","",IF(AND(H964="",'Vade Sapması'!$D$3&gt;G964),'Vade Sapması'!$D$3-G964,0))</f>
        <v/>
      </c>
      <c r="P964" s="33" t="str">
        <f aca="false">IF(F964="","",F964*J964)</f>
        <v/>
      </c>
      <c r="Q964" s="33" t="str">
        <f aca="false">IF(F964="","",F964*L964)</f>
        <v/>
      </c>
      <c r="R964" s="33" t="str">
        <f aca="false">IF(F964="","",IF(H964="",F964,0))</f>
        <v/>
      </c>
      <c r="S964" s="32" t="str">
        <f aca="false">IF(F964="","",IF(N(O964)=0,"",IF(O964&lt;=30,"1-30",IF(O964&lt;=60,"31-60",IF(O964&lt;=90,"61-90","90+")))))</f>
        <v/>
      </c>
      <c r="T964" s="32" t="str">
        <f aca="false">IF(F964="","",IF(E964="","Diğer",E964))</f>
        <v/>
      </c>
      <c r="U964" s="32" t="str">
        <f aca="false">IF(OR(F964="",C964=""),"",IF(COUNTIF($C$2:C964,C964)=1,MAX($U$1:U963)+1,""))</f>
        <v/>
      </c>
    </row>
    <row r="965" customFormat="false" ht="15" hidden="false" customHeight="false" outlineLevel="0" collapsed="false">
      <c r="A965" s="34"/>
      <c r="B965" s="9"/>
      <c r="C965" s="34"/>
      <c r="D965" s="34"/>
      <c r="E965" s="34"/>
      <c r="F965" s="35"/>
      <c r="G965" s="9"/>
      <c r="H965" s="9"/>
      <c r="I965" s="34"/>
      <c r="J965" s="30" t="str">
        <f aca="false">IF(F965="","",G965-B965)</f>
        <v/>
      </c>
      <c r="K965" s="31" t="str">
        <f aca="false">IF(F965="","",IF(H965&lt;&gt;"",H965,MAX('Vade Sapması'!$D$3,G965)))</f>
        <v/>
      </c>
      <c r="L965" s="30" t="str">
        <f aca="false">IF(F965="","",K965-B965)</f>
        <v/>
      </c>
      <c r="M965" s="30" t="str">
        <f aca="false">IF(F965="","",L965-J965)</f>
        <v/>
      </c>
      <c r="N965" s="32" t="str">
        <f aca="false">IF(F965="","",IF(H965&lt;&gt;"","Kapandı",IF('Vade Sapması'!$D$3&gt;G965,"Açık · vadesi geçti","Açık · vadesi gelmedi")))</f>
        <v/>
      </c>
      <c r="O965" s="30" t="str">
        <f aca="false">IF(F965="","",IF(AND(H965="",'Vade Sapması'!$D$3&gt;G965),'Vade Sapması'!$D$3-G965,0))</f>
        <v/>
      </c>
      <c r="P965" s="33" t="str">
        <f aca="false">IF(F965="","",F965*J965)</f>
        <v/>
      </c>
      <c r="Q965" s="33" t="str">
        <f aca="false">IF(F965="","",F965*L965)</f>
        <v/>
      </c>
      <c r="R965" s="33" t="str">
        <f aca="false">IF(F965="","",IF(H965="",F965,0))</f>
        <v/>
      </c>
      <c r="S965" s="32" t="str">
        <f aca="false">IF(F965="","",IF(N(O965)=0,"",IF(O965&lt;=30,"1-30",IF(O965&lt;=60,"31-60",IF(O965&lt;=90,"61-90","90+")))))</f>
        <v/>
      </c>
      <c r="T965" s="32" t="str">
        <f aca="false">IF(F965="","",IF(E965="","Diğer",E965))</f>
        <v/>
      </c>
      <c r="U965" s="32" t="str">
        <f aca="false">IF(OR(F965="",C965=""),"",IF(COUNTIF($C$2:C965,C965)=1,MAX($U$1:U964)+1,""))</f>
        <v/>
      </c>
    </row>
    <row r="966" customFormat="false" ht="15" hidden="false" customHeight="false" outlineLevel="0" collapsed="false">
      <c r="A966" s="34"/>
      <c r="B966" s="9"/>
      <c r="C966" s="34"/>
      <c r="D966" s="34"/>
      <c r="E966" s="34"/>
      <c r="F966" s="35"/>
      <c r="G966" s="9"/>
      <c r="H966" s="9"/>
      <c r="I966" s="34"/>
      <c r="J966" s="30" t="str">
        <f aca="false">IF(F966="","",G966-B966)</f>
        <v/>
      </c>
      <c r="K966" s="31" t="str">
        <f aca="false">IF(F966="","",IF(H966&lt;&gt;"",H966,MAX('Vade Sapması'!$D$3,G966)))</f>
        <v/>
      </c>
      <c r="L966" s="30" t="str">
        <f aca="false">IF(F966="","",K966-B966)</f>
        <v/>
      </c>
      <c r="M966" s="30" t="str">
        <f aca="false">IF(F966="","",L966-J966)</f>
        <v/>
      </c>
      <c r="N966" s="32" t="str">
        <f aca="false">IF(F966="","",IF(H966&lt;&gt;"","Kapandı",IF('Vade Sapması'!$D$3&gt;G966,"Açık · vadesi geçti","Açık · vadesi gelmedi")))</f>
        <v/>
      </c>
      <c r="O966" s="30" t="str">
        <f aca="false">IF(F966="","",IF(AND(H966="",'Vade Sapması'!$D$3&gt;G966),'Vade Sapması'!$D$3-G966,0))</f>
        <v/>
      </c>
      <c r="P966" s="33" t="str">
        <f aca="false">IF(F966="","",F966*J966)</f>
        <v/>
      </c>
      <c r="Q966" s="33" t="str">
        <f aca="false">IF(F966="","",F966*L966)</f>
        <v/>
      </c>
      <c r="R966" s="33" t="str">
        <f aca="false">IF(F966="","",IF(H966="",F966,0))</f>
        <v/>
      </c>
      <c r="S966" s="32" t="str">
        <f aca="false">IF(F966="","",IF(N(O966)=0,"",IF(O966&lt;=30,"1-30",IF(O966&lt;=60,"31-60",IF(O966&lt;=90,"61-90","90+")))))</f>
        <v/>
      </c>
      <c r="T966" s="32" t="str">
        <f aca="false">IF(F966="","",IF(E966="","Diğer",E966))</f>
        <v/>
      </c>
      <c r="U966" s="32" t="str">
        <f aca="false">IF(OR(F966="",C966=""),"",IF(COUNTIF($C$2:C966,C966)=1,MAX($U$1:U965)+1,""))</f>
        <v/>
      </c>
    </row>
    <row r="967" customFormat="false" ht="15" hidden="false" customHeight="false" outlineLevel="0" collapsed="false">
      <c r="A967" s="34"/>
      <c r="B967" s="9"/>
      <c r="C967" s="34"/>
      <c r="D967" s="34"/>
      <c r="E967" s="34"/>
      <c r="F967" s="35"/>
      <c r="G967" s="9"/>
      <c r="H967" s="9"/>
      <c r="I967" s="34"/>
      <c r="J967" s="30" t="str">
        <f aca="false">IF(F967="","",G967-B967)</f>
        <v/>
      </c>
      <c r="K967" s="31" t="str">
        <f aca="false">IF(F967="","",IF(H967&lt;&gt;"",H967,MAX('Vade Sapması'!$D$3,G967)))</f>
        <v/>
      </c>
      <c r="L967" s="30" t="str">
        <f aca="false">IF(F967="","",K967-B967)</f>
        <v/>
      </c>
      <c r="M967" s="30" t="str">
        <f aca="false">IF(F967="","",L967-J967)</f>
        <v/>
      </c>
      <c r="N967" s="32" t="str">
        <f aca="false">IF(F967="","",IF(H967&lt;&gt;"","Kapandı",IF('Vade Sapması'!$D$3&gt;G967,"Açık · vadesi geçti","Açık · vadesi gelmedi")))</f>
        <v/>
      </c>
      <c r="O967" s="30" t="str">
        <f aca="false">IF(F967="","",IF(AND(H967="",'Vade Sapması'!$D$3&gt;G967),'Vade Sapması'!$D$3-G967,0))</f>
        <v/>
      </c>
      <c r="P967" s="33" t="str">
        <f aca="false">IF(F967="","",F967*J967)</f>
        <v/>
      </c>
      <c r="Q967" s="33" t="str">
        <f aca="false">IF(F967="","",F967*L967)</f>
        <v/>
      </c>
      <c r="R967" s="33" t="str">
        <f aca="false">IF(F967="","",IF(H967="",F967,0))</f>
        <v/>
      </c>
      <c r="S967" s="32" t="str">
        <f aca="false">IF(F967="","",IF(N(O967)=0,"",IF(O967&lt;=30,"1-30",IF(O967&lt;=60,"31-60",IF(O967&lt;=90,"61-90","90+")))))</f>
        <v/>
      </c>
      <c r="T967" s="32" t="str">
        <f aca="false">IF(F967="","",IF(E967="","Diğer",E967))</f>
        <v/>
      </c>
      <c r="U967" s="32" t="str">
        <f aca="false">IF(OR(F967="",C967=""),"",IF(COUNTIF($C$2:C967,C967)=1,MAX($U$1:U966)+1,""))</f>
        <v/>
      </c>
    </row>
    <row r="968" customFormat="false" ht="15" hidden="false" customHeight="false" outlineLevel="0" collapsed="false">
      <c r="A968" s="34"/>
      <c r="B968" s="9"/>
      <c r="C968" s="34"/>
      <c r="D968" s="34"/>
      <c r="E968" s="34"/>
      <c r="F968" s="35"/>
      <c r="G968" s="9"/>
      <c r="H968" s="9"/>
      <c r="I968" s="34"/>
      <c r="J968" s="30" t="str">
        <f aca="false">IF(F968="","",G968-B968)</f>
        <v/>
      </c>
      <c r="K968" s="31" t="str">
        <f aca="false">IF(F968="","",IF(H968&lt;&gt;"",H968,MAX('Vade Sapması'!$D$3,G968)))</f>
        <v/>
      </c>
      <c r="L968" s="30" t="str">
        <f aca="false">IF(F968="","",K968-B968)</f>
        <v/>
      </c>
      <c r="M968" s="30" t="str">
        <f aca="false">IF(F968="","",L968-J968)</f>
        <v/>
      </c>
      <c r="N968" s="32" t="str">
        <f aca="false">IF(F968="","",IF(H968&lt;&gt;"","Kapandı",IF('Vade Sapması'!$D$3&gt;G968,"Açık · vadesi geçti","Açık · vadesi gelmedi")))</f>
        <v/>
      </c>
      <c r="O968" s="30" t="str">
        <f aca="false">IF(F968="","",IF(AND(H968="",'Vade Sapması'!$D$3&gt;G968),'Vade Sapması'!$D$3-G968,0))</f>
        <v/>
      </c>
      <c r="P968" s="33" t="str">
        <f aca="false">IF(F968="","",F968*J968)</f>
        <v/>
      </c>
      <c r="Q968" s="33" t="str">
        <f aca="false">IF(F968="","",F968*L968)</f>
        <v/>
      </c>
      <c r="R968" s="33" t="str">
        <f aca="false">IF(F968="","",IF(H968="",F968,0))</f>
        <v/>
      </c>
      <c r="S968" s="32" t="str">
        <f aca="false">IF(F968="","",IF(N(O968)=0,"",IF(O968&lt;=30,"1-30",IF(O968&lt;=60,"31-60",IF(O968&lt;=90,"61-90","90+")))))</f>
        <v/>
      </c>
      <c r="T968" s="32" t="str">
        <f aca="false">IF(F968="","",IF(E968="","Diğer",E968))</f>
        <v/>
      </c>
      <c r="U968" s="32" t="str">
        <f aca="false">IF(OR(F968="",C968=""),"",IF(COUNTIF($C$2:C968,C968)=1,MAX($U$1:U967)+1,""))</f>
        <v/>
      </c>
    </row>
    <row r="969" customFormat="false" ht="15" hidden="false" customHeight="false" outlineLevel="0" collapsed="false">
      <c r="A969" s="34"/>
      <c r="B969" s="9"/>
      <c r="C969" s="34"/>
      <c r="D969" s="34"/>
      <c r="E969" s="34"/>
      <c r="F969" s="35"/>
      <c r="G969" s="9"/>
      <c r="H969" s="9"/>
      <c r="I969" s="34"/>
      <c r="J969" s="30" t="str">
        <f aca="false">IF(F969="","",G969-B969)</f>
        <v/>
      </c>
      <c r="K969" s="31" t="str">
        <f aca="false">IF(F969="","",IF(H969&lt;&gt;"",H969,MAX('Vade Sapması'!$D$3,G969)))</f>
        <v/>
      </c>
      <c r="L969" s="30" t="str">
        <f aca="false">IF(F969="","",K969-B969)</f>
        <v/>
      </c>
      <c r="M969" s="30" t="str">
        <f aca="false">IF(F969="","",L969-J969)</f>
        <v/>
      </c>
      <c r="N969" s="32" t="str">
        <f aca="false">IF(F969="","",IF(H969&lt;&gt;"","Kapandı",IF('Vade Sapması'!$D$3&gt;G969,"Açık · vadesi geçti","Açık · vadesi gelmedi")))</f>
        <v/>
      </c>
      <c r="O969" s="30" t="str">
        <f aca="false">IF(F969="","",IF(AND(H969="",'Vade Sapması'!$D$3&gt;G969),'Vade Sapması'!$D$3-G969,0))</f>
        <v/>
      </c>
      <c r="P969" s="33" t="str">
        <f aca="false">IF(F969="","",F969*J969)</f>
        <v/>
      </c>
      <c r="Q969" s="33" t="str">
        <f aca="false">IF(F969="","",F969*L969)</f>
        <v/>
      </c>
      <c r="R969" s="33" t="str">
        <f aca="false">IF(F969="","",IF(H969="",F969,0))</f>
        <v/>
      </c>
      <c r="S969" s="32" t="str">
        <f aca="false">IF(F969="","",IF(N(O969)=0,"",IF(O969&lt;=30,"1-30",IF(O969&lt;=60,"31-60",IF(O969&lt;=90,"61-90","90+")))))</f>
        <v/>
      </c>
      <c r="T969" s="32" t="str">
        <f aca="false">IF(F969="","",IF(E969="","Diğer",E969))</f>
        <v/>
      </c>
      <c r="U969" s="32" t="str">
        <f aca="false">IF(OR(F969="",C969=""),"",IF(COUNTIF($C$2:C969,C969)=1,MAX($U$1:U968)+1,""))</f>
        <v/>
      </c>
    </row>
    <row r="970" customFormat="false" ht="15" hidden="false" customHeight="false" outlineLevel="0" collapsed="false">
      <c r="A970" s="34"/>
      <c r="B970" s="9"/>
      <c r="C970" s="34"/>
      <c r="D970" s="34"/>
      <c r="E970" s="34"/>
      <c r="F970" s="35"/>
      <c r="G970" s="9"/>
      <c r="H970" s="9"/>
      <c r="I970" s="34"/>
      <c r="J970" s="30" t="str">
        <f aca="false">IF(F970="","",G970-B970)</f>
        <v/>
      </c>
      <c r="K970" s="31" t="str">
        <f aca="false">IF(F970="","",IF(H970&lt;&gt;"",H970,MAX('Vade Sapması'!$D$3,G970)))</f>
        <v/>
      </c>
      <c r="L970" s="30" t="str">
        <f aca="false">IF(F970="","",K970-B970)</f>
        <v/>
      </c>
      <c r="M970" s="30" t="str">
        <f aca="false">IF(F970="","",L970-J970)</f>
        <v/>
      </c>
      <c r="N970" s="32" t="str">
        <f aca="false">IF(F970="","",IF(H970&lt;&gt;"","Kapandı",IF('Vade Sapması'!$D$3&gt;G970,"Açık · vadesi geçti","Açık · vadesi gelmedi")))</f>
        <v/>
      </c>
      <c r="O970" s="30" t="str">
        <f aca="false">IF(F970="","",IF(AND(H970="",'Vade Sapması'!$D$3&gt;G970),'Vade Sapması'!$D$3-G970,0))</f>
        <v/>
      </c>
      <c r="P970" s="33" t="str">
        <f aca="false">IF(F970="","",F970*J970)</f>
        <v/>
      </c>
      <c r="Q970" s="33" t="str">
        <f aca="false">IF(F970="","",F970*L970)</f>
        <v/>
      </c>
      <c r="R970" s="33" t="str">
        <f aca="false">IF(F970="","",IF(H970="",F970,0))</f>
        <v/>
      </c>
      <c r="S970" s="32" t="str">
        <f aca="false">IF(F970="","",IF(N(O970)=0,"",IF(O970&lt;=30,"1-30",IF(O970&lt;=60,"31-60",IF(O970&lt;=90,"61-90","90+")))))</f>
        <v/>
      </c>
      <c r="T970" s="32" t="str">
        <f aca="false">IF(F970="","",IF(E970="","Diğer",E970))</f>
        <v/>
      </c>
      <c r="U970" s="32" t="str">
        <f aca="false">IF(OR(F970="",C970=""),"",IF(COUNTIF($C$2:C970,C970)=1,MAX($U$1:U969)+1,""))</f>
        <v/>
      </c>
    </row>
    <row r="971" customFormat="false" ht="15" hidden="false" customHeight="false" outlineLevel="0" collapsed="false">
      <c r="A971" s="34"/>
      <c r="B971" s="9"/>
      <c r="C971" s="34"/>
      <c r="D971" s="34"/>
      <c r="E971" s="34"/>
      <c r="F971" s="35"/>
      <c r="G971" s="9"/>
      <c r="H971" s="9"/>
      <c r="I971" s="34"/>
      <c r="J971" s="30" t="str">
        <f aca="false">IF(F971="","",G971-B971)</f>
        <v/>
      </c>
      <c r="K971" s="31" t="str">
        <f aca="false">IF(F971="","",IF(H971&lt;&gt;"",H971,MAX('Vade Sapması'!$D$3,G971)))</f>
        <v/>
      </c>
      <c r="L971" s="30" t="str">
        <f aca="false">IF(F971="","",K971-B971)</f>
        <v/>
      </c>
      <c r="M971" s="30" t="str">
        <f aca="false">IF(F971="","",L971-J971)</f>
        <v/>
      </c>
      <c r="N971" s="32" t="str">
        <f aca="false">IF(F971="","",IF(H971&lt;&gt;"","Kapandı",IF('Vade Sapması'!$D$3&gt;G971,"Açık · vadesi geçti","Açık · vadesi gelmedi")))</f>
        <v/>
      </c>
      <c r="O971" s="30" t="str">
        <f aca="false">IF(F971="","",IF(AND(H971="",'Vade Sapması'!$D$3&gt;G971),'Vade Sapması'!$D$3-G971,0))</f>
        <v/>
      </c>
      <c r="P971" s="33" t="str">
        <f aca="false">IF(F971="","",F971*J971)</f>
        <v/>
      </c>
      <c r="Q971" s="33" t="str">
        <f aca="false">IF(F971="","",F971*L971)</f>
        <v/>
      </c>
      <c r="R971" s="33" t="str">
        <f aca="false">IF(F971="","",IF(H971="",F971,0))</f>
        <v/>
      </c>
      <c r="S971" s="32" t="str">
        <f aca="false">IF(F971="","",IF(N(O971)=0,"",IF(O971&lt;=30,"1-30",IF(O971&lt;=60,"31-60",IF(O971&lt;=90,"61-90","90+")))))</f>
        <v/>
      </c>
      <c r="T971" s="32" t="str">
        <f aca="false">IF(F971="","",IF(E971="","Diğer",E971))</f>
        <v/>
      </c>
      <c r="U971" s="32" t="str">
        <f aca="false">IF(OR(F971="",C971=""),"",IF(COUNTIF($C$2:C971,C971)=1,MAX($U$1:U970)+1,""))</f>
        <v/>
      </c>
    </row>
    <row r="972" customFormat="false" ht="15" hidden="false" customHeight="false" outlineLevel="0" collapsed="false">
      <c r="A972" s="34"/>
      <c r="B972" s="9"/>
      <c r="C972" s="34"/>
      <c r="D972" s="34"/>
      <c r="E972" s="34"/>
      <c r="F972" s="35"/>
      <c r="G972" s="9"/>
      <c r="H972" s="9"/>
      <c r="I972" s="34"/>
      <c r="J972" s="30" t="str">
        <f aca="false">IF(F972="","",G972-B972)</f>
        <v/>
      </c>
      <c r="K972" s="31" t="str">
        <f aca="false">IF(F972="","",IF(H972&lt;&gt;"",H972,MAX('Vade Sapması'!$D$3,G972)))</f>
        <v/>
      </c>
      <c r="L972" s="30" t="str">
        <f aca="false">IF(F972="","",K972-B972)</f>
        <v/>
      </c>
      <c r="M972" s="30" t="str">
        <f aca="false">IF(F972="","",L972-J972)</f>
        <v/>
      </c>
      <c r="N972" s="32" t="str">
        <f aca="false">IF(F972="","",IF(H972&lt;&gt;"","Kapandı",IF('Vade Sapması'!$D$3&gt;G972,"Açık · vadesi geçti","Açık · vadesi gelmedi")))</f>
        <v/>
      </c>
      <c r="O972" s="30" t="str">
        <f aca="false">IF(F972="","",IF(AND(H972="",'Vade Sapması'!$D$3&gt;G972),'Vade Sapması'!$D$3-G972,0))</f>
        <v/>
      </c>
      <c r="P972" s="33" t="str">
        <f aca="false">IF(F972="","",F972*J972)</f>
        <v/>
      </c>
      <c r="Q972" s="33" t="str">
        <f aca="false">IF(F972="","",F972*L972)</f>
        <v/>
      </c>
      <c r="R972" s="33" t="str">
        <f aca="false">IF(F972="","",IF(H972="",F972,0))</f>
        <v/>
      </c>
      <c r="S972" s="32" t="str">
        <f aca="false">IF(F972="","",IF(N(O972)=0,"",IF(O972&lt;=30,"1-30",IF(O972&lt;=60,"31-60",IF(O972&lt;=90,"61-90","90+")))))</f>
        <v/>
      </c>
      <c r="T972" s="32" t="str">
        <f aca="false">IF(F972="","",IF(E972="","Diğer",E972))</f>
        <v/>
      </c>
      <c r="U972" s="32" t="str">
        <f aca="false">IF(OR(F972="",C972=""),"",IF(COUNTIF($C$2:C972,C972)=1,MAX($U$1:U971)+1,""))</f>
        <v/>
      </c>
    </row>
    <row r="973" customFormat="false" ht="15" hidden="false" customHeight="false" outlineLevel="0" collapsed="false">
      <c r="A973" s="34"/>
      <c r="B973" s="9"/>
      <c r="C973" s="34"/>
      <c r="D973" s="34"/>
      <c r="E973" s="34"/>
      <c r="F973" s="35"/>
      <c r="G973" s="9"/>
      <c r="H973" s="9"/>
      <c r="I973" s="34"/>
      <c r="J973" s="30" t="str">
        <f aca="false">IF(F973="","",G973-B973)</f>
        <v/>
      </c>
      <c r="K973" s="31" t="str">
        <f aca="false">IF(F973="","",IF(H973&lt;&gt;"",H973,MAX('Vade Sapması'!$D$3,G973)))</f>
        <v/>
      </c>
      <c r="L973" s="30" t="str">
        <f aca="false">IF(F973="","",K973-B973)</f>
        <v/>
      </c>
      <c r="M973" s="30" t="str">
        <f aca="false">IF(F973="","",L973-J973)</f>
        <v/>
      </c>
      <c r="N973" s="32" t="str">
        <f aca="false">IF(F973="","",IF(H973&lt;&gt;"","Kapandı",IF('Vade Sapması'!$D$3&gt;G973,"Açık · vadesi geçti","Açık · vadesi gelmedi")))</f>
        <v/>
      </c>
      <c r="O973" s="30" t="str">
        <f aca="false">IF(F973="","",IF(AND(H973="",'Vade Sapması'!$D$3&gt;G973),'Vade Sapması'!$D$3-G973,0))</f>
        <v/>
      </c>
      <c r="P973" s="33" t="str">
        <f aca="false">IF(F973="","",F973*J973)</f>
        <v/>
      </c>
      <c r="Q973" s="33" t="str">
        <f aca="false">IF(F973="","",F973*L973)</f>
        <v/>
      </c>
      <c r="R973" s="33" t="str">
        <f aca="false">IF(F973="","",IF(H973="",F973,0))</f>
        <v/>
      </c>
      <c r="S973" s="32" t="str">
        <f aca="false">IF(F973="","",IF(N(O973)=0,"",IF(O973&lt;=30,"1-30",IF(O973&lt;=60,"31-60",IF(O973&lt;=90,"61-90","90+")))))</f>
        <v/>
      </c>
      <c r="T973" s="32" t="str">
        <f aca="false">IF(F973="","",IF(E973="","Diğer",E973))</f>
        <v/>
      </c>
      <c r="U973" s="32" t="str">
        <f aca="false">IF(OR(F973="",C973=""),"",IF(COUNTIF($C$2:C973,C973)=1,MAX($U$1:U972)+1,""))</f>
        <v/>
      </c>
    </row>
    <row r="974" customFormat="false" ht="15" hidden="false" customHeight="false" outlineLevel="0" collapsed="false">
      <c r="A974" s="34"/>
      <c r="B974" s="9"/>
      <c r="C974" s="34"/>
      <c r="D974" s="34"/>
      <c r="E974" s="34"/>
      <c r="F974" s="35"/>
      <c r="G974" s="9"/>
      <c r="H974" s="9"/>
      <c r="I974" s="34"/>
      <c r="J974" s="30" t="str">
        <f aca="false">IF(F974="","",G974-B974)</f>
        <v/>
      </c>
      <c r="K974" s="31" t="str">
        <f aca="false">IF(F974="","",IF(H974&lt;&gt;"",H974,MAX('Vade Sapması'!$D$3,G974)))</f>
        <v/>
      </c>
      <c r="L974" s="30" t="str">
        <f aca="false">IF(F974="","",K974-B974)</f>
        <v/>
      </c>
      <c r="M974" s="30" t="str">
        <f aca="false">IF(F974="","",L974-J974)</f>
        <v/>
      </c>
      <c r="N974" s="32" t="str">
        <f aca="false">IF(F974="","",IF(H974&lt;&gt;"","Kapandı",IF('Vade Sapması'!$D$3&gt;G974,"Açık · vadesi geçti","Açık · vadesi gelmedi")))</f>
        <v/>
      </c>
      <c r="O974" s="30" t="str">
        <f aca="false">IF(F974="","",IF(AND(H974="",'Vade Sapması'!$D$3&gt;G974),'Vade Sapması'!$D$3-G974,0))</f>
        <v/>
      </c>
      <c r="P974" s="33" t="str">
        <f aca="false">IF(F974="","",F974*J974)</f>
        <v/>
      </c>
      <c r="Q974" s="33" t="str">
        <f aca="false">IF(F974="","",F974*L974)</f>
        <v/>
      </c>
      <c r="R974" s="33" t="str">
        <f aca="false">IF(F974="","",IF(H974="",F974,0))</f>
        <v/>
      </c>
      <c r="S974" s="32" t="str">
        <f aca="false">IF(F974="","",IF(N(O974)=0,"",IF(O974&lt;=30,"1-30",IF(O974&lt;=60,"31-60",IF(O974&lt;=90,"61-90","90+")))))</f>
        <v/>
      </c>
      <c r="T974" s="32" t="str">
        <f aca="false">IF(F974="","",IF(E974="","Diğer",E974))</f>
        <v/>
      </c>
      <c r="U974" s="32" t="str">
        <f aca="false">IF(OR(F974="",C974=""),"",IF(COUNTIF($C$2:C974,C974)=1,MAX($U$1:U973)+1,""))</f>
        <v/>
      </c>
    </row>
    <row r="975" customFormat="false" ht="15" hidden="false" customHeight="false" outlineLevel="0" collapsed="false">
      <c r="A975" s="34"/>
      <c r="B975" s="9"/>
      <c r="C975" s="34"/>
      <c r="D975" s="34"/>
      <c r="E975" s="34"/>
      <c r="F975" s="35"/>
      <c r="G975" s="9"/>
      <c r="H975" s="9"/>
      <c r="I975" s="34"/>
      <c r="J975" s="30" t="str">
        <f aca="false">IF(F975="","",G975-B975)</f>
        <v/>
      </c>
      <c r="K975" s="31" t="str">
        <f aca="false">IF(F975="","",IF(H975&lt;&gt;"",H975,MAX('Vade Sapması'!$D$3,G975)))</f>
        <v/>
      </c>
      <c r="L975" s="30" t="str">
        <f aca="false">IF(F975="","",K975-B975)</f>
        <v/>
      </c>
      <c r="M975" s="30" t="str">
        <f aca="false">IF(F975="","",L975-J975)</f>
        <v/>
      </c>
      <c r="N975" s="32" t="str">
        <f aca="false">IF(F975="","",IF(H975&lt;&gt;"","Kapandı",IF('Vade Sapması'!$D$3&gt;G975,"Açık · vadesi geçti","Açık · vadesi gelmedi")))</f>
        <v/>
      </c>
      <c r="O975" s="30" t="str">
        <f aca="false">IF(F975="","",IF(AND(H975="",'Vade Sapması'!$D$3&gt;G975),'Vade Sapması'!$D$3-G975,0))</f>
        <v/>
      </c>
      <c r="P975" s="33" t="str">
        <f aca="false">IF(F975="","",F975*J975)</f>
        <v/>
      </c>
      <c r="Q975" s="33" t="str">
        <f aca="false">IF(F975="","",F975*L975)</f>
        <v/>
      </c>
      <c r="R975" s="33" t="str">
        <f aca="false">IF(F975="","",IF(H975="",F975,0))</f>
        <v/>
      </c>
      <c r="S975" s="32" t="str">
        <f aca="false">IF(F975="","",IF(N(O975)=0,"",IF(O975&lt;=30,"1-30",IF(O975&lt;=60,"31-60",IF(O975&lt;=90,"61-90","90+")))))</f>
        <v/>
      </c>
      <c r="T975" s="32" t="str">
        <f aca="false">IF(F975="","",IF(E975="","Diğer",E975))</f>
        <v/>
      </c>
      <c r="U975" s="32" t="str">
        <f aca="false">IF(OR(F975="",C975=""),"",IF(COUNTIF($C$2:C975,C975)=1,MAX($U$1:U974)+1,""))</f>
        <v/>
      </c>
    </row>
    <row r="976" customFormat="false" ht="15" hidden="false" customHeight="false" outlineLevel="0" collapsed="false">
      <c r="A976" s="34"/>
      <c r="B976" s="9"/>
      <c r="C976" s="34"/>
      <c r="D976" s="34"/>
      <c r="E976" s="34"/>
      <c r="F976" s="35"/>
      <c r="G976" s="9"/>
      <c r="H976" s="9"/>
      <c r="I976" s="34"/>
      <c r="J976" s="30" t="str">
        <f aca="false">IF(F976="","",G976-B976)</f>
        <v/>
      </c>
      <c r="K976" s="31" t="str">
        <f aca="false">IF(F976="","",IF(H976&lt;&gt;"",H976,MAX('Vade Sapması'!$D$3,G976)))</f>
        <v/>
      </c>
      <c r="L976" s="30" t="str">
        <f aca="false">IF(F976="","",K976-B976)</f>
        <v/>
      </c>
      <c r="M976" s="30" t="str">
        <f aca="false">IF(F976="","",L976-J976)</f>
        <v/>
      </c>
      <c r="N976" s="32" t="str">
        <f aca="false">IF(F976="","",IF(H976&lt;&gt;"","Kapandı",IF('Vade Sapması'!$D$3&gt;G976,"Açık · vadesi geçti","Açık · vadesi gelmedi")))</f>
        <v/>
      </c>
      <c r="O976" s="30" t="str">
        <f aca="false">IF(F976="","",IF(AND(H976="",'Vade Sapması'!$D$3&gt;G976),'Vade Sapması'!$D$3-G976,0))</f>
        <v/>
      </c>
      <c r="P976" s="33" t="str">
        <f aca="false">IF(F976="","",F976*J976)</f>
        <v/>
      </c>
      <c r="Q976" s="33" t="str">
        <f aca="false">IF(F976="","",F976*L976)</f>
        <v/>
      </c>
      <c r="R976" s="33" t="str">
        <f aca="false">IF(F976="","",IF(H976="",F976,0))</f>
        <v/>
      </c>
      <c r="S976" s="32" t="str">
        <f aca="false">IF(F976="","",IF(N(O976)=0,"",IF(O976&lt;=30,"1-30",IF(O976&lt;=60,"31-60",IF(O976&lt;=90,"61-90","90+")))))</f>
        <v/>
      </c>
      <c r="T976" s="32" t="str">
        <f aca="false">IF(F976="","",IF(E976="","Diğer",E976))</f>
        <v/>
      </c>
      <c r="U976" s="32" t="str">
        <f aca="false">IF(OR(F976="",C976=""),"",IF(COUNTIF($C$2:C976,C976)=1,MAX($U$1:U975)+1,""))</f>
        <v/>
      </c>
    </row>
    <row r="977" customFormat="false" ht="15" hidden="false" customHeight="false" outlineLevel="0" collapsed="false">
      <c r="A977" s="34"/>
      <c r="B977" s="9"/>
      <c r="C977" s="34"/>
      <c r="D977" s="34"/>
      <c r="E977" s="34"/>
      <c r="F977" s="35"/>
      <c r="G977" s="9"/>
      <c r="H977" s="9"/>
      <c r="I977" s="34"/>
      <c r="J977" s="30" t="str">
        <f aca="false">IF(F977="","",G977-B977)</f>
        <v/>
      </c>
      <c r="K977" s="31" t="str">
        <f aca="false">IF(F977="","",IF(H977&lt;&gt;"",H977,MAX('Vade Sapması'!$D$3,G977)))</f>
        <v/>
      </c>
      <c r="L977" s="30" t="str">
        <f aca="false">IF(F977="","",K977-B977)</f>
        <v/>
      </c>
      <c r="M977" s="30" t="str">
        <f aca="false">IF(F977="","",L977-J977)</f>
        <v/>
      </c>
      <c r="N977" s="32" t="str">
        <f aca="false">IF(F977="","",IF(H977&lt;&gt;"","Kapandı",IF('Vade Sapması'!$D$3&gt;G977,"Açık · vadesi geçti","Açık · vadesi gelmedi")))</f>
        <v/>
      </c>
      <c r="O977" s="30" t="str">
        <f aca="false">IF(F977="","",IF(AND(H977="",'Vade Sapması'!$D$3&gt;G977),'Vade Sapması'!$D$3-G977,0))</f>
        <v/>
      </c>
      <c r="P977" s="33" t="str">
        <f aca="false">IF(F977="","",F977*J977)</f>
        <v/>
      </c>
      <c r="Q977" s="33" t="str">
        <f aca="false">IF(F977="","",F977*L977)</f>
        <v/>
      </c>
      <c r="R977" s="33" t="str">
        <f aca="false">IF(F977="","",IF(H977="",F977,0))</f>
        <v/>
      </c>
      <c r="S977" s="32" t="str">
        <f aca="false">IF(F977="","",IF(N(O977)=0,"",IF(O977&lt;=30,"1-30",IF(O977&lt;=60,"31-60",IF(O977&lt;=90,"61-90","90+")))))</f>
        <v/>
      </c>
      <c r="T977" s="32" t="str">
        <f aca="false">IF(F977="","",IF(E977="","Diğer",E977))</f>
        <v/>
      </c>
      <c r="U977" s="32" t="str">
        <f aca="false">IF(OR(F977="",C977=""),"",IF(COUNTIF($C$2:C977,C977)=1,MAX($U$1:U976)+1,""))</f>
        <v/>
      </c>
    </row>
    <row r="978" customFormat="false" ht="15" hidden="false" customHeight="false" outlineLevel="0" collapsed="false">
      <c r="A978" s="34"/>
      <c r="B978" s="9"/>
      <c r="C978" s="34"/>
      <c r="D978" s="34"/>
      <c r="E978" s="34"/>
      <c r="F978" s="35"/>
      <c r="G978" s="9"/>
      <c r="H978" s="9"/>
      <c r="I978" s="34"/>
      <c r="J978" s="30" t="str">
        <f aca="false">IF(F978="","",G978-B978)</f>
        <v/>
      </c>
      <c r="K978" s="31" t="str">
        <f aca="false">IF(F978="","",IF(H978&lt;&gt;"",H978,MAX('Vade Sapması'!$D$3,G978)))</f>
        <v/>
      </c>
      <c r="L978" s="30" t="str">
        <f aca="false">IF(F978="","",K978-B978)</f>
        <v/>
      </c>
      <c r="M978" s="30" t="str">
        <f aca="false">IF(F978="","",L978-J978)</f>
        <v/>
      </c>
      <c r="N978" s="32" t="str">
        <f aca="false">IF(F978="","",IF(H978&lt;&gt;"","Kapandı",IF('Vade Sapması'!$D$3&gt;G978,"Açık · vadesi geçti","Açık · vadesi gelmedi")))</f>
        <v/>
      </c>
      <c r="O978" s="30" t="str">
        <f aca="false">IF(F978="","",IF(AND(H978="",'Vade Sapması'!$D$3&gt;G978),'Vade Sapması'!$D$3-G978,0))</f>
        <v/>
      </c>
      <c r="P978" s="33" t="str">
        <f aca="false">IF(F978="","",F978*J978)</f>
        <v/>
      </c>
      <c r="Q978" s="33" t="str">
        <f aca="false">IF(F978="","",F978*L978)</f>
        <v/>
      </c>
      <c r="R978" s="33" t="str">
        <f aca="false">IF(F978="","",IF(H978="",F978,0))</f>
        <v/>
      </c>
      <c r="S978" s="32" t="str">
        <f aca="false">IF(F978="","",IF(N(O978)=0,"",IF(O978&lt;=30,"1-30",IF(O978&lt;=60,"31-60",IF(O978&lt;=90,"61-90","90+")))))</f>
        <v/>
      </c>
      <c r="T978" s="32" t="str">
        <f aca="false">IF(F978="","",IF(E978="","Diğer",E978))</f>
        <v/>
      </c>
      <c r="U978" s="32" t="str">
        <f aca="false">IF(OR(F978="",C978=""),"",IF(COUNTIF($C$2:C978,C978)=1,MAX($U$1:U977)+1,""))</f>
        <v/>
      </c>
    </row>
    <row r="979" customFormat="false" ht="15" hidden="false" customHeight="false" outlineLevel="0" collapsed="false">
      <c r="A979" s="34"/>
      <c r="B979" s="9"/>
      <c r="C979" s="34"/>
      <c r="D979" s="34"/>
      <c r="E979" s="34"/>
      <c r="F979" s="35"/>
      <c r="G979" s="9"/>
      <c r="H979" s="9"/>
      <c r="I979" s="34"/>
      <c r="J979" s="30" t="str">
        <f aca="false">IF(F979="","",G979-B979)</f>
        <v/>
      </c>
      <c r="K979" s="31" t="str">
        <f aca="false">IF(F979="","",IF(H979&lt;&gt;"",H979,MAX('Vade Sapması'!$D$3,G979)))</f>
        <v/>
      </c>
      <c r="L979" s="30" t="str">
        <f aca="false">IF(F979="","",K979-B979)</f>
        <v/>
      </c>
      <c r="M979" s="30" t="str">
        <f aca="false">IF(F979="","",L979-J979)</f>
        <v/>
      </c>
      <c r="N979" s="32" t="str">
        <f aca="false">IF(F979="","",IF(H979&lt;&gt;"","Kapandı",IF('Vade Sapması'!$D$3&gt;G979,"Açık · vadesi geçti","Açık · vadesi gelmedi")))</f>
        <v/>
      </c>
      <c r="O979" s="30" t="str">
        <f aca="false">IF(F979="","",IF(AND(H979="",'Vade Sapması'!$D$3&gt;G979),'Vade Sapması'!$D$3-G979,0))</f>
        <v/>
      </c>
      <c r="P979" s="33" t="str">
        <f aca="false">IF(F979="","",F979*J979)</f>
        <v/>
      </c>
      <c r="Q979" s="33" t="str">
        <f aca="false">IF(F979="","",F979*L979)</f>
        <v/>
      </c>
      <c r="R979" s="33" t="str">
        <f aca="false">IF(F979="","",IF(H979="",F979,0))</f>
        <v/>
      </c>
      <c r="S979" s="32" t="str">
        <f aca="false">IF(F979="","",IF(N(O979)=0,"",IF(O979&lt;=30,"1-30",IF(O979&lt;=60,"31-60",IF(O979&lt;=90,"61-90","90+")))))</f>
        <v/>
      </c>
      <c r="T979" s="32" t="str">
        <f aca="false">IF(F979="","",IF(E979="","Diğer",E979))</f>
        <v/>
      </c>
      <c r="U979" s="32" t="str">
        <f aca="false">IF(OR(F979="",C979=""),"",IF(COUNTIF($C$2:C979,C979)=1,MAX($U$1:U978)+1,""))</f>
        <v/>
      </c>
    </row>
    <row r="980" customFormat="false" ht="15" hidden="false" customHeight="false" outlineLevel="0" collapsed="false">
      <c r="A980" s="34"/>
      <c r="B980" s="9"/>
      <c r="C980" s="34"/>
      <c r="D980" s="34"/>
      <c r="E980" s="34"/>
      <c r="F980" s="35"/>
      <c r="G980" s="9"/>
      <c r="H980" s="9"/>
      <c r="I980" s="34"/>
      <c r="J980" s="30" t="str">
        <f aca="false">IF(F980="","",G980-B980)</f>
        <v/>
      </c>
      <c r="K980" s="31" t="str">
        <f aca="false">IF(F980="","",IF(H980&lt;&gt;"",H980,MAX('Vade Sapması'!$D$3,G980)))</f>
        <v/>
      </c>
      <c r="L980" s="30" t="str">
        <f aca="false">IF(F980="","",K980-B980)</f>
        <v/>
      </c>
      <c r="M980" s="30" t="str">
        <f aca="false">IF(F980="","",L980-J980)</f>
        <v/>
      </c>
      <c r="N980" s="32" t="str">
        <f aca="false">IF(F980="","",IF(H980&lt;&gt;"","Kapandı",IF('Vade Sapması'!$D$3&gt;G980,"Açık · vadesi geçti","Açık · vadesi gelmedi")))</f>
        <v/>
      </c>
      <c r="O980" s="30" t="str">
        <f aca="false">IF(F980="","",IF(AND(H980="",'Vade Sapması'!$D$3&gt;G980),'Vade Sapması'!$D$3-G980,0))</f>
        <v/>
      </c>
      <c r="P980" s="33" t="str">
        <f aca="false">IF(F980="","",F980*J980)</f>
        <v/>
      </c>
      <c r="Q980" s="33" t="str">
        <f aca="false">IF(F980="","",F980*L980)</f>
        <v/>
      </c>
      <c r="R980" s="33" t="str">
        <f aca="false">IF(F980="","",IF(H980="",F980,0))</f>
        <v/>
      </c>
      <c r="S980" s="32" t="str">
        <f aca="false">IF(F980="","",IF(N(O980)=0,"",IF(O980&lt;=30,"1-30",IF(O980&lt;=60,"31-60",IF(O980&lt;=90,"61-90","90+")))))</f>
        <v/>
      </c>
      <c r="T980" s="32" t="str">
        <f aca="false">IF(F980="","",IF(E980="","Diğer",E980))</f>
        <v/>
      </c>
      <c r="U980" s="32" t="str">
        <f aca="false">IF(OR(F980="",C980=""),"",IF(COUNTIF($C$2:C980,C980)=1,MAX($U$1:U979)+1,""))</f>
        <v/>
      </c>
    </row>
    <row r="981" customFormat="false" ht="15" hidden="false" customHeight="false" outlineLevel="0" collapsed="false">
      <c r="A981" s="34"/>
      <c r="B981" s="9"/>
      <c r="C981" s="34"/>
      <c r="D981" s="34"/>
      <c r="E981" s="34"/>
      <c r="F981" s="35"/>
      <c r="G981" s="9"/>
      <c r="H981" s="9"/>
      <c r="I981" s="34"/>
      <c r="J981" s="30" t="str">
        <f aca="false">IF(F981="","",G981-B981)</f>
        <v/>
      </c>
      <c r="K981" s="31" t="str">
        <f aca="false">IF(F981="","",IF(H981&lt;&gt;"",H981,MAX('Vade Sapması'!$D$3,G981)))</f>
        <v/>
      </c>
      <c r="L981" s="30" t="str">
        <f aca="false">IF(F981="","",K981-B981)</f>
        <v/>
      </c>
      <c r="M981" s="30" t="str">
        <f aca="false">IF(F981="","",L981-J981)</f>
        <v/>
      </c>
      <c r="N981" s="32" t="str">
        <f aca="false">IF(F981="","",IF(H981&lt;&gt;"","Kapandı",IF('Vade Sapması'!$D$3&gt;G981,"Açık · vadesi geçti","Açık · vadesi gelmedi")))</f>
        <v/>
      </c>
      <c r="O981" s="30" t="str">
        <f aca="false">IF(F981="","",IF(AND(H981="",'Vade Sapması'!$D$3&gt;G981),'Vade Sapması'!$D$3-G981,0))</f>
        <v/>
      </c>
      <c r="P981" s="33" t="str">
        <f aca="false">IF(F981="","",F981*J981)</f>
        <v/>
      </c>
      <c r="Q981" s="33" t="str">
        <f aca="false">IF(F981="","",F981*L981)</f>
        <v/>
      </c>
      <c r="R981" s="33" t="str">
        <f aca="false">IF(F981="","",IF(H981="",F981,0))</f>
        <v/>
      </c>
      <c r="S981" s="32" t="str">
        <f aca="false">IF(F981="","",IF(N(O981)=0,"",IF(O981&lt;=30,"1-30",IF(O981&lt;=60,"31-60",IF(O981&lt;=90,"61-90","90+")))))</f>
        <v/>
      </c>
      <c r="T981" s="32" t="str">
        <f aca="false">IF(F981="","",IF(E981="","Diğer",E981))</f>
        <v/>
      </c>
      <c r="U981" s="32" t="str">
        <f aca="false">IF(OR(F981="",C981=""),"",IF(COUNTIF($C$2:C981,C981)=1,MAX($U$1:U980)+1,""))</f>
        <v/>
      </c>
    </row>
    <row r="982" customFormat="false" ht="15" hidden="false" customHeight="false" outlineLevel="0" collapsed="false">
      <c r="A982" s="34"/>
      <c r="B982" s="9"/>
      <c r="C982" s="34"/>
      <c r="D982" s="34"/>
      <c r="E982" s="34"/>
      <c r="F982" s="35"/>
      <c r="G982" s="9"/>
      <c r="H982" s="9"/>
      <c r="I982" s="34"/>
      <c r="J982" s="30" t="str">
        <f aca="false">IF(F982="","",G982-B982)</f>
        <v/>
      </c>
      <c r="K982" s="31" t="str">
        <f aca="false">IF(F982="","",IF(H982&lt;&gt;"",H982,MAX('Vade Sapması'!$D$3,G982)))</f>
        <v/>
      </c>
      <c r="L982" s="30" t="str">
        <f aca="false">IF(F982="","",K982-B982)</f>
        <v/>
      </c>
      <c r="M982" s="30" t="str">
        <f aca="false">IF(F982="","",L982-J982)</f>
        <v/>
      </c>
      <c r="N982" s="32" t="str">
        <f aca="false">IF(F982="","",IF(H982&lt;&gt;"","Kapandı",IF('Vade Sapması'!$D$3&gt;G982,"Açık · vadesi geçti","Açık · vadesi gelmedi")))</f>
        <v/>
      </c>
      <c r="O982" s="30" t="str">
        <f aca="false">IF(F982="","",IF(AND(H982="",'Vade Sapması'!$D$3&gt;G982),'Vade Sapması'!$D$3-G982,0))</f>
        <v/>
      </c>
      <c r="P982" s="33" t="str">
        <f aca="false">IF(F982="","",F982*J982)</f>
        <v/>
      </c>
      <c r="Q982" s="33" t="str">
        <f aca="false">IF(F982="","",F982*L982)</f>
        <v/>
      </c>
      <c r="R982" s="33" t="str">
        <f aca="false">IF(F982="","",IF(H982="",F982,0))</f>
        <v/>
      </c>
      <c r="S982" s="32" t="str">
        <f aca="false">IF(F982="","",IF(N(O982)=0,"",IF(O982&lt;=30,"1-30",IF(O982&lt;=60,"31-60",IF(O982&lt;=90,"61-90","90+")))))</f>
        <v/>
      </c>
      <c r="T982" s="32" t="str">
        <f aca="false">IF(F982="","",IF(E982="","Diğer",E982))</f>
        <v/>
      </c>
      <c r="U982" s="32" t="str">
        <f aca="false">IF(OR(F982="",C982=""),"",IF(COUNTIF($C$2:C982,C982)=1,MAX($U$1:U981)+1,""))</f>
        <v/>
      </c>
    </row>
    <row r="983" customFormat="false" ht="15" hidden="false" customHeight="false" outlineLevel="0" collapsed="false">
      <c r="A983" s="34"/>
      <c r="B983" s="9"/>
      <c r="C983" s="34"/>
      <c r="D983" s="34"/>
      <c r="E983" s="34"/>
      <c r="F983" s="35"/>
      <c r="G983" s="9"/>
      <c r="H983" s="9"/>
      <c r="I983" s="34"/>
      <c r="J983" s="30" t="str">
        <f aca="false">IF(F983="","",G983-B983)</f>
        <v/>
      </c>
      <c r="K983" s="31" t="str">
        <f aca="false">IF(F983="","",IF(H983&lt;&gt;"",H983,MAX('Vade Sapması'!$D$3,G983)))</f>
        <v/>
      </c>
      <c r="L983" s="30" t="str">
        <f aca="false">IF(F983="","",K983-B983)</f>
        <v/>
      </c>
      <c r="M983" s="30" t="str">
        <f aca="false">IF(F983="","",L983-J983)</f>
        <v/>
      </c>
      <c r="N983" s="32" t="str">
        <f aca="false">IF(F983="","",IF(H983&lt;&gt;"","Kapandı",IF('Vade Sapması'!$D$3&gt;G983,"Açık · vadesi geçti","Açık · vadesi gelmedi")))</f>
        <v/>
      </c>
      <c r="O983" s="30" t="str">
        <f aca="false">IF(F983="","",IF(AND(H983="",'Vade Sapması'!$D$3&gt;G983),'Vade Sapması'!$D$3-G983,0))</f>
        <v/>
      </c>
      <c r="P983" s="33" t="str">
        <f aca="false">IF(F983="","",F983*J983)</f>
        <v/>
      </c>
      <c r="Q983" s="33" t="str">
        <f aca="false">IF(F983="","",F983*L983)</f>
        <v/>
      </c>
      <c r="R983" s="33" t="str">
        <f aca="false">IF(F983="","",IF(H983="",F983,0))</f>
        <v/>
      </c>
      <c r="S983" s="32" t="str">
        <f aca="false">IF(F983="","",IF(N(O983)=0,"",IF(O983&lt;=30,"1-30",IF(O983&lt;=60,"31-60",IF(O983&lt;=90,"61-90","90+")))))</f>
        <v/>
      </c>
      <c r="T983" s="32" t="str">
        <f aca="false">IF(F983="","",IF(E983="","Diğer",E983))</f>
        <v/>
      </c>
      <c r="U983" s="32" t="str">
        <f aca="false">IF(OR(F983="",C983=""),"",IF(COUNTIF($C$2:C983,C983)=1,MAX($U$1:U982)+1,""))</f>
        <v/>
      </c>
    </row>
    <row r="984" customFormat="false" ht="15" hidden="false" customHeight="false" outlineLevel="0" collapsed="false">
      <c r="A984" s="34"/>
      <c r="B984" s="9"/>
      <c r="C984" s="34"/>
      <c r="D984" s="34"/>
      <c r="E984" s="34"/>
      <c r="F984" s="35"/>
      <c r="G984" s="9"/>
      <c r="H984" s="9"/>
      <c r="I984" s="34"/>
      <c r="J984" s="30" t="str">
        <f aca="false">IF(F984="","",G984-B984)</f>
        <v/>
      </c>
      <c r="K984" s="31" t="str">
        <f aca="false">IF(F984="","",IF(H984&lt;&gt;"",H984,MAX('Vade Sapması'!$D$3,G984)))</f>
        <v/>
      </c>
      <c r="L984" s="30" t="str">
        <f aca="false">IF(F984="","",K984-B984)</f>
        <v/>
      </c>
      <c r="M984" s="30" t="str">
        <f aca="false">IF(F984="","",L984-J984)</f>
        <v/>
      </c>
      <c r="N984" s="32" t="str">
        <f aca="false">IF(F984="","",IF(H984&lt;&gt;"","Kapandı",IF('Vade Sapması'!$D$3&gt;G984,"Açık · vadesi geçti","Açık · vadesi gelmedi")))</f>
        <v/>
      </c>
      <c r="O984" s="30" t="str">
        <f aca="false">IF(F984="","",IF(AND(H984="",'Vade Sapması'!$D$3&gt;G984),'Vade Sapması'!$D$3-G984,0))</f>
        <v/>
      </c>
      <c r="P984" s="33" t="str">
        <f aca="false">IF(F984="","",F984*J984)</f>
        <v/>
      </c>
      <c r="Q984" s="33" t="str">
        <f aca="false">IF(F984="","",F984*L984)</f>
        <v/>
      </c>
      <c r="R984" s="33" t="str">
        <f aca="false">IF(F984="","",IF(H984="",F984,0))</f>
        <v/>
      </c>
      <c r="S984" s="32" t="str">
        <f aca="false">IF(F984="","",IF(N(O984)=0,"",IF(O984&lt;=30,"1-30",IF(O984&lt;=60,"31-60",IF(O984&lt;=90,"61-90","90+")))))</f>
        <v/>
      </c>
      <c r="T984" s="32" t="str">
        <f aca="false">IF(F984="","",IF(E984="","Diğer",E984))</f>
        <v/>
      </c>
      <c r="U984" s="32" t="str">
        <f aca="false">IF(OR(F984="",C984=""),"",IF(COUNTIF($C$2:C984,C984)=1,MAX($U$1:U983)+1,""))</f>
        <v/>
      </c>
    </row>
    <row r="985" customFormat="false" ht="15" hidden="false" customHeight="false" outlineLevel="0" collapsed="false">
      <c r="A985" s="34"/>
      <c r="B985" s="9"/>
      <c r="C985" s="34"/>
      <c r="D985" s="34"/>
      <c r="E985" s="34"/>
      <c r="F985" s="35"/>
      <c r="G985" s="9"/>
      <c r="H985" s="9"/>
      <c r="I985" s="34"/>
      <c r="J985" s="30" t="str">
        <f aca="false">IF(F985="","",G985-B985)</f>
        <v/>
      </c>
      <c r="K985" s="31" t="str">
        <f aca="false">IF(F985="","",IF(H985&lt;&gt;"",H985,MAX('Vade Sapması'!$D$3,G985)))</f>
        <v/>
      </c>
      <c r="L985" s="30" t="str">
        <f aca="false">IF(F985="","",K985-B985)</f>
        <v/>
      </c>
      <c r="M985" s="30" t="str">
        <f aca="false">IF(F985="","",L985-J985)</f>
        <v/>
      </c>
      <c r="N985" s="32" t="str">
        <f aca="false">IF(F985="","",IF(H985&lt;&gt;"","Kapandı",IF('Vade Sapması'!$D$3&gt;G985,"Açık · vadesi geçti","Açık · vadesi gelmedi")))</f>
        <v/>
      </c>
      <c r="O985" s="30" t="str">
        <f aca="false">IF(F985="","",IF(AND(H985="",'Vade Sapması'!$D$3&gt;G985),'Vade Sapması'!$D$3-G985,0))</f>
        <v/>
      </c>
      <c r="P985" s="33" t="str">
        <f aca="false">IF(F985="","",F985*J985)</f>
        <v/>
      </c>
      <c r="Q985" s="33" t="str">
        <f aca="false">IF(F985="","",F985*L985)</f>
        <v/>
      </c>
      <c r="R985" s="33" t="str">
        <f aca="false">IF(F985="","",IF(H985="",F985,0))</f>
        <v/>
      </c>
      <c r="S985" s="32" t="str">
        <f aca="false">IF(F985="","",IF(N(O985)=0,"",IF(O985&lt;=30,"1-30",IF(O985&lt;=60,"31-60",IF(O985&lt;=90,"61-90","90+")))))</f>
        <v/>
      </c>
      <c r="T985" s="32" t="str">
        <f aca="false">IF(F985="","",IF(E985="","Diğer",E985))</f>
        <v/>
      </c>
      <c r="U985" s="32" t="str">
        <f aca="false">IF(OR(F985="",C985=""),"",IF(COUNTIF($C$2:C985,C985)=1,MAX($U$1:U984)+1,""))</f>
        <v/>
      </c>
    </row>
    <row r="986" customFormat="false" ht="15" hidden="false" customHeight="false" outlineLevel="0" collapsed="false">
      <c r="A986" s="34"/>
      <c r="B986" s="9"/>
      <c r="C986" s="34"/>
      <c r="D986" s="34"/>
      <c r="E986" s="34"/>
      <c r="F986" s="35"/>
      <c r="G986" s="9"/>
      <c r="H986" s="9"/>
      <c r="I986" s="34"/>
      <c r="J986" s="30" t="str">
        <f aca="false">IF(F986="","",G986-B986)</f>
        <v/>
      </c>
      <c r="K986" s="31" t="str">
        <f aca="false">IF(F986="","",IF(H986&lt;&gt;"",H986,MAX('Vade Sapması'!$D$3,G986)))</f>
        <v/>
      </c>
      <c r="L986" s="30" t="str">
        <f aca="false">IF(F986="","",K986-B986)</f>
        <v/>
      </c>
      <c r="M986" s="30" t="str">
        <f aca="false">IF(F986="","",L986-J986)</f>
        <v/>
      </c>
      <c r="N986" s="32" t="str">
        <f aca="false">IF(F986="","",IF(H986&lt;&gt;"","Kapandı",IF('Vade Sapması'!$D$3&gt;G986,"Açık · vadesi geçti","Açık · vadesi gelmedi")))</f>
        <v/>
      </c>
      <c r="O986" s="30" t="str">
        <f aca="false">IF(F986="","",IF(AND(H986="",'Vade Sapması'!$D$3&gt;G986),'Vade Sapması'!$D$3-G986,0))</f>
        <v/>
      </c>
      <c r="P986" s="33" t="str">
        <f aca="false">IF(F986="","",F986*J986)</f>
        <v/>
      </c>
      <c r="Q986" s="33" t="str">
        <f aca="false">IF(F986="","",F986*L986)</f>
        <v/>
      </c>
      <c r="R986" s="33" t="str">
        <f aca="false">IF(F986="","",IF(H986="",F986,0))</f>
        <v/>
      </c>
      <c r="S986" s="32" t="str">
        <f aca="false">IF(F986="","",IF(N(O986)=0,"",IF(O986&lt;=30,"1-30",IF(O986&lt;=60,"31-60",IF(O986&lt;=90,"61-90","90+")))))</f>
        <v/>
      </c>
      <c r="T986" s="32" t="str">
        <f aca="false">IF(F986="","",IF(E986="","Diğer",E986))</f>
        <v/>
      </c>
      <c r="U986" s="32" t="str">
        <f aca="false">IF(OR(F986="",C986=""),"",IF(COUNTIF($C$2:C986,C986)=1,MAX($U$1:U985)+1,""))</f>
        <v/>
      </c>
    </row>
    <row r="987" customFormat="false" ht="15" hidden="false" customHeight="false" outlineLevel="0" collapsed="false">
      <c r="A987" s="34"/>
      <c r="B987" s="9"/>
      <c r="C987" s="34"/>
      <c r="D987" s="34"/>
      <c r="E987" s="34"/>
      <c r="F987" s="35"/>
      <c r="G987" s="9"/>
      <c r="H987" s="9"/>
      <c r="I987" s="34"/>
      <c r="J987" s="30" t="str">
        <f aca="false">IF(F987="","",G987-B987)</f>
        <v/>
      </c>
      <c r="K987" s="31" t="str">
        <f aca="false">IF(F987="","",IF(H987&lt;&gt;"",H987,MAX('Vade Sapması'!$D$3,G987)))</f>
        <v/>
      </c>
      <c r="L987" s="30" t="str">
        <f aca="false">IF(F987="","",K987-B987)</f>
        <v/>
      </c>
      <c r="M987" s="30" t="str">
        <f aca="false">IF(F987="","",L987-J987)</f>
        <v/>
      </c>
      <c r="N987" s="32" t="str">
        <f aca="false">IF(F987="","",IF(H987&lt;&gt;"","Kapandı",IF('Vade Sapması'!$D$3&gt;G987,"Açık · vadesi geçti","Açık · vadesi gelmedi")))</f>
        <v/>
      </c>
      <c r="O987" s="30" t="str">
        <f aca="false">IF(F987="","",IF(AND(H987="",'Vade Sapması'!$D$3&gt;G987),'Vade Sapması'!$D$3-G987,0))</f>
        <v/>
      </c>
      <c r="P987" s="33" t="str">
        <f aca="false">IF(F987="","",F987*J987)</f>
        <v/>
      </c>
      <c r="Q987" s="33" t="str">
        <f aca="false">IF(F987="","",F987*L987)</f>
        <v/>
      </c>
      <c r="R987" s="33" t="str">
        <f aca="false">IF(F987="","",IF(H987="",F987,0))</f>
        <v/>
      </c>
      <c r="S987" s="32" t="str">
        <f aca="false">IF(F987="","",IF(N(O987)=0,"",IF(O987&lt;=30,"1-30",IF(O987&lt;=60,"31-60",IF(O987&lt;=90,"61-90","90+")))))</f>
        <v/>
      </c>
      <c r="T987" s="32" t="str">
        <f aca="false">IF(F987="","",IF(E987="","Diğer",E987))</f>
        <v/>
      </c>
      <c r="U987" s="32" t="str">
        <f aca="false">IF(OR(F987="",C987=""),"",IF(COUNTIF($C$2:C987,C987)=1,MAX($U$1:U986)+1,""))</f>
        <v/>
      </c>
    </row>
    <row r="988" customFormat="false" ht="15" hidden="false" customHeight="false" outlineLevel="0" collapsed="false">
      <c r="A988" s="34"/>
      <c r="B988" s="9"/>
      <c r="C988" s="34"/>
      <c r="D988" s="34"/>
      <c r="E988" s="34"/>
      <c r="F988" s="35"/>
      <c r="G988" s="9"/>
      <c r="H988" s="9"/>
      <c r="I988" s="34"/>
      <c r="J988" s="30" t="str">
        <f aca="false">IF(F988="","",G988-B988)</f>
        <v/>
      </c>
      <c r="K988" s="31" t="str">
        <f aca="false">IF(F988="","",IF(H988&lt;&gt;"",H988,MAX('Vade Sapması'!$D$3,G988)))</f>
        <v/>
      </c>
      <c r="L988" s="30" t="str">
        <f aca="false">IF(F988="","",K988-B988)</f>
        <v/>
      </c>
      <c r="M988" s="30" t="str">
        <f aca="false">IF(F988="","",L988-J988)</f>
        <v/>
      </c>
      <c r="N988" s="32" t="str">
        <f aca="false">IF(F988="","",IF(H988&lt;&gt;"","Kapandı",IF('Vade Sapması'!$D$3&gt;G988,"Açık · vadesi geçti","Açık · vadesi gelmedi")))</f>
        <v/>
      </c>
      <c r="O988" s="30" t="str">
        <f aca="false">IF(F988="","",IF(AND(H988="",'Vade Sapması'!$D$3&gt;G988),'Vade Sapması'!$D$3-G988,0))</f>
        <v/>
      </c>
      <c r="P988" s="33" t="str">
        <f aca="false">IF(F988="","",F988*J988)</f>
        <v/>
      </c>
      <c r="Q988" s="33" t="str">
        <f aca="false">IF(F988="","",F988*L988)</f>
        <v/>
      </c>
      <c r="R988" s="33" t="str">
        <f aca="false">IF(F988="","",IF(H988="",F988,0))</f>
        <v/>
      </c>
      <c r="S988" s="32" t="str">
        <f aca="false">IF(F988="","",IF(N(O988)=0,"",IF(O988&lt;=30,"1-30",IF(O988&lt;=60,"31-60",IF(O988&lt;=90,"61-90","90+")))))</f>
        <v/>
      </c>
      <c r="T988" s="32" t="str">
        <f aca="false">IF(F988="","",IF(E988="","Diğer",E988))</f>
        <v/>
      </c>
      <c r="U988" s="32" t="str">
        <f aca="false">IF(OR(F988="",C988=""),"",IF(COUNTIF($C$2:C988,C988)=1,MAX($U$1:U987)+1,""))</f>
        <v/>
      </c>
    </row>
    <row r="989" customFormat="false" ht="15" hidden="false" customHeight="false" outlineLevel="0" collapsed="false">
      <c r="A989" s="34"/>
      <c r="B989" s="9"/>
      <c r="C989" s="34"/>
      <c r="D989" s="34"/>
      <c r="E989" s="34"/>
      <c r="F989" s="35"/>
      <c r="G989" s="9"/>
      <c r="H989" s="9"/>
      <c r="I989" s="34"/>
      <c r="J989" s="30" t="str">
        <f aca="false">IF(F989="","",G989-B989)</f>
        <v/>
      </c>
      <c r="K989" s="31" t="str">
        <f aca="false">IF(F989="","",IF(H989&lt;&gt;"",H989,MAX('Vade Sapması'!$D$3,G989)))</f>
        <v/>
      </c>
      <c r="L989" s="30" t="str">
        <f aca="false">IF(F989="","",K989-B989)</f>
        <v/>
      </c>
      <c r="M989" s="30" t="str">
        <f aca="false">IF(F989="","",L989-J989)</f>
        <v/>
      </c>
      <c r="N989" s="32" t="str">
        <f aca="false">IF(F989="","",IF(H989&lt;&gt;"","Kapandı",IF('Vade Sapması'!$D$3&gt;G989,"Açık · vadesi geçti","Açık · vadesi gelmedi")))</f>
        <v/>
      </c>
      <c r="O989" s="30" t="str">
        <f aca="false">IF(F989="","",IF(AND(H989="",'Vade Sapması'!$D$3&gt;G989),'Vade Sapması'!$D$3-G989,0))</f>
        <v/>
      </c>
      <c r="P989" s="33" t="str">
        <f aca="false">IF(F989="","",F989*J989)</f>
        <v/>
      </c>
      <c r="Q989" s="33" t="str">
        <f aca="false">IF(F989="","",F989*L989)</f>
        <v/>
      </c>
      <c r="R989" s="33" t="str">
        <f aca="false">IF(F989="","",IF(H989="",F989,0))</f>
        <v/>
      </c>
      <c r="S989" s="32" t="str">
        <f aca="false">IF(F989="","",IF(N(O989)=0,"",IF(O989&lt;=30,"1-30",IF(O989&lt;=60,"31-60",IF(O989&lt;=90,"61-90","90+")))))</f>
        <v/>
      </c>
      <c r="T989" s="32" t="str">
        <f aca="false">IF(F989="","",IF(E989="","Diğer",E989))</f>
        <v/>
      </c>
      <c r="U989" s="32" t="str">
        <f aca="false">IF(OR(F989="",C989=""),"",IF(COUNTIF($C$2:C989,C989)=1,MAX($U$1:U988)+1,""))</f>
        <v/>
      </c>
    </row>
    <row r="990" customFormat="false" ht="15" hidden="false" customHeight="false" outlineLevel="0" collapsed="false">
      <c r="A990" s="34"/>
      <c r="B990" s="9"/>
      <c r="C990" s="34"/>
      <c r="D990" s="34"/>
      <c r="E990" s="34"/>
      <c r="F990" s="35"/>
      <c r="G990" s="9"/>
      <c r="H990" s="9"/>
      <c r="I990" s="34"/>
      <c r="J990" s="30" t="str">
        <f aca="false">IF(F990="","",G990-B990)</f>
        <v/>
      </c>
      <c r="K990" s="31" t="str">
        <f aca="false">IF(F990="","",IF(H990&lt;&gt;"",H990,MAX('Vade Sapması'!$D$3,G990)))</f>
        <v/>
      </c>
      <c r="L990" s="30" t="str">
        <f aca="false">IF(F990="","",K990-B990)</f>
        <v/>
      </c>
      <c r="M990" s="30" t="str">
        <f aca="false">IF(F990="","",L990-J990)</f>
        <v/>
      </c>
      <c r="N990" s="32" t="str">
        <f aca="false">IF(F990="","",IF(H990&lt;&gt;"","Kapandı",IF('Vade Sapması'!$D$3&gt;G990,"Açık · vadesi geçti","Açık · vadesi gelmedi")))</f>
        <v/>
      </c>
      <c r="O990" s="30" t="str">
        <f aca="false">IF(F990="","",IF(AND(H990="",'Vade Sapması'!$D$3&gt;G990),'Vade Sapması'!$D$3-G990,0))</f>
        <v/>
      </c>
      <c r="P990" s="33" t="str">
        <f aca="false">IF(F990="","",F990*J990)</f>
        <v/>
      </c>
      <c r="Q990" s="33" t="str">
        <f aca="false">IF(F990="","",F990*L990)</f>
        <v/>
      </c>
      <c r="R990" s="33" t="str">
        <f aca="false">IF(F990="","",IF(H990="",F990,0))</f>
        <v/>
      </c>
      <c r="S990" s="32" t="str">
        <f aca="false">IF(F990="","",IF(N(O990)=0,"",IF(O990&lt;=30,"1-30",IF(O990&lt;=60,"31-60",IF(O990&lt;=90,"61-90","90+")))))</f>
        <v/>
      </c>
      <c r="T990" s="32" t="str">
        <f aca="false">IF(F990="","",IF(E990="","Diğer",E990))</f>
        <v/>
      </c>
      <c r="U990" s="32" t="str">
        <f aca="false">IF(OR(F990="",C990=""),"",IF(COUNTIF($C$2:C990,C990)=1,MAX($U$1:U989)+1,""))</f>
        <v/>
      </c>
    </row>
    <row r="991" customFormat="false" ht="15" hidden="false" customHeight="false" outlineLevel="0" collapsed="false">
      <c r="A991" s="34"/>
      <c r="B991" s="9"/>
      <c r="C991" s="34"/>
      <c r="D991" s="34"/>
      <c r="E991" s="34"/>
      <c r="F991" s="35"/>
      <c r="G991" s="9"/>
      <c r="H991" s="9"/>
      <c r="I991" s="34"/>
      <c r="J991" s="30" t="str">
        <f aca="false">IF(F991="","",G991-B991)</f>
        <v/>
      </c>
      <c r="K991" s="31" t="str">
        <f aca="false">IF(F991="","",IF(H991&lt;&gt;"",H991,MAX('Vade Sapması'!$D$3,G991)))</f>
        <v/>
      </c>
      <c r="L991" s="30" t="str">
        <f aca="false">IF(F991="","",K991-B991)</f>
        <v/>
      </c>
      <c r="M991" s="30" t="str">
        <f aca="false">IF(F991="","",L991-J991)</f>
        <v/>
      </c>
      <c r="N991" s="32" t="str">
        <f aca="false">IF(F991="","",IF(H991&lt;&gt;"","Kapandı",IF('Vade Sapması'!$D$3&gt;G991,"Açık · vadesi geçti","Açık · vadesi gelmedi")))</f>
        <v/>
      </c>
      <c r="O991" s="30" t="str">
        <f aca="false">IF(F991="","",IF(AND(H991="",'Vade Sapması'!$D$3&gt;G991),'Vade Sapması'!$D$3-G991,0))</f>
        <v/>
      </c>
      <c r="P991" s="33" t="str">
        <f aca="false">IF(F991="","",F991*J991)</f>
        <v/>
      </c>
      <c r="Q991" s="33" t="str">
        <f aca="false">IF(F991="","",F991*L991)</f>
        <v/>
      </c>
      <c r="R991" s="33" t="str">
        <f aca="false">IF(F991="","",IF(H991="",F991,0))</f>
        <v/>
      </c>
      <c r="S991" s="32" t="str">
        <f aca="false">IF(F991="","",IF(N(O991)=0,"",IF(O991&lt;=30,"1-30",IF(O991&lt;=60,"31-60",IF(O991&lt;=90,"61-90","90+")))))</f>
        <v/>
      </c>
      <c r="T991" s="32" t="str">
        <f aca="false">IF(F991="","",IF(E991="","Diğer",E991))</f>
        <v/>
      </c>
      <c r="U991" s="32" t="str">
        <f aca="false">IF(OR(F991="",C991=""),"",IF(COUNTIF($C$2:C991,C991)=1,MAX($U$1:U990)+1,""))</f>
        <v/>
      </c>
    </row>
    <row r="992" customFormat="false" ht="15" hidden="false" customHeight="false" outlineLevel="0" collapsed="false">
      <c r="A992" s="34"/>
      <c r="B992" s="9"/>
      <c r="C992" s="34"/>
      <c r="D992" s="34"/>
      <c r="E992" s="34"/>
      <c r="F992" s="35"/>
      <c r="G992" s="9"/>
      <c r="H992" s="9"/>
      <c r="I992" s="34"/>
      <c r="J992" s="30" t="str">
        <f aca="false">IF(F992="","",G992-B992)</f>
        <v/>
      </c>
      <c r="K992" s="31" t="str">
        <f aca="false">IF(F992="","",IF(H992&lt;&gt;"",H992,MAX('Vade Sapması'!$D$3,G992)))</f>
        <v/>
      </c>
      <c r="L992" s="30" t="str">
        <f aca="false">IF(F992="","",K992-B992)</f>
        <v/>
      </c>
      <c r="M992" s="30" t="str">
        <f aca="false">IF(F992="","",L992-J992)</f>
        <v/>
      </c>
      <c r="N992" s="32" t="str">
        <f aca="false">IF(F992="","",IF(H992&lt;&gt;"","Kapandı",IF('Vade Sapması'!$D$3&gt;G992,"Açık · vadesi geçti","Açık · vadesi gelmedi")))</f>
        <v/>
      </c>
      <c r="O992" s="30" t="str">
        <f aca="false">IF(F992="","",IF(AND(H992="",'Vade Sapması'!$D$3&gt;G992),'Vade Sapması'!$D$3-G992,0))</f>
        <v/>
      </c>
      <c r="P992" s="33" t="str">
        <f aca="false">IF(F992="","",F992*J992)</f>
        <v/>
      </c>
      <c r="Q992" s="33" t="str">
        <f aca="false">IF(F992="","",F992*L992)</f>
        <v/>
      </c>
      <c r="R992" s="33" t="str">
        <f aca="false">IF(F992="","",IF(H992="",F992,0))</f>
        <v/>
      </c>
      <c r="S992" s="32" t="str">
        <f aca="false">IF(F992="","",IF(N(O992)=0,"",IF(O992&lt;=30,"1-30",IF(O992&lt;=60,"31-60",IF(O992&lt;=90,"61-90","90+")))))</f>
        <v/>
      </c>
      <c r="T992" s="32" t="str">
        <f aca="false">IF(F992="","",IF(E992="","Diğer",E992))</f>
        <v/>
      </c>
      <c r="U992" s="32" t="str">
        <f aca="false">IF(OR(F992="",C992=""),"",IF(COUNTIF($C$2:C992,C992)=1,MAX($U$1:U991)+1,""))</f>
        <v/>
      </c>
    </row>
    <row r="993" customFormat="false" ht="15" hidden="false" customHeight="false" outlineLevel="0" collapsed="false">
      <c r="A993" s="34"/>
      <c r="B993" s="9"/>
      <c r="C993" s="34"/>
      <c r="D993" s="34"/>
      <c r="E993" s="34"/>
      <c r="F993" s="35"/>
      <c r="G993" s="9"/>
      <c r="H993" s="9"/>
      <c r="I993" s="34"/>
      <c r="J993" s="30" t="str">
        <f aca="false">IF(F993="","",G993-B993)</f>
        <v/>
      </c>
      <c r="K993" s="31" t="str">
        <f aca="false">IF(F993="","",IF(H993&lt;&gt;"",H993,MAX('Vade Sapması'!$D$3,G993)))</f>
        <v/>
      </c>
      <c r="L993" s="30" t="str">
        <f aca="false">IF(F993="","",K993-B993)</f>
        <v/>
      </c>
      <c r="M993" s="30" t="str">
        <f aca="false">IF(F993="","",L993-J993)</f>
        <v/>
      </c>
      <c r="N993" s="32" t="str">
        <f aca="false">IF(F993="","",IF(H993&lt;&gt;"","Kapandı",IF('Vade Sapması'!$D$3&gt;G993,"Açık · vadesi geçti","Açık · vadesi gelmedi")))</f>
        <v/>
      </c>
      <c r="O993" s="30" t="str">
        <f aca="false">IF(F993="","",IF(AND(H993="",'Vade Sapması'!$D$3&gt;G993),'Vade Sapması'!$D$3-G993,0))</f>
        <v/>
      </c>
      <c r="P993" s="33" t="str">
        <f aca="false">IF(F993="","",F993*J993)</f>
        <v/>
      </c>
      <c r="Q993" s="33" t="str">
        <f aca="false">IF(F993="","",F993*L993)</f>
        <v/>
      </c>
      <c r="R993" s="33" t="str">
        <f aca="false">IF(F993="","",IF(H993="",F993,0))</f>
        <v/>
      </c>
      <c r="S993" s="32" t="str">
        <f aca="false">IF(F993="","",IF(N(O993)=0,"",IF(O993&lt;=30,"1-30",IF(O993&lt;=60,"31-60",IF(O993&lt;=90,"61-90","90+")))))</f>
        <v/>
      </c>
      <c r="T993" s="32" t="str">
        <f aca="false">IF(F993="","",IF(E993="","Diğer",E993))</f>
        <v/>
      </c>
      <c r="U993" s="32" t="str">
        <f aca="false">IF(OR(F993="",C993=""),"",IF(COUNTIF($C$2:C993,C993)=1,MAX($U$1:U992)+1,""))</f>
        <v/>
      </c>
    </row>
    <row r="994" customFormat="false" ht="15" hidden="false" customHeight="false" outlineLevel="0" collapsed="false">
      <c r="A994" s="34"/>
      <c r="B994" s="9"/>
      <c r="C994" s="34"/>
      <c r="D994" s="34"/>
      <c r="E994" s="34"/>
      <c r="F994" s="35"/>
      <c r="G994" s="9"/>
      <c r="H994" s="9"/>
      <c r="I994" s="34"/>
      <c r="J994" s="30" t="str">
        <f aca="false">IF(F994="","",G994-B994)</f>
        <v/>
      </c>
      <c r="K994" s="31" t="str">
        <f aca="false">IF(F994="","",IF(H994&lt;&gt;"",H994,MAX('Vade Sapması'!$D$3,G994)))</f>
        <v/>
      </c>
      <c r="L994" s="30" t="str">
        <f aca="false">IF(F994="","",K994-B994)</f>
        <v/>
      </c>
      <c r="M994" s="30" t="str">
        <f aca="false">IF(F994="","",L994-J994)</f>
        <v/>
      </c>
      <c r="N994" s="32" t="str">
        <f aca="false">IF(F994="","",IF(H994&lt;&gt;"","Kapandı",IF('Vade Sapması'!$D$3&gt;G994,"Açık · vadesi geçti","Açık · vadesi gelmedi")))</f>
        <v/>
      </c>
      <c r="O994" s="30" t="str">
        <f aca="false">IF(F994="","",IF(AND(H994="",'Vade Sapması'!$D$3&gt;G994),'Vade Sapması'!$D$3-G994,0))</f>
        <v/>
      </c>
      <c r="P994" s="33" t="str">
        <f aca="false">IF(F994="","",F994*J994)</f>
        <v/>
      </c>
      <c r="Q994" s="33" t="str">
        <f aca="false">IF(F994="","",F994*L994)</f>
        <v/>
      </c>
      <c r="R994" s="33" t="str">
        <f aca="false">IF(F994="","",IF(H994="",F994,0))</f>
        <v/>
      </c>
      <c r="S994" s="32" t="str">
        <f aca="false">IF(F994="","",IF(N(O994)=0,"",IF(O994&lt;=30,"1-30",IF(O994&lt;=60,"31-60",IF(O994&lt;=90,"61-90","90+")))))</f>
        <v/>
      </c>
      <c r="T994" s="32" t="str">
        <f aca="false">IF(F994="","",IF(E994="","Diğer",E994))</f>
        <v/>
      </c>
      <c r="U994" s="32" t="str">
        <f aca="false">IF(OR(F994="",C994=""),"",IF(COUNTIF($C$2:C994,C994)=1,MAX($U$1:U993)+1,""))</f>
        <v/>
      </c>
    </row>
    <row r="995" customFormat="false" ht="15" hidden="false" customHeight="false" outlineLevel="0" collapsed="false">
      <c r="A995" s="34"/>
      <c r="B995" s="9"/>
      <c r="C995" s="34"/>
      <c r="D995" s="34"/>
      <c r="E995" s="34"/>
      <c r="F995" s="35"/>
      <c r="G995" s="9"/>
      <c r="H995" s="9"/>
      <c r="I995" s="34"/>
      <c r="J995" s="30" t="str">
        <f aca="false">IF(F995="","",G995-B995)</f>
        <v/>
      </c>
      <c r="K995" s="31" t="str">
        <f aca="false">IF(F995="","",IF(H995&lt;&gt;"",H995,MAX('Vade Sapması'!$D$3,G995)))</f>
        <v/>
      </c>
      <c r="L995" s="30" t="str">
        <f aca="false">IF(F995="","",K995-B995)</f>
        <v/>
      </c>
      <c r="M995" s="30" t="str">
        <f aca="false">IF(F995="","",L995-J995)</f>
        <v/>
      </c>
      <c r="N995" s="32" t="str">
        <f aca="false">IF(F995="","",IF(H995&lt;&gt;"","Kapandı",IF('Vade Sapması'!$D$3&gt;G995,"Açık · vadesi geçti","Açık · vadesi gelmedi")))</f>
        <v/>
      </c>
      <c r="O995" s="30" t="str">
        <f aca="false">IF(F995="","",IF(AND(H995="",'Vade Sapması'!$D$3&gt;G995),'Vade Sapması'!$D$3-G995,0))</f>
        <v/>
      </c>
      <c r="P995" s="33" t="str">
        <f aca="false">IF(F995="","",F995*J995)</f>
        <v/>
      </c>
      <c r="Q995" s="33" t="str">
        <f aca="false">IF(F995="","",F995*L995)</f>
        <v/>
      </c>
      <c r="R995" s="33" t="str">
        <f aca="false">IF(F995="","",IF(H995="",F995,0))</f>
        <v/>
      </c>
      <c r="S995" s="32" t="str">
        <f aca="false">IF(F995="","",IF(N(O995)=0,"",IF(O995&lt;=30,"1-30",IF(O995&lt;=60,"31-60",IF(O995&lt;=90,"61-90","90+")))))</f>
        <v/>
      </c>
      <c r="T995" s="32" t="str">
        <f aca="false">IF(F995="","",IF(E995="","Diğer",E995))</f>
        <v/>
      </c>
      <c r="U995" s="32" t="str">
        <f aca="false">IF(OR(F995="",C995=""),"",IF(COUNTIF($C$2:C995,C995)=1,MAX($U$1:U994)+1,""))</f>
        <v/>
      </c>
    </row>
    <row r="996" customFormat="false" ht="15" hidden="false" customHeight="false" outlineLevel="0" collapsed="false">
      <c r="A996" s="34"/>
      <c r="B996" s="9"/>
      <c r="C996" s="34"/>
      <c r="D996" s="34"/>
      <c r="E996" s="34"/>
      <c r="F996" s="35"/>
      <c r="G996" s="9"/>
      <c r="H996" s="9"/>
      <c r="I996" s="34"/>
      <c r="J996" s="30" t="str">
        <f aca="false">IF(F996="","",G996-B996)</f>
        <v/>
      </c>
      <c r="K996" s="31" t="str">
        <f aca="false">IF(F996="","",IF(H996&lt;&gt;"",H996,MAX('Vade Sapması'!$D$3,G996)))</f>
        <v/>
      </c>
      <c r="L996" s="30" t="str">
        <f aca="false">IF(F996="","",K996-B996)</f>
        <v/>
      </c>
      <c r="M996" s="30" t="str">
        <f aca="false">IF(F996="","",L996-J996)</f>
        <v/>
      </c>
      <c r="N996" s="32" t="str">
        <f aca="false">IF(F996="","",IF(H996&lt;&gt;"","Kapandı",IF('Vade Sapması'!$D$3&gt;G996,"Açık · vadesi geçti","Açık · vadesi gelmedi")))</f>
        <v/>
      </c>
      <c r="O996" s="30" t="str">
        <f aca="false">IF(F996="","",IF(AND(H996="",'Vade Sapması'!$D$3&gt;G996),'Vade Sapması'!$D$3-G996,0))</f>
        <v/>
      </c>
      <c r="P996" s="33" t="str">
        <f aca="false">IF(F996="","",F996*J996)</f>
        <v/>
      </c>
      <c r="Q996" s="33" t="str">
        <f aca="false">IF(F996="","",F996*L996)</f>
        <v/>
      </c>
      <c r="R996" s="33" t="str">
        <f aca="false">IF(F996="","",IF(H996="",F996,0))</f>
        <v/>
      </c>
      <c r="S996" s="32" t="str">
        <f aca="false">IF(F996="","",IF(N(O996)=0,"",IF(O996&lt;=30,"1-30",IF(O996&lt;=60,"31-60",IF(O996&lt;=90,"61-90","90+")))))</f>
        <v/>
      </c>
      <c r="T996" s="32" t="str">
        <f aca="false">IF(F996="","",IF(E996="","Diğer",E996))</f>
        <v/>
      </c>
      <c r="U996" s="32" t="str">
        <f aca="false">IF(OR(F996="",C996=""),"",IF(COUNTIF($C$2:C996,C996)=1,MAX($U$1:U995)+1,""))</f>
        <v/>
      </c>
    </row>
    <row r="997" customFormat="false" ht="15" hidden="false" customHeight="false" outlineLevel="0" collapsed="false">
      <c r="A997" s="34"/>
      <c r="B997" s="9"/>
      <c r="C997" s="34"/>
      <c r="D997" s="34"/>
      <c r="E997" s="34"/>
      <c r="F997" s="35"/>
      <c r="G997" s="9"/>
      <c r="H997" s="9"/>
      <c r="I997" s="34"/>
      <c r="J997" s="30" t="str">
        <f aca="false">IF(F997="","",G997-B997)</f>
        <v/>
      </c>
      <c r="K997" s="31" t="str">
        <f aca="false">IF(F997="","",IF(H997&lt;&gt;"",H997,MAX('Vade Sapması'!$D$3,G997)))</f>
        <v/>
      </c>
      <c r="L997" s="30" t="str">
        <f aca="false">IF(F997="","",K997-B997)</f>
        <v/>
      </c>
      <c r="M997" s="30" t="str">
        <f aca="false">IF(F997="","",L997-J997)</f>
        <v/>
      </c>
      <c r="N997" s="32" t="str">
        <f aca="false">IF(F997="","",IF(H997&lt;&gt;"","Kapandı",IF('Vade Sapması'!$D$3&gt;G997,"Açık · vadesi geçti","Açık · vadesi gelmedi")))</f>
        <v/>
      </c>
      <c r="O997" s="30" t="str">
        <f aca="false">IF(F997="","",IF(AND(H997="",'Vade Sapması'!$D$3&gt;G997),'Vade Sapması'!$D$3-G997,0))</f>
        <v/>
      </c>
      <c r="P997" s="33" t="str">
        <f aca="false">IF(F997="","",F997*J997)</f>
        <v/>
      </c>
      <c r="Q997" s="33" t="str">
        <f aca="false">IF(F997="","",F997*L997)</f>
        <v/>
      </c>
      <c r="R997" s="33" t="str">
        <f aca="false">IF(F997="","",IF(H997="",F997,0))</f>
        <v/>
      </c>
      <c r="S997" s="32" t="str">
        <f aca="false">IF(F997="","",IF(N(O997)=0,"",IF(O997&lt;=30,"1-30",IF(O997&lt;=60,"31-60",IF(O997&lt;=90,"61-90","90+")))))</f>
        <v/>
      </c>
      <c r="T997" s="32" t="str">
        <f aca="false">IF(F997="","",IF(E997="","Diğer",E997))</f>
        <v/>
      </c>
      <c r="U997" s="32" t="str">
        <f aca="false">IF(OR(F997="",C997=""),"",IF(COUNTIF($C$2:C997,C997)=1,MAX($U$1:U996)+1,""))</f>
        <v/>
      </c>
    </row>
    <row r="998" customFormat="false" ht="15" hidden="false" customHeight="false" outlineLevel="0" collapsed="false">
      <c r="A998" s="34"/>
      <c r="B998" s="9"/>
      <c r="C998" s="34"/>
      <c r="D998" s="34"/>
      <c r="E998" s="34"/>
      <c r="F998" s="35"/>
      <c r="G998" s="9"/>
      <c r="H998" s="9"/>
      <c r="I998" s="34"/>
      <c r="J998" s="30" t="str">
        <f aca="false">IF(F998="","",G998-B998)</f>
        <v/>
      </c>
      <c r="K998" s="31" t="str">
        <f aca="false">IF(F998="","",IF(H998&lt;&gt;"",H998,MAX('Vade Sapması'!$D$3,G998)))</f>
        <v/>
      </c>
      <c r="L998" s="30" t="str">
        <f aca="false">IF(F998="","",K998-B998)</f>
        <v/>
      </c>
      <c r="M998" s="30" t="str">
        <f aca="false">IF(F998="","",L998-J998)</f>
        <v/>
      </c>
      <c r="N998" s="32" t="str">
        <f aca="false">IF(F998="","",IF(H998&lt;&gt;"","Kapandı",IF('Vade Sapması'!$D$3&gt;G998,"Açık · vadesi geçti","Açık · vadesi gelmedi")))</f>
        <v/>
      </c>
      <c r="O998" s="30" t="str">
        <f aca="false">IF(F998="","",IF(AND(H998="",'Vade Sapması'!$D$3&gt;G998),'Vade Sapması'!$D$3-G998,0))</f>
        <v/>
      </c>
      <c r="P998" s="33" t="str">
        <f aca="false">IF(F998="","",F998*J998)</f>
        <v/>
      </c>
      <c r="Q998" s="33" t="str">
        <f aca="false">IF(F998="","",F998*L998)</f>
        <v/>
      </c>
      <c r="R998" s="33" t="str">
        <f aca="false">IF(F998="","",IF(H998="",F998,0))</f>
        <v/>
      </c>
      <c r="S998" s="32" t="str">
        <f aca="false">IF(F998="","",IF(N(O998)=0,"",IF(O998&lt;=30,"1-30",IF(O998&lt;=60,"31-60",IF(O998&lt;=90,"61-90","90+")))))</f>
        <v/>
      </c>
      <c r="T998" s="32" t="str">
        <f aca="false">IF(F998="","",IF(E998="","Diğer",E998))</f>
        <v/>
      </c>
      <c r="U998" s="32" t="str">
        <f aca="false">IF(OR(F998="",C998=""),"",IF(COUNTIF($C$2:C998,C998)=1,MAX($U$1:U997)+1,""))</f>
        <v/>
      </c>
    </row>
    <row r="999" customFormat="false" ht="15" hidden="false" customHeight="false" outlineLevel="0" collapsed="false">
      <c r="A999" s="34"/>
      <c r="B999" s="9"/>
      <c r="C999" s="34"/>
      <c r="D999" s="34"/>
      <c r="E999" s="34"/>
      <c r="F999" s="35"/>
      <c r="G999" s="9"/>
      <c r="H999" s="9"/>
      <c r="I999" s="34"/>
      <c r="J999" s="30" t="str">
        <f aca="false">IF(F999="","",G999-B999)</f>
        <v/>
      </c>
      <c r="K999" s="31" t="str">
        <f aca="false">IF(F999="","",IF(H999&lt;&gt;"",H999,MAX('Vade Sapması'!$D$3,G999)))</f>
        <v/>
      </c>
      <c r="L999" s="30" t="str">
        <f aca="false">IF(F999="","",K999-B999)</f>
        <v/>
      </c>
      <c r="M999" s="30" t="str">
        <f aca="false">IF(F999="","",L999-J999)</f>
        <v/>
      </c>
      <c r="N999" s="32" t="str">
        <f aca="false">IF(F999="","",IF(H999&lt;&gt;"","Kapandı",IF('Vade Sapması'!$D$3&gt;G999,"Açık · vadesi geçti","Açık · vadesi gelmedi")))</f>
        <v/>
      </c>
      <c r="O999" s="30" t="str">
        <f aca="false">IF(F999="","",IF(AND(H999="",'Vade Sapması'!$D$3&gt;G999),'Vade Sapması'!$D$3-G999,0))</f>
        <v/>
      </c>
      <c r="P999" s="33" t="str">
        <f aca="false">IF(F999="","",F999*J999)</f>
        <v/>
      </c>
      <c r="Q999" s="33" t="str">
        <f aca="false">IF(F999="","",F999*L999)</f>
        <v/>
      </c>
      <c r="R999" s="33" t="str">
        <f aca="false">IF(F999="","",IF(H999="",F999,0))</f>
        <v/>
      </c>
      <c r="S999" s="32" t="str">
        <f aca="false">IF(F999="","",IF(N(O999)=0,"",IF(O999&lt;=30,"1-30",IF(O999&lt;=60,"31-60",IF(O999&lt;=90,"61-90","90+")))))</f>
        <v/>
      </c>
      <c r="T999" s="32" t="str">
        <f aca="false">IF(F999="","",IF(E999="","Diğer",E999))</f>
        <v/>
      </c>
      <c r="U999" s="32" t="str">
        <f aca="false">IF(OR(F999="",C999=""),"",IF(COUNTIF($C$2:C999,C999)=1,MAX($U$1:U998)+1,""))</f>
        <v/>
      </c>
    </row>
    <row r="1000" customFormat="false" ht="15" hidden="false" customHeight="false" outlineLevel="0" collapsed="false">
      <c r="A1000" s="34"/>
      <c r="B1000" s="9"/>
      <c r="C1000" s="34"/>
      <c r="D1000" s="34"/>
      <c r="E1000" s="34"/>
      <c r="F1000" s="35"/>
      <c r="G1000" s="9"/>
      <c r="H1000" s="9"/>
      <c r="I1000" s="34"/>
      <c r="J1000" s="30" t="str">
        <f aca="false">IF(F1000="","",G1000-B1000)</f>
        <v/>
      </c>
      <c r="K1000" s="31" t="str">
        <f aca="false">IF(F1000="","",IF(H1000&lt;&gt;"",H1000,MAX('Vade Sapması'!$D$3,G1000)))</f>
        <v/>
      </c>
      <c r="L1000" s="30" t="str">
        <f aca="false">IF(F1000="","",K1000-B1000)</f>
        <v/>
      </c>
      <c r="M1000" s="30" t="str">
        <f aca="false">IF(F1000="","",L1000-J1000)</f>
        <v/>
      </c>
      <c r="N1000" s="32" t="str">
        <f aca="false">IF(F1000="","",IF(H1000&lt;&gt;"","Kapandı",IF('Vade Sapması'!$D$3&gt;G1000,"Açık · vadesi geçti","Açık · vadesi gelmedi")))</f>
        <v/>
      </c>
      <c r="O1000" s="30" t="str">
        <f aca="false">IF(F1000="","",IF(AND(H1000="",'Vade Sapması'!$D$3&gt;G1000),'Vade Sapması'!$D$3-G1000,0))</f>
        <v/>
      </c>
      <c r="P1000" s="33" t="str">
        <f aca="false">IF(F1000="","",F1000*J1000)</f>
        <v/>
      </c>
      <c r="Q1000" s="33" t="str">
        <f aca="false">IF(F1000="","",F1000*L1000)</f>
        <v/>
      </c>
      <c r="R1000" s="33" t="str">
        <f aca="false">IF(F1000="","",IF(H1000="",F1000,0))</f>
        <v/>
      </c>
      <c r="S1000" s="32" t="str">
        <f aca="false">IF(F1000="","",IF(N(O1000)=0,"",IF(O1000&lt;=30,"1-30",IF(O1000&lt;=60,"31-60",IF(O1000&lt;=90,"61-90","90+")))))</f>
        <v/>
      </c>
      <c r="T1000" s="32" t="str">
        <f aca="false">IF(F1000="","",IF(E1000="","Diğer",E1000))</f>
        <v/>
      </c>
      <c r="U1000" s="32" t="str">
        <f aca="false">IF(OR(F1000="",C1000=""),"",IF(COUNTIF($C$2:C1000,C1000)=1,MAX($U$1:U999)+1,""))</f>
        <v/>
      </c>
    </row>
    <row r="1001" customFormat="false" ht="15" hidden="false" customHeight="false" outlineLevel="0" collapsed="false">
      <c r="A1001" s="34"/>
      <c r="B1001" s="9"/>
      <c r="C1001" s="34"/>
      <c r="D1001" s="34"/>
      <c r="E1001" s="34"/>
      <c r="F1001" s="35"/>
      <c r="G1001" s="9"/>
      <c r="H1001" s="9"/>
      <c r="I1001" s="34"/>
      <c r="J1001" s="30" t="str">
        <f aca="false">IF(F1001="","",G1001-B1001)</f>
        <v/>
      </c>
      <c r="K1001" s="31" t="str">
        <f aca="false">IF(F1001="","",IF(H1001&lt;&gt;"",H1001,MAX('Vade Sapması'!$D$3,G1001)))</f>
        <v/>
      </c>
      <c r="L1001" s="30" t="str">
        <f aca="false">IF(F1001="","",K1001-B1001)</f>
        <v/>
      </c>
      <c r="M1001" s="30" t="str">
        <f aca="false">IF(F1001="","",L1001-J1001)</f>
        <v/>
      </c>
      <c r="N1001" s="32" t="str">
        <f aca="false">IF(F1001="","",IF(H1001&lt;&gt;"","Kapandı",IF('Vade Sapması'!$D$3&gt;G1001,"Açık · vadesi geçti","Açık · vadesi gelmedi")))</f>
        <v/>
      </c>
      <c r="O1001" s="30" t="str">
        <f aca="false">IF(F1001="","",IF(AND(H1001="",'Vade Sapması'!$D$3&gt;G1001),'Vade Sapması'!$D$3-G1001,0))</f>
        <v/>
      </c>
      <c r="P1001" s="33" t="str">
        <f aca="false">IF(F1001="","",F1001*J1001)</f>
        <v/>
      </c>
      <c r="Q1001" s="33" t="str">
        <f aca="false">IF(F1001="","",F1001*L1001)</f>
        <v/>
      </c>
      <c r="R1001" s="33" t="str">
        <f aca="false">IF(F1001="","",IF(H1001="",F1001,0))</f>
        <v/>
      </c>
      <c r="S1001" s="32" t="str">
        <f aca="false">IF(F1001="","",IF(N(O1001)=0,"",IF(O1001&lt;=30,"1-30",IF(O1001&lt;=60,"31-60",IF(O1001&lt;=90,"61-90","90+")))))</f>
        <v/>
      </c>
      <c r="T1001" s="32" t="str">
        <f aca="false">IF(F1001="","",IF(E1001="","Diğer",E1001))</f>
        <v/>
      </c>
      <c r="U1001" s="32" t="str">
        <f aca="false">IF(OR(F1001="",C1001=""),"",IF(COUNTIF($C$2:C1001,C1001)=1,MAX($U$1:U1000)+1,""))</f>
        <v/>
      </c>
    </row>
    <row r="1002" customFormat="false" ht="15" hidden="false" customHeight="false" outlineLevel="0" collapsed="false">
      <c r="A1002" s="34"/>
      <c r="B1002" s="9"/>
      <c r="C1002" s="34"/>
      <c r="D1002" s="34"/>
      <c r="E1002" s="34"/>
      <c r="F1002" s="35"/>
      <c r="G1002" s="9"/>
      <c r="H1002" s="9"/>
      <c r="I1002" s="34"/>
      <c r="J1002" s="30" t="str">
        <f aca="false">IF(F1002="","",G1002-B1002)</f>
        <v/>
      </c>
      <c r="K1002" s="31" t="str">
        <f aca="false">IF(F1002="","",IF(H1002&lt;&gt;"",H1002,MAX('Vade Sapması'!$D$3,G1002)))</f>
        <v/>
      </c>
      <c r="L1002" s="30" t="str">
        <f aca="false">IF(F1002="","",K1002-B1002)</f>
        <v/>
      </c>
      <c r="M1002" s="30" t="str">
        <f aca="false">IF(F1002="","",L1002-J1002)</f>
        <v/>
      </c>
      <c r="N1002" s="32" t="str">
        <f aca="false">IF(F1002="","",IF(H1002&lt;&gt;"","Kapandı",IF('Vade Sapması'!$D$3&gt;G1002,"Açık · vadesi geçti","Açık · vadesi gelmedi")))</f>
        <v/>
      </c>
      <c r="O1002" s="30" t="str">
        <f aca="false">IF(F1002="","",IF(AND(H1002="",'Vade Sapması'!$D$3&gt;G1002),'Vade Sapması'!$D$3-G1002,0))</f>
        <v/>
      </c>
      <c r="P1002" s="33" t="str">
        <f aca="false">IF(F1002="","",F1002*J1002)</f>
        <v/>
      </c>
      <c r="Q1002" s="33" t="str">
        <f aca="false">IF(F1002="","",F1002*L1002)</f>
        <v/>
      </c>
      <c r="R1002" s="33" t="str">
        <f aca="false">IF(F1002="","",IF(H1002="",F1002,0))</f>
        <v/>
      </c>
      <c r="S1002" s="32" t="str">
        <f aca="false">IF(F1002="","",IF(N(O1002)=0,"",IF(O1002&lt;=30,"1-30",IF(O1002&lt;=60,"31-60",IF(O1002&lt;=90,"61-90","90+")))))</f>
        <v/>
      </c>
      <c r="T1002" s="32" t="str">
        <f aca="false">IF(F1002="","",IF(E1002="","Diğer",E1002))</f>
        <v/>
      </c>
      <c r="U1002" s="32" t="str">
        <f aca="false">IF(OR(F1002="",C1002=""),"",IF(COUNTIF($C$2:C1002,C1002)=1,MAX($U$1:U1001)+1,""))</f>
        <v/>
      </c>
    </row>
    <row r="1003" customFormat="false" ht="15" hidden="false" customHeight="false" outlineLevel="0" collapsed="false">
      <c r="A1003" s="34"/>
      <c r="B1003" s="9"/>
      <c r="C1003" s="34"/>
      <c r="D1003" s="34"/>
      <c r="E1003" s="34"/>
      <c r="F1003" s="35"/>
      <c r="G1003" s="9"/>
      <c r="H1003" s="9"/>
      <c r="I1003" s="34"/>
      <c r="J1003" s="30" t="str">
        <f aca="false">IF(F1003="","",G1003-B1003)</f>
        <v/>
      </c>
      <c r="K1003" s="31" t="str">
        <f aca="false">IF(F1003="","",IF(H1003&lt;&gt;"",H1003,MAX('Vade Sapması'!$D$3,G1003)))</f>
        <v/>
      </c>
      <c r="L1003" s="30" t="str">
        <f aca="false">IF(F1003="","",K1003-B1003)</f>
        <v/>
      </c>
      <c r="M1003" s="30" t="str">
        <f aca="false">IF(F1003="","",L1003-J1003)</f>
        <v/>
      </c>
      <c r="N1003" s="32" t="str">
        <f aca="false">IF(F1003="","",IF(H1003&lt;&gt;"","Kapandı",IF('Vade Sapması'!$D$3&gt;G1003,"Açık · vadesi geçti","Açık · vadesi gelmedi")))</f>
        <v/>
      </c>
      <c r="O1003" s="30" t="str">
        <f aca="false">IF(F1003="","",IF(AND(H1003="",'Vade Sapması'!$D$3&gt;G1003),'Vade Sapması'!$D$3-G1003,0))</f>
        <v/>
      </c>
      <c r="P1003" s="33" t="str">
        <f aca="false">IF(F1003="","",F1003*J1003)</f>
        <v/>
      </c>
      <c r="Q1003" s="33" t="str">
        <f aca="false">IF(F1003="","",F1003*L1003)</f>
        <v/>
      </c>
      <c r="R1003" s="33" t="str">
        <f aca="false">IF(F1003="","",IF(H1003="",F1003,0))</f>
        <v/>
      </c>
      <c r="S1003" s="32" t="str">
        <f aca="false">IF(F1003="","",IF(N(O1003)=0,"",IF(O1003&lt;=30,"1-30",IF(O1003&lt;=60,"31-60",IF(O1003&lt;=90,"61-90","90+")))))</f>
        <v/>
      </c>
      <c r="T1003" s="32" t="str">
        <f aca="false">IF(F1003="","",IF(E1003="","Diğer",E1003))</f>
        <v/>
      </c>
      <c r="U1003" s="32" t="str">
        <f aca="false">IF(OR(F1003="",C1003=""),"",IF(COUNTIF($C$2:C1003,C1003)=1,MAX($U$1:U1002)+1,""))</f>
        <v/>
      </c>
    </row>
    <row r="1004" customFormat="false" ht="15" hidden="false" customHeight="false" outlineLevel="0" collapsed="false">
      <c r="A1004" s="34"/>
      <c r="B1004" s="9"/>
      <c r="C1004" s="34"/>
      <c r="D1004" s="34"/>
      <c r="E1004" s="34"/>
      <c r="F1004" s="35"/>
      <c r="G1004" s="9"/>
      <c r="H1004" s="9"/>
      <c r="I1004" s="34"/>
      <c r="J1004" s="30" t="str">
        <f aca="false">IF(F1004="","",G1004-B1004)</f>
        <v/>
      </c>
      <c r="K1004" s="31" t="str">
        <f aca="false">IF(F1004="","",IF(H1004&lt;&gt;"",H1004,MAX('Vade Sapması'!$D$3,G1004)))</f>
        <v/>
      </c>
      <c r="L1004" s="30" t="str">
        <f aca="false">IF(F1004="","",K1004-B1004)</f>
        <v/>
      </c>
      <c r="M1004" s="30" t="str">
        <f aca="false">IF(F1004="","",L1004-J1004)</f>
        <v/>
      </c>
      <c r="N1004" s="32" t="str">
        <f aca="false">IF(F1004="","",IF(H1004&lt;&gt;"","Kapandı",IF('Vade Sapması'!$D$3&gt;G1004,"Açık · vadesi geçti","Açık · vadesi gelmedi")))</f>
        <v/>
      </c>
      <c r="O1004" s="30" t="str">
        <f aca="false">IF(F1004="","",IF(AND(H1004="",'Vade Sapması'!$D$3&gt;G1004),'Vade Sapması'!$D$3-G1004,0))</f>
        <v/>
      </c>
      <c r="P1004" s="33" t="str">
        <f aca="false">IF(F1004="","",F1004*J1004)</f>
        <v/>
      </c>
      <c r="Q1004" s="33" t="str">
        <f aca="false">IF(F1004="","",F1004*L1004)</f>
        <v/>
      </c>
      <c r="R1004" s="33" t="str">
        <f aca="false">IF(F1004="","",IF(H1004="",F1004,0))</f>
        <v/>
      </c>
      <c r="S1004" s="32" t="str">
        <f aca="false">IF(F1004="","",IF(N(O1004)=0,"",IF(O1004&lt;=30,"1-30",IF(O1004&lt;=60,"31-60",IF(O1004&lt;=90,"61-90","90+")))))</f>
        <v/>
      </c>
      <c r="T1004" s="32" t="str">
        <f aca="false">IF(F1004="","",IF(E1004="","Diğer",E1004))</f>
        <v/>
      </c>
      <c r="U1004" s="32" t="str">
        <f aca="false">IF(OR(F1004="",C1004=""),"",IF(COUNTIF($C$2:C1004,C1004)=1,MAX($U$1:U1003)+1,""))</f>
        <v/>
      </c>
    </row>
    <row r="1005" customFormat="false" ht="15" hidden="false" customHeight="false" outlineLevel="0" collapsed="false">
      <c r="A1005" s="34"/>
      <c r="B1005" s="9"/>
      <c r="C1005" s="34"/>
      <c r="D1005" s="34"/>
      <c r="E1005" s="34"/>
      <c r="F1005" s="35"/>
      <c r="G1005" s="9"/>
      <c r="H1005" s="9"/>
      <c r="I1005" s="34"/>
      <c r="J1005" s="30" t="str">
        <f aca="false">IF(F1005="","",G1005-B1005)</f>
        <v/>
      </c>
      <c r="K1005" s="31" t="str">
        <f aca="false">IF(F1005="","",IF(H1005&lt;&gt;"",H1005,MAX('Vade Sapması'!$D$3,G1005)))</f>
        <v/>
      </c>
      <c r="L1005" s="30" t="str">
        <f aca="false">IF(F1005="","",K1005-B1005)</f>
        <v/>
      </c>
      <c r="M1005" s="30" t="str">
        <f aca="false">IF(F1005="","",L1005-J1005)</f>
        <v/>
      </c>
      <c r="N1005" s="32" t="str">
        <f aca="false">IF(F1005="","",IF(H1005&lt;&gt;"","Kapandı",IF('Vade Sapması'!$D$3&gt;G1005,"Açık · vadesi geçti","Açık · vadesi gelmedi")))</f>
        <v/>
      </c>
      <c r="O1005" s="30" t="str">
        <f aca="false">IF(F1005="","",IF(AND(H1005="",'Vade Sapması'!$D$3&gt;G1005),'Vade Sapması'!$D$3-G1005,0))</f>
        <v/>
      </c>
      <c r="P1005" s="33" t="str">
        <f aca="false">IF(F1005="","",F1005*J1005)</f>
        <v/>
      </c>
      <c r="Q1005" s="33" t="str">
        <f aca="false">IF(F1005="","",F1005*L1005)</f>
        <v/>
      </c>
      <c r="R1005" s="33" t="str">
        <f aca="false">IF(F1005="","",IF(H1005="",F1005,0))</f>
        <v/>
      </c>
      <c r="S1005" s="32" t="str">
        <f aca="false">IF(F1005="","",IF(N(O1005)=0,"",IF(O1005&lt;=30,"1-30",IF(O1005&lt;=60,"31-60",IF(O1005&lt;=90,"61-90","90+")))))</f>
        <v/>
      </c>
      <c r="T1005" s="32" t="str">
        <f aca="false">IF(F1005="","",IF(E1005="","Diğer",E1005))</f>
        <v/>
      </c>
      <c r="U1005" s="32" t="str">
        <f aca="false">IF(OR(F1005="",C1005=""),"",IF(COUNTIF($C$2:C1005,C1005)=1,MAX($U$1:U1004)+1,""))</f>
        <v/>
      </c>
    </row>
    <row r="1006" customFormat="false" ht="15" hidden="false" customHeight="false" outlineLevel="0" collapsed="false">
      <c r="A1006" s="34"/>
      <c r="B1006" s="9"/>
      <c r="C1006" s="34"/>
      <c r="D1006" s="34"/>
      <c r="E1006" s="34"/>
      <c r="F1006" s="35"/>
      <c r="G1006" s="9"/>
      <c r="H1006" s="9"/>
      <c r="I1006" s="34"/>
      <c r="J1006" s="30" t="str">
        <f aca="false">IF(F1006="","",G1006-B1006)</f>
        <v/>
      </c>
      <c r="K1006" s="31" t="str">
        <f aca="false">IF(F1006="","",IF(H1006&lt;&gt;"",H1006,MAX('Vade Sapması'!$D$3,G1006)))</f>
        <v/>
      </c>
      <c r="L1006" s="30" t="str">
        <f aca="false">IF(F1006="","",K1006-B1006)</f>
        <v/>
      </c>
      <c r="M1006" s="30" t="str">
        <f aca="false">IF(F1006="","",L1006-J1006)</f>
        <v/>
      </c>
      <c r="N1006" s="32" t="str">
        <f aca="false">IF(F1006="","",IF(H1006&lt;&gt;"","Kapandı",IF('Vade Sapması'!$D$3&gt;G1006,"Açık · vadesi geçti","Açık · vadesi gelmedi")))</f>
        <v/>
      </c>
      <c r="O1006" s="30" t="str">
        <f aca="false">IF(F1006="","",IF(AND(H1006="",'Vade Sapması'!$D$3&gt;G1006),'Vade Sapması'!$D$3-G1006,0))</f>
        <v/>
      </c>
      <c r="P1006" s="33" t="str">
        <f aca="false">IF(F1006="","",F1006*J1006)</f>
        <v/>
      </c>
      <c r="Q1006" s="33" t="str">
        <f aca="false">IF(F1006="","",F1006*L1006)</f>
        <v/>
      </c>
      <c r="R1006" s="33" t="str">
        <f aca="false">IF(F1006="","",IF(H1006="",F1006,0))</f>
        <v/>
      </c>
      <c r="S1006" s="32" t="str">
        <f aca="false">IF(F1006="","",IF(N(O1006)=0,"",IF(O1006&lt;=30,"1-30",IF(O1006&lt;=60,"31-60",IF(O1006&lt;=90,"61-90","90+")))))</f>
        <v/>
      </c>
      <c r="T1006" s="32" t="str">
        <f aca="false">IF(F1006="","",IF(E1006="","Diğer",E1006))</f>
        <v/>
      </c>
      <c r="U1006" s="32" t="str">
        <f aca="false">IF(OR(F1006="",C1006=""),"",IF(COUNTIF($C$2:C1006,C1006)=1,MAX($U$1:U1005)+1,""))</f>
        <v/>
      </c>
    </row>
    <row r="1007" customFormat="false" ht="15" hidden="false" customHeight="false" outlineLevel="0" collapsed="false">
      <c r="A1007" s="34"/>
      <c r="B1007" s="9"/>
      <c r="C1007" s="34"/>
      <c r="D1007" s="34"/>
      <c r="E1007" s="34"/>
      <c r="F1007" s="35"/>
      <c r="G1007" s="9"/>
      <c r="H1007" s="9"/>
      <c r="I1007" s="34"/>
      <c r="J1007" s="30" t="str">
        <f aca="false">IF(F1007="","",G1007-B1007)</f>
        <v/>
      </c>
      <c r="K1007" s="31" t="str">
        <f aca="false">IF(F1007="","",IF(H1007&lt;&gt;"",H1007,MAX('Vade Sapması'!$D$3,G1007)))</f>
        <v/>
      </c>
      <c r="L1007" s="30" t="str">
        <f aca="false">IF(F1007="","",K1007-B1007)</f>
        <v/>
      </c>
      <c r="M1007" s="30" t="str">
        <f aca="false">IF(F1007="","",L1007-J1007)</f>
        <v/>
      </c>
      <c r="N1007" s="32" t="str">
        <f aca="false">IF(F1007="","",IF(H1007&lt;&gt;"","Kapandı",IF('Vade Sapması'!$D$3&gt;G1007,"Açık · vadesi geçti","Açık · vadesi gelmedi")))</f>
        <v/>
      </c>
      <c r="O1007" s="30" t="str">
        <f aca="false">IF(F1007="","",IF(AND(H1007="",'Vade Sapması'!$D$3&gt;G1007),'Vade Sapması'!$D$3-G1007,0))</f>
        <v/>
      </c>
      <c r="P1007" s="33" t="str">
        <f aca="false">IF(F1007="","",F1007*J1007)</f>
        <v/>
      </c>
      <c r="Q1007" s="33" t="str">
        <f aca="false">IF(F1007="","",F1007*L1007)</f>
        <v/>
      </c>
      <c r="R1007" s="33" t="str">
        <f aca="false">IF(F1007="","",IF(H1007="",F1007,0))</f>
        <v/>
      </c>
      <c r="S1007" s="32" t="str">
        <f aca="false">IF(F1007="","",IF(N(O1007)=0,"",IF(O1007&lt;=30,"1-30",IF(O1007&lt;=60,"31-60",IF(O1007&lt;=90,"61-90","90+")))))</f>
        <v/>
      </c>
      <c r="T1007" s="32" t="str">
        <f aca="false">IF(F1007="","",IF(E1007="","Diğer",E1007))</f>
        <v/>
      </c>
      <c r="U1007" s="32" t="str">
        <f aca="false">IF(OR(F1007="",C1007=""),"",IF(COUNTIF($C$2:C1007,C1007)=1,MAX($U$1:U1006)+1,""))</f>
        <v/>
      </c>
    </row>
    <row r="1008" customFormat="false" ht="15" hidden="false" customHeight="false" outlineLevel="0" collapsed="false">
      <c r="A1008" s="34"/>
      <c r="B1008" s="9"/>
      <c r="C1008" s="34"/>
      <c r="D1008" s="34"/>
      <c r="E1008" s="34"/>
      <c r="F1008" s="35"/>
      <c r="G1008" s="9"/>
      <c r="H1008" s="9"/>
      <c r="I1008" s="34"/>
      <c r="J1008" s="30" t="str">
        <f aca="false">IF(F1008="","",G1008-B1008)</f>
        <v/>
      </c>
      <c r="K1008" s="31" t="str">
        <f aca="false">IF(F1008="","",IF(H1008&lt;&gt;"",H1008,MAX('Vade Sapması'!$D$3,G1008)))</f>
        <v/>
      </c>
      <c r="L1008" s="30" t="str">
        <f aca="false">IF(F1008="","",K1008-B1008)</f>
        <v/>
      </c>
      <c r="M1008" s="30" t="str">
        <f aca="false">IF(F1008="","",L1008-J1008)</f>
        <v/>
      </c>
      <c r="N1008" s="32" t="str">
        <f aca="false">IF(F1008="","",IF(H1008&lt;&gt;"","Kapandı",IF('Vade Sapması'!$D$3&gt;G1008,"Açık · vadesi geçti","Açık · vadesi gelmedi")))</f>
        <v/>
      </c>
      <c r="O1008" s="30" t="str">
        <f aca="false">IF(F1008="","",IF(AND(H1008="",'Vade Sapması'!$D$3&gt;G1008),'Vade Sapması'!$D$3-G1008,0))</f>
        <v/>
      </c>
      <c r="P1008" s="33" t="str">
        <f aca="false">IF(F1008="","",F1008*J1008)</f>
        <v/>
      </c>
      <c r="Q1008" s="33" t="str">
        <f aca="false">IF(F1008="","",F1008*L1008)</f>
        <v/>
      </c>
      <c r="R1008" s="33" t="str">
        <f aca="false">IF(F1008="","",IF(H1008="",F1008,0))</f>
        <v/>
      </c>
      <c r="S1008" s="32" t="str">
        <f aca="false">IF(F1008="","",IF(N(O1008)=0,"",IF(O1008&lt;=30,"1-30",IF(O1008&lt;=60,"31-60",IF(O1008&lt;=90,"61-90","90+")))))</f>
        <v/>
      </c>
      <c r="T1008" s="32" t="str">
        <f aca="false">IF(F1008="","",IF(E1008="","Diğer",E1008))</f>
        <v/>
      </c>
      <c r="U1008" s="32" t="str">
        <f aca="false">IF(OR(F1008="",C1008=""),"",IF(COUNTIF($C$2:C1008,C1008)=1,MAX($U$1:U1007)+1,""))</f>
        <v/>
      </c>
    </row>
    <row r="1009" customFormat="false" ht="15" hidden="false" customHeight="false" outlineLevel="0" collapsed="false">
      <c r="A1009" s="34"/>
      <c r="B1009" s="9"/>
      <c r="C1009" s="34"/>
      <c r="D1009" s="34"/>
      <c r="E1009" s="34"/>
      <c r="F1009" s="35"/>
      <c r="G1009" s="9"/>
      <c r="H1009" s="9"/>
      <c r="I1009" s="34"/>
      <c r="J1009" s="30" t="str">
        <f aca="false">IF(F1009="","",G1009-B1009)</f>
        <v/>
      </c>
      <c r="K1009" s="31" t="str">
        <f aca="false">IF(F1009="","",IF(H1009&lt;&gt;"",H1009,MAX('Vade Sapması'!$D$3,G1009)))</f>
        <v/>
      </c>
      <c r="L1009" s="30" t="str">
        <f aca="false">IF(F1009="","",K1009-B1009)</f>
        <v/>
      </c>
      <c r="M1009" s="30" t="str">
        <f aca="false">IF(F1009="","",L1009-J1009)</f>
        <v/>
      </c>
      <c r="N1009" s="32" t="str">
        <f aca="false">IF(F1009="","",IF(H1009&lt;&gt;"","Kapandı",IF('Vade Sapması'!$D$3&gt;G1009,"Açık · vadesi geçti","Açık · vadesi gelmedi")))</f>
        <v/>
      </c>
      <c r="O1009" s="30" t="str">
        <f aca="false">IF(F1009="","",IF(AND(H1009="",'Vade Sapması'!$D$3&gt;G1009),'Vade Sapması'!$D$3-G1009,0))</f>
        <v/>
      </c>
      <c r="P1009" s="33" t="str">
        <f aca="false">IF(F1009="","",F1009*J1009)</f>
        <v/>
      </c>
      <c r="Q1009" s="33" t="str">
        <f aca="false">IF(F1009="","",F1009*L1009)</f>
        <v/>
      </c>
      <c r="R1009" s="33" t="str">
        <f aca="false">IF(F1009="","",IF(H1009="",F1009,0))</f>
        <v/>
      </c>
      <c r="S1009" s="32" t="str">
        <f aca="false">IF(F1009="","",IF(N(O1009)=0,"",IF(O1009&lt;=30,"1-30",IF(O1009&lt;=60,"31-60",IF(O1009&lt;=90,"61-90","90+")))))</f>
        <v/>
      </c>
      <c r="T1009" s="32" t="str">
        <f aca="false">IF(F1009="","",IF(E1009="","Diğer",E1009))</f>
        <v/>
      </c>
      <c r="U1009" s="32" t="str">
        <f aca="false">IF(OR(F1009="",C1009=""),"",IF(COUNTIF($C$2:C1009,C1009)=1,MAX($U$1:U1008)+1,""))</f>
        <v/>
      </c>
    </row>
    <row r="1010" customFormat="false" ht="15" hidden="false" customHeight="false" outlineLevel="0" collapsed="false">
      <c r="A1010" s="34"/>
      <c r="B1010" s="9"/>
      <c r="C1010" s="34"/>
      <c r="D1010" s="34"/>
      <c r="E1010" s="34"/>
      <c r="F1010" s="35"/>
      <c r="G1010" s="9"/>
      <c r="H1010" s="9"/>
      <c r="I1010" s="34"/>
      <c r="J1010" s="30" t="str">
        <f aca="false">IF(F1010="","",G1010-B1010)</f>
        <v/>
      </c>
      <c r="K1010" s="31" t="str">
        <f aca="false">IF(F1010="","",IF(H1010&lt;&gt;"",H1010,MAX('Vade Sapması'!$D$3,G1010)))</f>
        <v/>
      </c>
      <c r="L1010" s="30" t="str">
        <f aca="false">IF(F1010="","",K1010-B1010)</f>
        <v/>
      </c>
      <c r="M1010" s="30" t="str">
        <f aca="false">IF(F1010="","",L1010-J1010)</f>
        <v/>
      </c>
      <c r="N1010" s="32" t="str">
        <f aca="false">IF(F1010="","",IF(H1010&lt;&gt;"","Kapandı",IF('Vade Sapması'!$D$3&gt;G1010,"Açık · vadesi geçti","Açık · vadesi gelmedi")))</f>
        <v/>
      </c>
      <c r="O1010" s="30" t="str">
        <f aca="false">IF(F1010="","",IF(AND(H1010="",'Vade Sapması'!$D$3&gt;G1010),'Vade Sapması'!$D$3-G1010,0))</f>
        <v/>
      </c>
      <c r="P1010" s="33" t="str">
        <f aca="false">IF(F1010="","",F1010*J1010)</f>
        <v/>
      </c>
      <c r="Q1010" s="33" t="str">
        <f aca="false">IF(F1010="","",F1010*L1010)</f>
        <v/>
      </c>
      <c r="R1010" s="33" t="str">
        <f aca="false">IF(F1010="","",IF(H1010="",F1010,0))</f>
        <v/>
      </c>
      <c r="S1010" s="32" t="str">
        <f aca="false">IF(F1010="","",IF(N(O1010)=0,"",IF(O1010&lt;=30,"1-30",IF(O1010&lt;=60,"31-60",IF(O1010&lt;=90,"61-90","90+")))))</f>
        <v/>
      </c>
      <c r="T1010" s="32" t="str">
        <f aca="false">IF(F1010="","",IF(E1010="","Diğer",E1010))</f>
        <v/>
      </c>
      <c r="U1010" s="32" t="str">
        <f aca="false">IF(OR(F1010="",C1010=""),"",IF(COUNTIF($C$2:C1010,C1010)=1,MAX($U$1:U1009)+1,""))</f>
        <v/>
      </c>
    </row>
    <row r="1011" customFormat="false" ht="15" hidden="false" customHeight="false" outlineLevel="0" collapsed="false">
      <c r="A1011" s="34"/>
      <c r="B1011" s="9"/>
      <c r="C1011" s="34"/>
      <c r="D1011" s="34"/>
      <c r="E1011" s="34"/>
      <c r="F1011" s="35"/>
      <c r="G1011" s="9"/>
      <c r="H1011" s="9"/>
      <c r="I1011" s="34"/>
      <c r="J1011" s="30" t="str">
        <f aca="false">IF(F1011="","",G1011-B1011)</f>
        <v/>
      </c>
      <c r="K1011" s="31" t="str">
        <f aca="false">IF(F1011="","",IF(H1011&lt;&gt;"",H1011,MAX('Vade Sapması'!$D$3,G1011)))</f>
        <v/>
      </c>
      <c r="L1011" s="30" t="str">
        <f aca="false">IF(F1011="","",K1011-B1011)</f>
        <v/>
      </c>
      <c r="M1011" s="30" t="str">
        <f aca="false">IF(F1011="","",L1011-J1011)</f>
        <v/>
      </c>
      <c r="N1011" s="32" t="str">
        <f aca="false">IF(F1011="","",IF(H1011&lt;&gt;"","Kapandı",IF('Vade Sapması'!$D$3&gt;G1011,"Açık · vadesi geçti","Açık · vadesi gelmedi")))</f>
        <v/>
      </c>
      <c r="O1011" s="30" t="str">
        <f aca="false">IF(F1011="","",IF(AND(H1011="",'Vade Sapması'!$D$3&gt;G1011),'Vade Sapması'!$D$3-G1011,0))</f>
        <v/>
      </c>
      <c r="P1011" s="33" t="str">
        <f aca="false">IF(F1011="","",F1011*J1011)</f>
        <v/>
      </c>
      <c r="Q1011" s="33" t="str">
        <f aca="false">IF(F1011="","",F1011*L1011)</f>
        <v/>
      </c>
      <c r="R1011" s="33" t="str">
        <f aca="false">IF(F1011="","",IF(H1011="",F1011,0))</f>
        <v/>
      </c>
      <c r="S1011" s="32" t="str">
        <f aca="false">IF(F1011="","",IF(N(O1011)=0,"",IF(O1011&lt;=30,"1-30",IF(O1011&lt;=60,"31-60",IF(O1011&lt;=90,"61-90","90+")))))</f>
        <v/>
      </c>
      <c r="T1011" s="32" t="str">
        <f aca="false">IF(F1011="","",IF(E1011="","Diğer",E1011))</f>
        <v/>
      </c>
      <c r="U1011" s="32" t="str">
        <f aca="false">IF(OR(F1011="",C1011=""),"",IF(COUNTIF($C$2:C1011,C1011)=1,MAX($U$1:U1010)+1,""))</f>
        <v/>
      </c>
    </row>
    <row r="1012" customFormat="false" ht="15" hidden="false" customHeight="false" outlineLevel="0" collapsed="false">
      <c r="A1012" s="34"/>
      <c r="B1012" s="9"/>
      <c r="C1012" s="34"/>
      <c r="D1012" s="34"/>
      <c r="E1012" s="34"/>
      <c r="F1012" s="35"/>
      <c r="G1012" s="9"/>
      <c r="H1012" s="9"/>
      <c r="I1012" s="34"/>
      <c r="J1012" s="30" t="str">
        <f aca="false">IF(F1012="","",G1012-B1012)</f>
        <v/>
      </c>
      <c r="K1012" s="31" t="str">
        <f aca="false">IF(F1012="","",IF(H1012&lt;&gt;"",H1012,MAX('Vade Sapması'!$D$3,G1012)))</f>
        <v/>
      </c>
      <c r="L1012" s="30" t="str">
        <f aca="false">IF(F1012="","",K1012-B1012)</f>
        <v/>
      </c>
      <c r="M1012" s="30" t="str">
        <f aca="false">IF(F1012="","",L1012-J1012)</f>
        <v/>
      </c>
      <c r="N1012" s="32" t="str">
        <f aca="false">IF(F1012="","",IF(H1012&lt;&gt;"","Kapandı",IF('Vade Sapması'!$D$3&gt;G1012,"Açık · vadesi geçti","Açık · vadesi gelmedi")))</f>
        <v/>
      </c>
      <c r="O1012" s="30" t="str">
        <f aca="false">IF(F1012="","",IF(AND(H1012="",'Vade Sapması'!$D$3&gt;G1012),'Vade Sapması'!$D$3-G1012,0))</f>
        <v/>
      </c>
      <c r="P1012" s="33" t="str">
        <f aca="false">IF(F1012="","",F1012*J1012)</f>
        <v/>
      </c>
      <c r="Q1012" s="33" t="str">
        <f aca="false">IF(F1012="","",F1012*L1012)</f>
        <v/>
      </c>
      <c r="R1012" s="33" t="str">
        <f aca="false">IF(F1012="","",IF(H1012="",F1012,0))</f>
        <v/>
      </c>
      <c r="S1012" s="32" t="str">
        <f aca="false">IF(F1012="","",IF(N(O1012)=0,"",IF(O1012&lt;=30,"1-30",IF(O1012&lt;=60,"31-60",IF(O1012&lt;=90,"61-90","90+")))))</f>
        <v/>
      </c>
      <c r="T1012" s="32" t="str">
        <f aca="false">IF(F1012="","",IF(E1012="","Diğer",E1012))</f>
        <v/>
      </c>
      <c r="U1012" s="32" t="str">
        <f aca="false">IF(OR(F1012="",C1012=""),"",IF(COUNTIF($C$2:C1012,C1012)=1,MAX($U$1:U1011)+1,""))</f>
        <v/>
      </c>
    </row>
    <row r="1013" customFormat="false" ht="15" hidden="false" customHeight="false" outlineLevel="0" collapsed="false">
      <c r="A1013" s="34"/>
      <c r="B1013" s="9"/>
      <c r="C1013" s="34"/>
      <c r="D1013" s="34"/>
      <c r="E1013" s="34"/>
      <c r="F1013" s="35"/>
      <c r="G1013" s="9"/>
      <c r="H1013" s="9"/>
      <c r="I1013" s="34"/>
      <c r="J1013" s="30" t="str">
        <f aca="false">IF(F1013="","",G1013-B1013)</f>
        <v/>
      </c>
      <c r="K1013" s="31" t="str">
        <f aca="false">IF(F1013="","",IF(H1013&lt;&gt;"",H1013,MAX('Vade Sapması'!$D$3,G1013)))</f>
        <v/>
      </c>
      <c r="L1013" s="30" t="str">
        <f aca="false">IF(F1013="","",K1013-B1013)</f>
        <v/>
      </c>
      <c r="M1013" s="30" t="str">
        <f aca="false">IF(F1013="","",L1013-J1013)</f>
        <v/>
      </c>
      <c r="N1013" s="32" t="str">
        <f aca="false">IF(F1013="","",IF(H1013&lt;&gt;"","Kapandı",IF('Vade Sapması'!$D$3&gt;G1013,"Açık · vadesi geçti","Açık · vadesi gelmedi")))</f>
        <v/>
      </c>
      <c r="O1013" s="30" t="str">
        <f aca="false">IF(F1013="","",IF(AND(H1013="",'Vade Sapması'!$D$3&gt;G1013),'Vade Sapması'!$D$3-G1013,0))</f>
        <v/>
      </c>
      <c r="P1013" s="33" t="str">
        <f aca="false">IF(F1013="","",F1013*J1013)</f>
        <v/>
      </c>
      <c r="Q1013" s="33" t="str">
        <f aca="false">IF(F1013="","",F1013*L1013)</f>
        <v/>
      </c>
      <c r="R1013" s="33" t="str">
        <f aca="false">IF(F1013="","",IF(H1013="",F1013,0))</f>
        <v/>
      </c>
      <c r="S1013" s="32" t="str">
        <f aca="false">IF(F1013="","",IF(N(O1013)=0,"",IF(O1013&lt;=30,"1-30",IF(O1013&lt;=60,"31-60",IF(O1013&lt;=90,"61-90","90+")))))</f>
        <v/>
      </c>
      <c r="T1013" s="32" t="str">
        <f aca="false">IF(F1013="","",IF(E1013="","Diğer",E1013))</f>
        <v/>
      </c>
      <c r="U1013" s="32" t="str">
        <f aca="false">IF(OR(F1013="",C1013=""),"",IF(COUNTIF($C$2:C1013,C1013)=1,MAX($U$1:U1012)+1,""))</f>
        <v/>
      </c>
    </row>
    <row r="1014" customFormat="false" ht="15" hidden="false" customHeight="false" outlineLevel="0" collapsed="false">
      <c r="A1014" s="34"/>
      <c r="B1014" s="9"/>
      <c r="C1014" s="34"/>
      <c r="D1014" s="34"/>
      <c r="E1014" s="34"/>
      <c r="F1014" s="35"/>
      <c r="G1014" s="9"/>
      <c r="H1014" s="9"/>
      <c r="I1014" s="34"/>
      <c r="J1014" s="30" t="str">
        <f aca="false">IF(F1014="","",G1014-B1014)</f>
        <v/>
      </c>
      <c r="K1014" s="31" t="str">
        <f aca="false">IF(F1014="","",IF(H1014&lt;&gt;"",H1014,MAX('Vade Sapması'!$D$3,G1014)))</f>
        <v/>
      </c>
      <c r="L1014" s="30" t="str">
        <f aca="false">IF(F1014="","",K1014-B1014)</f>
        <v/>
      </c>
      <c r="M1014" s="30" t="str">
        <f aca="false">IF(F1014="","",L1014-J1014)</f>
        <v/>
      </c>
      <c r="N1014" s="32" t="str">
        <f aca="false">IF(F1014="","",IF(H1014&lt;&gt;"","Kapandı",IF('Vade Sapması'!$D$3&gt;G1014,"Açık · vadesi geçti","Açık · vadesi gelmedi")))</f>
        <v/>
      </c>
      <c r="O1014" s="30" t="str">
        <f aca="false">IF(F1014="","",IF(AND(H1014="",'Vade Sapması'!$D$3&gt;G1014),'Vade Sapması'!$D$3-G1014,0))</f>
        <v/>
      </c>
      <c r="P1014" s="33" t="str">
        <f aca="false">IF(F1014="","",F1014*J1014)</f>
        <v/>
      </c>
      <c r="Q1014" s="33" t="str">
        <f aca="false">IF(F1014="","",F1014*L1014)</f>
        <v/>
      </c>
      <c r="R1014" s="33" t="str">
        <f aca="false">IF(F1014="","",IF(H1014="",F1014,0))</f>
        <v/>
      </c>
      <c r="S1014" s="32" t="str">
        <f aca="false">IF(F1014="","",IF(N(O1014)=0,"",IF(O1014&lt;=30,"1-30",IF(O1014&lt;=60,"31-60",IF(O1014&lt;=90,"61-90","90+")))))</f>
        <v/>
      </c>
      <c r="T1014" s="32" t="str">
        <f aca="false">IF(F1014="","",IF(E1014="","Diğer",E1014))</f>
        <v/>
      </c>
      <c r="U1014" s="32" t="str">
        <f aca="false">IF(OR(F1014="",C1014=""),"",IF(COUNTIF($C$2:C1014,C1014)=1,MAX($U$1:U1013)+1,""))</f>
        <v/>
      </c>
    </row>
    <row r="1015" customFormat="false" ht="15" hidden="false" customHeight="false" outlineLevel="0" collapsed="false">
      <c r="A1015" s="34"/>
      <c r="B1015" s="9"/>
      <c r="C1015" s="34"/>
      <c r="D1015" s="34"/>
      <c r="E1015" s="34"/>
      <c r="F1015" s="35"/>
      <c r="G1015" s="9"/>
      <c r="H1015" s="9"/>
      <c r="I1015" s="34"/>
      <c r="J1015" s="30" t="str">
        <f aca="false">IF(F1015="","",G1015-B1015)</f>
        <v/>
      </c>
      <c r="K1015" s="31" t="str">
        <f aca="false">IF(F1015="","",IF(H1015&lt;&gt;"",H1015,MAX('Vade Sapması'!$D$3,G1015)))</f>
        <v/>
      </c>
      <c r="L1015" s="30" t="str">
        <f aca="false">IF(F1015="","",K1015-B1015)</f>
        <v/>
      </c>
      <c r="M1015" s="30" t="str">
        <f aca="false">IF(F1015="","",L1015-J1015)</f>
        <v/>
      </c>
      <c r="N1015" s="32" t="str">
        <f aca="false">IF(F1015="","",IF(H1015&lt;&gt;"","Kapandı",IF('Vade Sapması'!$D$3&gt;G1015,"Açık · vadesi geçti","Açık · vadesi gelmedi")))</f>
        <v/>
      </c>
      <c r="O1015" s="30" t="str">
        <f aca="false">IF(F1015="","",IF(AND(H1015="",'Vade Sapması'!$D$3&gt;G1015),'Vade Sapması'!$D$3-G1015,0))</f>
        <v/>
      </c>
      <c r="P1015" s="33" t="str">
        <f aca="false">IF(F1015="","",F1015*J1015)</f>
        <v/>
      </c>
      <c r="Q1015" s="33" t="str">
        <f aca="false">IF(F1015="","",F1015*L1015)</f>
        <v/>
      </c>
      <c r="R1015" s="33" t="str">
        <f aca="false">IF(F1015="","",IF(H1015="",F1015,0))</f>
        <v/>
      </c>
      <c r="S1015" s="32" t="str">
        <f aca="false">IF(F1015="","",IF(N(O1015)=0,"",IF(O1015&lt;=30,"1-30",IF(O1015&lt;=60,"31-60",IF(O1015&lt;=90,"61-90","90+")))))</f>
        <v/>
      </c>
      <c r="T1015" s="32" t="str">
        <f aca="false">IF(F1015="","",IF(E1015="","Diğer",E1015))</f>
        <v/>
      </c>
      <c r="U1015" s="32" t="str">
        <f aca="false">IF(OR(F1015="",C1015=""),"",IF(COUNTIF($C$2:C1015,C1015)=1,MAX($U$1:U1014)+1,""))</f>
        <v/>
      </c>
    </row>
    <row r="1016" customFormat="false" ht="15" hidden="false" customHeight="false" outlineLevel="0" collapsed="false">
      <c r="A1016" s="34"/>
      <c r="B1016" s="9"/>
      <c r="C1016" s="34"/>
      <c r="D1016" s="34"/>
      <c r="E1016" s="34"/>
      <c r="F1016" s="35"/>
      <c r="G1016" s="9"/>
      <c r="H1016" s="9"/>
      <c r="I1016" s="34"/>
      <c r="J1016" s="30" t="str">
        <f aca="false">IF(F1016="","",G1016-B1016)</f>
        <v/>
      </c>
      <c r="K1016" s="31" t="str">
        <f aca="false">IF(F1016="","",IF(H1016&lt;&gt;"",H1016,MAX('Vade Sapması'!$D$3,G1016)))</f>
        <v/>
      </c>
      <c r="L1016" s="30" t="str">
        <f aca="false">IF(F1016="","",K1016-B1016)</f>
        <v/>
      </c>
      <c r="M1016" s="30" t="str">
        <f aca="false">IF(F1016="","",L1016-J1016)</f>
        <v/>
      </c>
      <c r="N1016" s="32" t="str">
        <f aca="false">IF(F1016="","",IF(H1016&lt;&gt;"","Kapandı",IF('Vade Sapması'!$D$3&gt;G1016,"Açık · vadesi geçti","Açık · vadesi gelmedi")))</f>
        <v/>
      </c>
      <c r="O1016" s="30" t="str">
        <f aca="false">IF(F1016="","",IF(AND(H1016="",'Vade Sapması'!$D$3&gt;G1016),'Vade Sapması'!$D$3-G1016,0))</f>
        <v/>
      </c>
      <c r="P1016" s="33" t="str">
        <f aca="false">IF(F1016="","",F1016*J1016)</f>
        <v/>
      </c>
      <c r="Q1016" s="33" t="str">
        <f aca="false">IF(F1016="","",F1016*L1016)</f>
        <v/>
      </c>
      <c r="R1016" s="33" t="str">
        <f aca="false">IF(F1016="","",IF(H1016="",F1016,0))</f>
        <v/>
      </c>
      <c r="S1016" s="32" t="str">
        <f aca="false">IF(F1016="","",IF(N(O1016)=0,"",IF(O1016&lt;=30,"1-30",IF(O1016&lt;=60,"31-60",IF(O1016&lt;=90,"61-90","90+")))))</f>
        <v/>
      </c>
      <c r="T1016" s="32" t="str">
        <f aca="false">IF(F1016="","",IF(E1016="","Diğer",E1016))</f>
        <v/>
      </c>
      <c r="U1016" s="32" t="str">
        <f aca="false">IF(OR(F1016="",C1016=""),"",IF(COUNTIF($C$2:C1016,C1016)=1,MAX($U$1:U1015)+1,""))</f>
        <v/>
      </c>
    </row>
    <row r="1017" customFormat="false" ht="15" hidden="false" customHeight="false" outlineLevel="0" collapsed="false">
      <c r="A1017" s="34"/>
      <c r="B1017" s="9"/>
      <c r="C1017" s="34"/>
      <c r="D1017" s="34"/>
      <c r="E1017" s="34"/>
      <c r="F1017" s="35"/>
      <c r="G1017" s="9"/>
      <c r="H1017" s="9"/>
      <c r="I1017" s="34"/>
      <c r="J1017" s="30" t="str">
        <f aca="false">IF(F1017="","",G1017-B1017)</f>
        <v/>
      </c>
      <c r="K1017" s="31" t="str">
        <f aca="false">IF(F1017="","",IF(H1017&lt;&gt;"",H1017,MAX('Vade Sapması'!$D$3,G1017)))</f>
        <v/>
      </c>
      <c r="L1017" s="30" t="str">
        <f aca="false">IF(F1017="","",K1017-B1017)</f>
        <v/>
      </c>
      <c r="M1017" s="30" t="str">
        <f aca="false">IF(F1017="","",L1017-J1017)</f>
        <v/>
      </c>
      <c r="N1017" s="32" t="str">
        <f aca="false">IF(F1017="","",IF(H1017&lt;&gt;"","Kapandı",IF('Vade Sapması'!$D$3&gt;G1017,"Açık · vadesi geçti","Açık · vadesi gelmedi")))</f>
        <v/>
      </c>
      <c r="O1017" s="30" t="str">
        <f aca="false">IF(F1017="","",IF(AND(H1017="",'Vade Sapması'!$D$3&gt;G1017),'Vade Sapması'!$D$3-G1017,0))</f>
        <v/>
      </c>
      <c r="P1017" s="33" t="str">
        <f aca="false">IF(F1017="","",F1017*J1017)</f>
        <v/>
      </c>
      <c r="Q1017" s="33" t="str">
        <f aca="false">IF(F1017="","",F1017*L1017)</f>
        <v/>
      </c>
      <c r="R1017" s="33" t="str">
        <f aca="false">IF(F1017="","",IF(H1017="",F1017,0))</f>
        <v/>
      </c>
      <c r="S1017" s="32" t="str">
        <f aca="false">IF(F1017="","",IF(N(O1017)=0,"",IF(O1017&lt;=30,"1-30",IF(O1017&lt;=60,"31-60",IF(O1017&lt;=90,"61-90","90+")))))</f>
        <v/>
      </c>
      <c r="T1017" s="32" t="str">
        <f aca="false">IF(F1017="","",IF(E1017="","Diğer",E1017))</f>
        <v/>
      </c>
      <c r="U1017" s="32" t="str">
        <f aca="false">IF(OR(F1017="",C1017=""),"",IF(COUNTIF($C$2:C1017,C1017)=1,MAX($U$1:U1016)+1,""))</f>
        <v/>
      </c>
    </row>
    <row r="1018" customFormat="false" ht="15" hidden="false" customHeight="false" outlineLevel="0" collapsed="false">
      <c r="A1018" s="34"/>
      <c r="B1018" s="9"/>
      <c r="C1018" s="34"/>
      <c r="D1018" s="34"/>
      <c r="E1018" s="34"/>
      <c r="F1018" s="35"/>
      <c r="G1018" s="9"/>
      <c r="H1018" s="9"/>
      <c r="I1018" s="34"/>
      <c r="J1018" s="30" t="str">
        <f aca="false">IF(F1018="","",G1018-B1018)</f>
        <v/>
      </c>
      <c r="K1018" s="31" t="str">
        <f aca="false">IF(F1018="","",IF(H1018&lt;&gt;"",H1018,MAX('Vade Sapması'!$D$3,G1018)))</f>
        <v/>
      </c>
      <c r="L1018" s="30" t="str">
        <f aca="false">IF(F1018="","",K1018-B1018)</f>
        <v/>
      </c>
      <c r="M1018" s="30" t="str">
        <f aca="false">IF(F1018="","",L1018-J1018)</f>
        <v/>
      </c>
      <c r="N1018" s="32" t="str">
        <f aca="false">IF(F1018="","",IF(H1018&lt;&gt;"","Kapandı",IF('Vade Sapması'!$D$3&gt;G1018,"Açık · vadesi geçti","Açık · vadesi gelmedi")))</f>
        <v/>
      </c>
      <c r="O1018" s="30" t="str">
        <f aca="false">IF(F1018="","",IF(AND(H1018="",'Vade Sapması'!$D$3&gt;G1018),'Vade Sapması'!$D$3-G1018,0))</f>
        <v/>
      </c>
      <c r="P1018" s="33" t="str">
        <f aca="false">IF(F1018="","",F1018*J1018)</f>
        <v/>
      </c>
      <c r="Q1018" s="33" t="str">
        <f aca="false">IF(F1018="","",F1018*L1018)</f>
        <v/>
      </c>
      <c r="R1018" s="33" t="str">
        <f aca="false">IF(F1018="","",IF(H1018="",F1018,0))</f>
        <v/>
      </c>
      <c r="S1018" s="32" t="str">
        <f aca="false">IF(F1018="","",IF(N(O1018)=0,"",IF(O1018&lt;=30,"1-30",IF(O1018&lt;=60,"31-60",IF(O1018&lt;=90,"61-90","90+")))))</f>
        <v/>
      </c>
      <c r="T1018" s="32" t="str">
        <f aca="false">IF(F1018="","",IF(E1018="","Diğer",E1018))</f>
        <v/>
      </c>
      <c r="U1018" s="32" t="str">
        <f aca="false">IF(OR(F1018="",C1018=""),"",IF(COUNTIF($C$2:C1018,C1018)=1,MAX($U$1:U1017)+1,""))</f>
        <v/>
      </c>
    </row>
    <row r="1019" customFormat="false" ht="15" hidden="false" customHeight="false" outlineLevel="0" collapsed="false">
      <c r="A1019" s="34"/>
      <c r="B1019" s="9"/>
      <c r="C1019" s="34"/>
      <c r="D1019" s="34"/>
      <c r="E1019" s="34"/>
      <c r="F1019" s="35"/>
      <c r="G1019" s="9"/>
      <c r="H1019" s="9"/>
      <c r="I1019" s="34"/>
      <c r="J1019" s="30" t="str">
        <f aca="false">IF(F1019="","",G1019-B1019)</f>
        <v/>
      </c>
      <c r="K1019" s="31" t="str">
        <f aca="false">IF(F1019="","",IF(H1019&lt;&gt;"",H1019,MAX('Vade Sapması'!$D$3,G1019)))</f>
        <v/>
      </c>
      <c r="L1019" s="30" t="str">
        <f aca="false">IF(F1019="","",K1019-B1019)</f>
        <v/>
      </c>
      <c r="M1019" s="30" t="str">
        <f aca="false">IF(F1019="","",L1019-J1019)</f>
        <v/>
      </c>
      <c r="N1019" s="32" t="str">
        <f aca="false">IF(F1019="","",IF(H1019&lt;&gt;"","Kapandı",IF('Vade Sapması'!$D$3&gt;G1019,"Açık · vadesi geçti","Açık · vadesi gelmedi")))</f>
        <v/>
      </c>
      <c r="O1019" s="30" t="str">
        <f aca="false">IF(F1019="","",IF(AND(H1019="",'Vade Sapması'!$D$3&gt;G1019),'Vade Sapması'!$D$3-G1019,0))</f>
        <v/>
      </c>
      <c r="P1019" s="33" t="str">
        <f aca="false">IF(F1019="","",F1019*J1019)</f>
        <v/>
      </c>
      <c r="Q1019" s="33" t="str">
        <f aca="false">IF(F1019="","",F1019*L1019)</f>
        <v/>
      </c>
      <c r="R1019" s="33" t="str">
        <f aca="false">IF(F1019="","",IF(H1019="",F1019,0))</f>
        <v/>
      </c>
      <c r="S1019" s="32" t="str">
        <f aca="false">IF(F1019="","",IF(N(O1019)=0,"",IF(O1019&lt;=30,"1-30",IF(O1019&lt;=60,"31-60",IF(O1019&lt;=90,"61-90","90+")))))</f>
        <v/>
      </c>
      <c r="T1019" s="32" t="str">
        <f aca="false">IF(F1019="","",IF(E1019="","Diğer",E1019))</f>
        <v/>
      </c>
      <c r="U1019" s="32" t="str">
        <f aca="false">IF(OR(F1019="",C1019=""),"",IF(COUNTIF($C$2:C1019,C1019)=1,MAX($U$1:U1018)+1,""))</f>
        <v/>
      </c>
    </row>
    <row r="1020" customFormat="false" ht="15" hidden="false" customHeight="false" outlineLevel="0" collapsed="false">
      <c r="A1020" s="34"/>
      <c r="B1020" s="9"/>
      <c r="C1020" s="34"/>
      <c r="D1020" s="34"/>
      <c r="E1020" s="34"/>
      <c r="F1020" s="35"/>
      <c r="G1020" s="9"/>
      <c r="H1020" s="9"/>
      <c r="I1020" s="34"/>
      <c r="J1020" s="30" t="str">
        <f aca="false">IF(F1020="","",G1020-B1020)</f>
        <v/>
      </c>
      <c r="K1020" s="31" t="str">
        <f aca="false">IF(F1020="","",IF(H1020&lt;&gt;"",H1020,MAX('Vade Sapması'!$D$3,G1020)))</f>
        <v/>
      </c>
      <c r="L1020" s="30" t="str">
        <f aca="false">IF(F1020="","",K1020-B1020)</f>
        <v/>
      </c>
      <c r="M1020" s="30" t="str">
        <f aca="false">IF(F1020="","",L1020-J1020)</f>
        <v/>
      </c>
      <c r="N1020" s="32" t="str">
        <f aca="false">IF(F1020="","",IF(H1020&lt;&gt;"","Kapandı",IF('Vade Sapması'!$D$3&gt;G1020,"Açık · vadesi geçti","Açık · vadesi gelmedi")))</f>
        <v/>
      </c>
      <c r="O1020" s="30" t="str">
        <f aca="false">IF(F1020="","",IF(AND(H1020="",'Vade Sapması'!$D$3&gt;G1020),'Vade Sapması'!$D$3-G1020,0))</f>
        <v/>
      </c>
      <c r="P1020" s="33" t="str">
        <f aca="false">IF(F1020="","",F1020*J1020)</f>
        <v/>
      </c>
      <c r="Q1020" s="33" t="str">
        <f aca="false">IF(F1020="","",F1020*L1020)</f>
        <v/>
      </c>
      <c r="R1020" s="33" t="str">
        <f aca="false">IF(F1020="","",IF(H1020="",F1020,0))</f>
        <v/>
      </c>
      <c r="S1020" s="32" t="str">
        <f aca="false">IF(F1020="","",IF(N(O1020)=0,"",IF(O1020&lt;=30,"1-30",IF(O1020&lt;=60,"31-60",IF(O1020&lt;=90,"61-90","90+")))))</f>
        <v/>
      </c>
      <c r="T1020" s="32" t="str">
        <f aca="false">IF(F1020="","",IF(E1020="","Diğer",E1020))</f>
        <v/>
      </c>
      <c r="U1020" s="32" t="str">
        <f aca="false">IF(OR(F1020="",C1020=""),"",IF(COUNTIF($C$2:C1020,C1020)=1,MAX($U$1:U1019)+1,""))</f>
        <v/>
      </c>
    </row>
    <row r="1021" customFormat="false" ht="15" hidden="false" customHeight="false" outlineLevel="0" collapsed="false">
      <c r="A1021" s="34"/>
      <c r="B1021" s="9"/>
      <c r="C1021" s="34"/>
      <c r="D1021" s="34"/>
      <c r="E1021" s="34"/>
      <c r="F1021" s="35"/>
      <c r="G1021" s="9"/>
      <c r="H1021" s="9"/>
      <c r="I1021" s="34"/>
      <c r="J1021" s="30" t="str">
        <f aca="false">IF(F1021="","",G1021-B1021)</f>
        <v/>
      </c>
      <c r="K1021" s="31" t="str">
        <f aca="false">IF(F1021="","",IF(H1021&lt;&gt;"",H1021,MAX('Vade Sapması'!$D$3,G1021)))</f>
        <v/>
      </c>
      <c r="L1021" s="30" t="str">
        <f aca="false">IF(F1021="","",K1021-B1021)</f>
        <v/>
      </c>
      <c r="M1021" s="30" t="str">
        <f aca="false">IF(F1021="","",L1021-J1021)</f>
        <v/>
      </c>
      <c r="N1021" s="32" t="str">
        <f aca="false">IF(F1021="","",IF(H1021&lt;&gt;"","Kapandı",IF('Vade Sapması'!$D$3&gt;G1021,"Açık · vadesi geçti","Açık · vadesi gelmedi")))</f>
        <v/>
      </c>
      <c r="O1021" s="30" t="str">
        <f aca="false">IF(F1021="","",IF(AND(H1021="",'Vade Sapması'!$D$3&gt;G1021),'Vade Sapması'!$D$3-G1021,0))</f>
        <v/>
      </c>
      <c r="P1021" s="33" t="str">
        <f aca="false">IF(F1021="","",F1021*J1021)</f>
        <v/>
      </c>
      <c r="Q1021" s="33" t="str">
        <f aca="false">IF(F1021="","",F1021*L1021)</f>
        <v/>
      </c>
      <c r="R1021" s="33" t="str">
        <f aca="false">IF(F1021="","",IF(H1021="",F1021,0))</f>
        <v/>
      </c>
      <c r="S1021" s="32" t="str">
        <f aca="false">IF(F1021="","",IF(N(O1021)=0,"",IF(O1021&lt;=30,"1-30",IF(O1021&lt;=60,"31-60",IF(O1021&lt;=90,"61-90","90+")))))</f>
        <v/>
      </c>
      <c r="T1021" s="32" t="str">
        <f aca="false">IF(F1021="","",IF(E1021="","Diğer",E1021))</f>
        <v/>
      </c>
      <c r="U1021" s="32" t="str">
        <f aca="false">IF(OR(F1021="",C1021=""),"",IF(COUNTIF($C$2:C1021,C1021)=1,MAX($U$1:U1020)+1,""))</f>
        <v/>
      </c>
    </row>
    <row r="1022" customFormat="false" ht="15" hidden="false" customHeight="false" outlineLevel="0" collapsed="false">
      <c r="A1022" s="34"/>
      <c r="B1022" s="9"/>
      <c r="C1022" s="34"/>
      <c r="D1022" s="34"/>
      <c r="E1022" s="34"/>
      <c r="F1022" s="35"/>
      <c r="G1022" s="9"/>
      <c r="H1022" s="9"/>
      <c r="I1022" s="34"/>
      <c r="J1022" s="30" t="str">
        <f aca="false">IF(F1022="","",G1022-B1022)</f>
        <v/>
      </c>
      <c r="K1022" s="31" t="str">
        <f aca="false">IF(F1022="","",IF(H1022&lt;&gt;"",H1022,MAX('Vade Sapması'!$D$3,G1022)))</f>
        <v/>
      </c>
      <c r="L1022" s="30" t="str">
        <f aca="false">IF(F1022="","",K1022-B1022)</f>
        <v/>
      </c>
      <c r="M1022" s="30" t="str">
        <f aca="false">IF(F1022="","",L1022-J1022)</f>
        <v/>
      </c>
      <c r="N1022" s="32" t="str">
        <f aca="false">IF(F1022="","",IF(H1022&lt;&gt;"","Kapandı",IF('Vade Sapması'!$D$3&gt;G1022,"Açık · vadesi geçti","Açık · vadesi gelmedi")))</f>
        <v/>
      </c>
      <c r="O1022" s="30" t="str">
        <f aca="false">IF(F1022="","",IF(AND(H1022="",'Vade Sapması'!$D$3&gt;G1022),'Vade Sapması'!$D$3-G1022,0))</f>
        <v/>
      </c>
      <c r="P1022" s="33" t="str">
        <f aca="false">IF(F1022="","",F1022*J1022)</f>
        <v/>
      </c>
      <c r="Q1022" s="33" t="str">
        <f aca="false">IF(F1022="","",F1022*L1022)</f>
        <v/>
      </c>
      <c r="R1022" s="33" t="str">
        <f aca="false">IF(F1022="","",IF(H1022="",F1022,0))</f>
        <v/>
      </c>
      <c r="S1022" s="32" t="str">
        <f aca="false">IF(F1022="","",IF(N(O1022)=0,"",IF(O1022&lt;=30,"1-30",IF(O1022&lt;=60,"31-60",IF(O1022&lt;=90,"61-90","90+")))))</f>
        <v/>
      </c>
      <c r="T1022" s="32" t="str">
        <f aca="false">IF(F1022="","",IF(E1022="","Diğer",E1022))</f>
        <v/>
      </c>
      <c r="U1022" s="32" t="str">
        <f aca="false">IF(OR(F1022="",C1022=""),"",IF(COUNTIF($C$2:C1022,C1022)=1,MAX($U$1:U1021)+1,""))</f>
        <v/>
      </c>
    </row>
    <row r="1023" customFormat="false" ht="15" hidden="false" customHeight="false" outlineLevel="0" collapsed="false">
      <c r="A1023" s="34"/>
      <c r="B1023" s="9"/>
      <c r="C1023" s="34"/>
      <c r="D1023" s="34"/>
      <c r="E1023" s="34"/>
      <c r="F1023" s="35"/>
      <c r="G1023" s="9"/>
      <c r="H1023" s="9"/>
      <c r="I1023" s="34"/>
      <c r="J1023" s="30" t="str">
        <f aca="false">IF(F1023="","",G1023-B1023)</f>
        <v/>
      </c>
      <c r="K1023" s="31" t="str">
        <f aca="false">IF(F1023="","",IF(H1023&lt;&gt;"",H1023,MAX('Vade Sapması'!$D$3,G1023)))</f>
        <v/>
      </c>
      <c r="L1023" s="30" t="str">
        <f aca="false">IF(F1023="","",K1023-B1023)</f>
        <v/>
      </c>
      <c r="M1023" s="30" t="str">
        <f aca="false">IF(F1023="","",L1023-J1023)</f>
        <v/>
      </c>
      <c r="N1023" s="32" t="str">
        <f aca="false">IF(F1023="","",IF(H1023&lt;&gt;"","Kapandı",IF('Vade Sapması'!$D$3&gt;G1023,"Açık · vadesi geçti","Açık · vadesi gelmedi")))</f>
        <v/>
      </c>
      <c r="O1023" s="30" t="str">
        <f aca="false">IF(F1023="","",IF(AND(H1023="",'Vade Sapması'!$D$3&gt;G1023),'Vade Sapması'!$D$3-G1023,0))</f>
        <v/>
      </c>
      <c r="P1023" s="33" t="str">
        <f aca="false">IF(F1023="","",F1023*J1023)</f>
        <v/>
      </c>
      <c r="Q1023" s="33" t="str">
        <f aca="false">IF(F1023="","",F1023*L1023)</f>
        <v/>
      </c>
      <c r="R1023" s="33" t="str">
        <f aca="false">IF(F1023="","",IF(H1023="",F1023,0))</f>
        <v/>
      </c>
      <c r="S1023" s="32" t="str">
        <f aca="false">IF(F1023="","",IF(N(O1023)=0,"",IF(O1023&lt;=30,"1-30",IF(O1023&lt;=60,"31-60",IF(O1023&lt;=90,"61-90","90+")))))</f>
        <v/>
      </c>
      <c r="T1023" s="32" t="str">
        <f aca="false">IF(F1023="","",IF(E1023="","Diğer",E1023))</f>
        <v/>
      </c>
      <c r="U1023" s="32" t="str">
        <f aca="false">IF(OR(F1023="",C1023=""),"",IF(COUNTIF($C$2:C1023,C1023)=1,MAX($U$1:U1022)+1,""))</f>
        <v/>
      </c>
    </row>
    <row r="1024" customFormat="false" ht="15" hidden="false" customHeight="false" outlineLevel="0" collapsed="false">
      <c r="A1024" s="34"/>
      <c r="B1024" s="9"/>
      <c r="C1024" s="34"/>
      <c r="D1024" s="34"/>
      <c r="E1024" s="34"/>
      <c r="F1024" s="35"/>
      <c r="G1024" s="9"/>
      <c r="H1024" s="9"/>
      <c r="I1024" s="34"/>
      <c r="J1024" s="30" t="str">
        <f aca="false">IF(F1024="","",G1024-B1024)</f>
        <v/>
      </c>
      <c r="K1024" s="31" t="str">
        <f aca="false">IF(F1024="","",IF(H1024&lt;&gt;"",H1024,MAX('Vade Sapması'!$D$3,G1024)))</f>
        <v/>
      </c>
      <c r="L1024" s="30" t="str">
        <f aca="false">IF(F1024="","",K1024-B1024)</f>
        <v/>
      </c>
      <c r="M1024" s="30" t="str">
        <f aca="false">IF(F1024="","",L1024-J1024)</f>
        <v/>
      </c>
      <c r="N1024" s="32" t="str">
        <f aca="false">IF(F1024="","",IF(H1024&lt;&gt;"","Kapandı",IF('Vade Sapması'!$D$3&gt;G1024,"Açık · vadesi geçti","Açık · vadesi gelmedi")))</f>
        <v/>
      </c>
      <c r="O1024" s="30" t="str">
        <f aca="false">IF(F1024="","",IF(AND(H1024="",'Vade Sapması'!$D$3&gt;G1024),'Vade Sapması'!$D$3-G1024,0))</f>
        <v/>
      </c>
      <c r="P1024" s="33" t="str">
        <f aca="false">IF(F1024="","",F1024*J1024)</f>
        <v/>
      </c>
      <c r="Q1024" s="33" t="str">
        <f aca="false">IF(F1024="","",F1024*L1024)</f>
        <v/>
      </c>
      <c r="R1024" s="33" t="str">
        <f aca="false">IF(F1024="","",IF(H1024="",F1024,0))</f>
        <v/>
      </c>
      <c r="S1024" s="32" t="str">
        <f aca="false">IF(F1024="","",IF(N(O1024)=0,"",IF(O1024&lt;=30,"1-30",IF(O1024&lt;=60,"31-60",IF(O1024&lt;=90,"61-90","90+")))))</f>
        <v/>
      </c>
      <c r="T1024" s="32" t="str">
        <f aca="false">IF(F1024="","",IF(E1024="","Diğer",E1024))</f>
        <v/>
      </c>
      <c r="U1024" s="32" t="str">
        <f aca="false">IF(OR(F1024="",C1024=""),"",IF(COUNTIF($C$2:C1024,C1024)=1,MAX($U$1:U1023)+1,""))</f>
        <v/>
      </c>
    </row>
    <row r="1025" customFormat="false" ht="15" hidden="false" customHeight="false" outlineLevel="0" collapsed="false">
      <c r="A1025" s="34"/>
      <c r="B1025" s="9"/>
      <c r="C1025" s="34"/>
      <c r="D1025" s="34"/>
      <c r="E1025" s="34"/>
      <c r="F1025" s="35"/>
      <c r="G1025" s="9"/>
      <c r="H1025" s="9"/>
      <c r="I1025" s="34"/>
      <c r="J1025" s="30" t="str">
        <f aca="false">IF(F1025="","",G1025-B1025)</f>
        <v/>
      </c>
      <c r="K1025" s="31" t="str">
        <f aca="false">IF(F1025="","",IF(H1025&lt;&gt;"",H1025,MAX('Vade Sapması'!$D$3,G1025)))</f>
        <v/>
      </c>
      <c r="L1025" s="30" t="str">
        <f aca="false">IF(F1025="","",K1025-B1025)</f>
        <v/>
      </c>
      <c r="M1025" s="30" t="str">
        <f aca="false">IF(F1025="","",L1025-J1025)</f>
        <v/>
      </c>
      <c r="N1025" s="32" t="str">
        <f aca="false">IF(F1025="","",IF(H1025&lt;&gt;"","Kapandı",IF('Vade Sapması'!$D$3&gt;G1025,"Açık · vadesi geçti","Açık · vadesi gelmedi")))</f>
        <v/>
      </c>
      <c r="O1025" s="30" t="str">
        <f aca="false">IF(F1025="","",IF(AND(H1025="",'Vade Sapması'!$D$3&gt;G1025),'Vade Sapması'!$D$3-G1025,0))</f>
        <v/>
      </c>
      <c r="P1025" s="33" t="str">
        <f aca="false">IF(F1025="","",F1025*J1025)</f>
        <v/>
      </c>
      <c r="Q1025" s="33" t="str">
        <f aca="false">IF(F1025="","",F1025*L1025)</f>
        <v/>
      </c>
      <c r="R1025" s="33" t="str">
        <f aca="false">IF(F1025="","",IF(H1025="",F1025,0))</f>
        <v/>
      </c>
      <c r="S1025" s="32" t="str">
        <f aca="false">IF(F1025="","",IF(N(O1025)=0,"",IF(O1025&lt;=30,"1-30",IF(O1025&lt;=60,"31-60",IF(O1025&lt;=90,"61-90","90+")))))</f>
        <v/>
      </c>
      <c r="T1025" s="32" t="str">
        <f aca="false">IF(F1025="","",IF(E1025="","Diğer",E1025))</f>
        <v/>
      </c>
      <c r="U1025" s="32" t="str">
        <f aca="false">IF(OR(F1025="",C1025=""),"",IF(COUNTIF($C$2:C1025,C1025)=1,MAX($U$1:U1024)+1,""))</f>
        <v/>
      </c>
    </row>
    <row r="1026" customFormat="false" ht="15" hidden="false" customHeight="false" outlineLevel="0" collapsed="false">
      <c r="A1026" s="34"/>
      <c r="B1026" s="9"/>
      <c r="C1026" s="34"/>
      <c r="D1026" s="34"/>
      <c r="E1026" s="34"/>
      <c r="F1026" s="35"/>
      <c r="G1026" s="9"/>
      <c r="H1026" s="9"/>
      <c r="I1026" s="34"/>
      <c r="J1026" s="30" t="str">
        <f aca="false">IF(F1026="","",G1026-B1026)</f>
        <v/>
      </c>
      <c r="K1026" s="31" t="str">
        <f aca="false">IF(F1026="","",IF(H1026&lt;&gt;"",H1026,MAX('Vade Sapması'!$D$3,G1026)))</f>
        <v/>
      </c>
      <c r="L1026" s="30" t="str">
        <f aca="false">IF(F1026="","",K1026-B1026)</f>
        <v/>
      </c>
      <c r="M1026" s="30" t="str">
        <f aca="false">IF(F1026="","",L1026-J1026)</f>
        <v/>
      </c>
      <c r="N1026" s="32" t="str">
        <f aca="false">IF(F1026="","",IF(H1026&lt;&gt;"","Kapandı",IF('Vade Sapması'!$D$3&gt;G1026,"Açık · vadesi geçti","Açık · vadesi gelmedi")))</f>
        <v/>
      </c>
      <c r="O1026" s="30" t="str">
        <f aca="false">IF(F1026="","",IF(AND(H1026="",'Vade Sapması'!$D$3&gt;G1026),'Vade Sapması'!$D$3-G1026,0))</f>
        <v/>
      </c>
      <c r="P1026" s="33" t="str">
        <f aca="false">IF(F1026="","",F1026*J1026)</f>
        <v/>
      </c>
      <c r="Q1026" s="33" t="str">
        <f aca="false">IF(F1026="","",F1026*L1026)</f>
        <v/>
      </c>
      <c r="R1026" s="33" t="str">
        <f aca="false">IF(F1026="","",IF(H1026="",F1026,0))</f>
        <v/>
      </c>
      <c r="S1026" s="32" t="str">
        <f aca="false">IF(F1026="","",IF(N(O1026)=0,"",IF(O1026&lt;=30,"1-30",IF(O1026&lt;=60,"31-60",IF(O1026&lt;=90,"61-90","90+")))))</f>
        <v/>
      </c>
      <c r="T1026" s="32" t="str">
        <f aca="false">IF(F1026="","",IF(E1026="","Diğer",E1026))</f>
        <v/>
      </c>
      <c r="U1026" s="32" t="str">
        <f aca="false">IF(OR(F1026="",C1026=""),"",IF(COUNTIF($C$2:C1026,C1026)=1,MAX($U$1:U1025)+1,""))</f>
        <v/>
      </c>
    </row>
    <row r="1027" customFormat="false" ht="15" hidden="false" customHeight="false" outlineLevel="0" collapsed="false">
      <c r="A1027" s="34"/>
      <c r="B1027" s="9"/>
      <c r="C1027" s="34"/>
      <c r="D1027" s="34"/>
      <c r="E1027" s="34"/>
      <c r="F1027" s="35"/>
      <c r="G1027" s="9"/>
      <c r="H1027" s="9"/>
      <c r="I1027" s="34"/>
      <c r="J1027" s="30" t="str">
        <f aca="false">IF(F1027="","",G1027-B1027)</f>
        <v/>
      </c>
      <c r="K1027" s="31" t="str">
        <f aca="false">IF(F1027="","",IF(H1027&lt;&gt;"",H1027,MAX('Vade Sapması'!$D$3,G1027)))</f>
        <v/>
      </c>
      <c r="L1027" s="30" t="str">
        <f aca="false">IF(F1027="","",K1027-B1027)</f>
        <v/>
      </c>
      <c r="M1027" s="30" t="str">
        <f aca="false">IF(F1027="","",L1027-J1027)</f>
        <v/>
      </c>
      <c r="N1027" s="32" t="str">
        <f aca="false">IF(F1027="","",IF(H1027&lt;&gt;"","Kapandı",IF('Vade Sapması'!$D$3&gt;G1027,"Açık · vadesi geçti","Açık · vadesi gelmedi")))</f>
        <v/>
      </c>
      <c r="O1027" s="30" t="str">
        <f aca="false">IF(F1027="","",IF(AND(H1027="",'Vade Sapması'!$D$3&gt;G1027),'Vade Sapması'!$D$3-G1027,0))</f>
        <v/>
      </c>
      <c r="P1027" s="33" t="str">
        <f aca="false">IF(F1027="","",F1027*J1027)</f>
        <v/>
      </c>
      <c r="Q1027" s="33" t="str">
        <f aca="false">IF(F1027="","",F1027*L1027)</f>
        <v/>
      </c>
      <c r="R1027" s="33" t="str">
        <f aca="false">IF(F1027="","",IF(H1027="",F1027,0))</f>
        <v/>
      </c>
      <c r="S1027" s="32" t="str">
        <f aca="false">IF(F1027="","",IF(N(O1027)=0,"",IF(O1027&lt;=30,"1-30",IF(O1027&lt;=60,"31-60",IF(O1027&lt;=90,"61-90","90+")))))</f>
        <v/>
      </c>
      <c r="T1027" s="32" t="str">
        <f aca="false">IF(F1027="","",IF(E1027="","Diğer",E1027))</f>
        <v/>
      </c>
      <c r="U1027" s="32" t="str">
        <f aca="false">IF(OR(F1027="",C1027=""),"",IF(COUNTIF($C$2:C1027,C1027)=1,MAX($U$1:U1026)+1,""))</f>
        <v/>
      </c>
    </row>
    <row r="1028" customFormat="false" ht="15" hidden="false" customHeight="false" outlineLevel="0" collapsed="false">
      <c r="A1028" s="34"/>
      <c r="B1028" s="9"/>
      <c r="C1028" s="34"/>
      <c r="D1028" s="34"/>
      <c r="E1028" s="34"/>
      <c r="F1028" s="35"/>
      <c r="G1028" s="9"/>
      <c r="H1028" s="9"/>
      <c r="I1028" s="34"/>
      <c r="J1028" s="30" t="str">
        <f aca="false">IF(F1028="","",G1028-B1028)</f>
        <v/>
      </c>
      <c r="K1028" s="31" t="str">
        <f aca="false">IF(F1028="","",IF(H1028&lt;&gt;"",H1028,MAX('Vade Sapması'!$D$3,G1028)))</f>
        <v/>
      </c>
      <c r="L1028" s="30" t="str">
        <f aca="false">IF(F1028="","",K1028-B1028)</f>
        <v/>
      </c>
      <c r="M1028" s="30" t="str">
        <f aca="false">IF(F1028="","",L1028-J1028)</f>
        <v/>
      </c>
      <c r="N1028" s="32" t="str">
        <f aca="false">IF(F1028="","",IF(H1028&lt;&gt;"","Kapandı",IF('Vade Sapması'!$D$3&gt;G1028,"Açık · vadesi geçti","Açık · vadesi gelmedi")))</f>
        <v/>
      </c>
      <c r="O1028" s="30" t="str">
        <f aca="false">IF(F1028="","",IF(AND(H1028="",'Vade Sapması'!$D$3&gt;G1028),'Vade Sapması'!$D$3-G1028,0))</f>
        <v/>
      </c>
      <c r="P1028" s="33" t="str">
        <f aca="false">IF(F1028="","",F1028*J1028)</f>
        <v/>
      </c>
      <c r="Q1028" s="33" t="str">
        <f aca="false">IF(F1028="","",F1028*L1028)</f>
        <v/>
      </c>
      <c r="R1028" s="33" t="str">
        <f aca="false">IF(F1028="","",IF(H1028="",F1028,0))</f>
        <v/>
      </c>
      <c r="S1028" s="32" t="str">
        <f aca="false">IF(F1028="","",IF(N(O1028)=0,"",IF(O1028&lt;=30,"1-30",IF(O1028&lt;=60,"31-60",IF(O1028&lt;=90,"61-90","90+")))))</f>
        <v/>
      </c>
      <c r="T1028" s="32" t="str">
        <f aca="false">IF(F1028="","",IF(E1028="","Diğer",E1028))</f>
        <v/>
      </c>
      <c r="U1028" s="32" t="str">
        <f aca="false">IF(OR(F1028="",C1028=""),"",IF(COUNTIF($C$2:C1028,C1028)=1,MAX($U$1:U1027)+1,""))</f>
        <v/>
      </c>
    </row>
    <row r="1029" customFormat="false" ht="15" hidden="false" customHeight="false" outlineLevel="0" collapsed="false">
      <c r="A1029" s="34"/>
      <c r="B1029" s="9"/>
      <c r="C1029" s="34"/>
      <c r="D1029" s="34"/>
      <c r="E1029" s="34"/>
      <c r="F1029" s="35"/>
      <c r="G1029" s="9"/>
      <c r="H1029" s="9"/>
      <c r="I1029" s="34"/>
      <c r="J1029" s="30" t="str">
        <f aca="false">IF(F1029="","",G1029-B1029)</f>
        <v/>
      </c>
      <c r="K1029" s="31" t="str">
        <f aca="false">IF(F1029="","",IF(H1029&lt;&gt;"",H1029,MAX('Vade Sapması'!$D$3,G1029)))</f>
        <v/>
      </c>
      <c r="L1029" s="30" t="str">
        <f aca="false">IF(F1029="","",K1029-B1029)</f>
        <v/>
      </c>
      <c r="M1029" s="30" t="str">
        <f aca="false">IF(F1029="","",L1029-J1029)</f>
        <v/>
      </c>
      <c r="N1029" s="32" t="str">
        <f aca="false">IF(F1029="","",IF(H1029&lt;&gt;"","Kapandı",IF('Vade Sapması'!$D$3&gt;G1029,"Açık · vadesi geçti","Açık · vadesi gelmedi")))</f>
        <v/>
      </c>
      <c r="O1029" s="30" t="str">
        <f aca="false">IF(F1029="","",IF(AND(H1029="",'Vade Sapması'!$D$3&gt;G1029),'Vade Sapması'!$D$3-G1029,0))</f>
        <v/>
      </c>
      <c r="P1029" s="33" t="str">
        <f aca="false">IF(F1029="","",F1029*J1029)</f>
        <v/>
      </c>
      <c r="Q1029" s="33" t="str">
        <f aca="false">IF(F1029="","",F1029*L1029)</f>
        <v/>
      </c>
      <c r="R1029" s="33" t="str">
        <f aca="false">IF(F1029="","",IF(H1029="",F1029,0))</f>
        <v/>
      </c>
      <c r="S1029" s="32" t="str">
        <f aca="false">IF(F1029="","",IF(N(O1029)=0,"",IF(O1029&lt;=30,"1-30",IF(O1029&lt;=60,"31-60",IF(O1029&lt;=90,"61-90","90+")))))</f>
        <v/>
      </c>
      <c r="T1029" s="32" t="str">
        <f aca="false">IF(F1029="","",IF(E1029="","Diğer",E1029))</f>
        <v/>
      </c>
      <c r="U1029" s="32" t="str">
        <f aca="false">IF(OR(F1029="",C1029=""),"",IF(COUNTIF($C$2:C1029,C1029)=1,MAX($U$1:U1028)+1,""))</f>
        <v/>
      </c>
    </row>
    <row r="1030" customFormat="false" ht="15" hidden="false" customHeight="false" outlineLevel="0" collapsed="false">
      <c r="A1030" s="34"/>
      <c r="B1030" s="9"/>
      <c r="C1030" s="34"/>
      <c r="D1030" s="34"/>
      <c r="E1030" s="34"/>
      <c r="F1030" s="35"/>
      <c r="G1030" s="9"/>
      <c r="H1030" s="9"/>
      <c r="I1030" s="34"/>
      <c r="J1030" s="30" t="str">
        <f aca="false">IF(F1030="","",G1030-B1030)</f>
        <v/>
      </c>
      <c r="K1030" s="31" t="str">
        <f aca="false">IF(F1030="","",IF(H1030&lt;&gt;"",H1030,MAX('Vade Sapması'!$D$3,G1030)))</f>
        <v/>
      </c>
      <c r="L1030" s="30" t="str">
        <f aca="false">IF(F1030="","",K1030-B1030)</f>
        <v/>
      </c>
      <c r="M1030" s="30" t="str">
        <f aca="false">IF(F1030="","",L1030-J1030)</f>
        <v/>
      </c>
      <c r="N1030" s="32" t="str">
        <f aca="false">IF(F1030="","",IF(H1030&lt;&gt;"","Kapandı",IF('Vade Sapması'!$D$3&gt;G1030,"Açık · vadesi geçti","Açık · vadesi gelmedi")))</f>
        <v/>
      </c>
      <c r="O1030" s="30" t="str">
        <f aca="false">IF(F1030="","",IF(AND(H1030="",'Vade Sapması'!$D$3&gt;G1030),'Vade Sapması'!$D$3-G1030,0))</f>
        <v/>
      </c>
      <c r="P1030" s="33" t="str">
        <f aca="false">IF(F1030="","",F1030*J1030)</f>
        <v/>
      </c>
      <c r="Q1030" s="33" t="str">
        <f aca="false">IF(F1030="","",F1030*L1030)</f>
        <v/>
      </c>
      <c r="R1030" s="33" t="str">
        <f aca="false">IF(F1030="","",IF(H1030="",F1030,0))</f>
        <v/>
      </c>
      <c r="S1030" s="32" t="str">
        <f aca="false">IF(F1030="","",IF(N(O1030)=0,"",IF(O1030&lt;=30,"1-30",IF(O1030&lt;=60,"31-60",IF(O1030&lt;=90,"61-90","90+")))))</f>
        <v/>
      </c>
      <c r="T1030" s="32" t="str">
        <f aca="false">IF(F1030="","",IF(E1030="","Diğer",E1030))</f>
        <v/>
      </c>
      <c r="U1030" s="32" t="str">
        <f aca="false">IF(OR(F1030="",C1030=""),"",IF(COUNTIF($C$2:C1030,C1030)=1,MAX($U$1:U1029)+1,""))</f>
        <v/>
      </c>
    </row>
    <row r="1031" customFormat="false" ht="15" hidden="false" customHeight="false" outlineLevel="0" collapsed="false">
      <c r="A1031" s="34"/>
      <c r="B1031" s="9"/>
      <c r="C1031" s="34"/>
      <c r="D1031" s="34"/>
      <c r="E1031" s="34"/>
      <c r="F1031" s="35"/>
      <c r="G1031" s="9"/>
      <c r="H1031" s="9"/>
      <c r="I1031" s="34"/>
      <c r="J1031" s="30" t="str">
        <f aca="false">IF(F1031="","",G1031-B1031)</f>
        <v/>
      </c>
      <c r="K1031" s="31" t="str">
        <f aca="false">IF(F1031="","",IF(H1031&lt;&gt;"",H1031,MAX('Vade Sapması'!$D$3,G1031)))</f>
        <v/>
      </c>
      <c r="L1031" s="30" t="str">
        <f aca="false">IF(F1031="","",K1031-B1031)</f>
        <v/>
      </c>
      <c r="M1031" s="30" t="str">
        <f aca="false">IF(F1031="","",L1031-J1031)</f>
        <v/>
      </c>
      <c r="N1031" s="32" t="str">
        <f aca="false">IF(F1031="","",IF(H1031&lt;&gt;"","Kapandı",IF('Vade Sapması'!$D$3&gt;G1031,"Açık · vadesi geçti","Açık · vadesi gelmedi")))</f>
        <v/>
      </c>
      <c r="O1031" s="30" t="str">
        <f aca="false">IF(F1031="","",IF(AND(H1031="",'Vade Sapması'!$D$3&gt;G1031),'Vade Sapması'!$D$3-G1031,0))</f>
        <v/>
      </c>
      <c r="P1031" s="33" t="str">
        <f aca="false">IF(F1031="","",F1031*J1031)</f>
        <v/>
      </c>
      <c r="Q1031" s="33" t="str">
        <f aca="false">IF(F1031="","",F1031*L1031)</f>
        <v/>
      </c>
      <c r="R1031" s="33" t="str">
        <f aca="false">IF(F1031="","",IF(H1031="",F1031,0))</f>
        <v/>
      </c>
      <c r="S1031" s="32" t="str">
        <f aca="false">IF(F1031="","",IF(N(O1031)=0,"",IF(O1031&lt;=30,"1-30",IF(O1031&lt;=60,"31-60",IF(O1031&lt;=90,"61-90","90+")))))</f>
        <v/>
      </c>
      <c r="T1031" s="32" t="str">
        <f aca="false">IF(F1031="","",IF(E1031="","Diğer",E1031))</f>
        <v/>
      </c>
      <c r="U1031" s="32" t="str">
        <f aca="false">IF(OR(F1031="",C1031=""),"",IF(COUNTIF($C$2:C1031,C1031)=1,MAX($U$1:U1030)+1,""))</f>
        <v/>
      </c>
    </row>
    <row r="1032" customFormat="false" ht="15" hidden="false" customHeight="false" outlineLevel="0" collapsed="false">
      <c r="A1032" s="34"/>
      <c r="B1032" s="9"/>
      <c r="C1032" s="34"/>
      <c r="D1032" s="34"/>
      <c r="E1032" s="34"/>
      <c r="F1032" s="35"/>
      <c r="G1032" s="9"/>
      <c r="H1032" s="9"/>
      <c r="I1032" s="34"/>
      <c r="J1032" s="30" t="str">
        <f aca="false">IF(F1032="","",G1032-B1032)</f>
        <v/>
      </c>
      <c r="K1032" s="31" t="str">
        <f aca="false">IF(F1032="","",IF(H1032&lt;&gt;"",H1032,MAX('Vade Sapması'!$D$3,G1032)))</f>
        <v/>
      </c>
      <c r="L1032" s="30" t="str">
        <f aca="false">IF(F1032="","",K1032-B1032)</f>
        <v/>
      </c>
      <c r="M1032" s="30" t="str">
        <f aca="false">IF(F1032="","",L1032-J1032)</f>
        <v/>
      </c>
      <c r="N1032" s="32" t="str">
        <f aca="false">IF(F1032="","",IF(H1032&lt;&gt;"","Kapandı",IF('Vade Sapması'!$D$3&gt;G1032,"Açık · vadesi geçti","Açık · vadesi gelmedi")))</f>
        <v/>
      </c>
      <c r="O1032" s="30" t="str">
        <f aca="false">IF(F1032="","",IF(AND(H1032="",'Vade Sapması'!$D$3&gt;G1032),'Vade Sapması'!$D$3-G1032,0))</f>
        <v/>
      </c>
      <c r="P1032" s="33" t="str">
        <f aca="false">IF(F1032="","",F1032*J1032)</f>
        <v/>
      </c>
      <c r="Q1032" s="33" t="str">
        <f aca="false">IF(F1032="","",F1032*L1032)</f>
        <v/>
      </c>
      <c r="R1032" s="33" t="str">
        <f aca="false">IF(F1032="","",IF(H1032="",F1032,0))</f>
        <v/>
      </c>
      <c r="S1032" s="32" t="str">
        <f aca="false">IF(F1032="","",IF(N(O1032)=0,"",IF(O1032&lt;=30,"1-30",IF(O1032&lt;=60,"31-60",IF(O1032&lt;=90,"61-90","90+")))))</f>
        <v/>
      </c>
      <c r="T1032" s="32" t="str">
        <f aca="false">IF(F1032="","",IF(E1032="","Diğer",E1032))</f>
        <v/>
      </c>
      <c r="U1032" s="32" t="str">
        <f aca="false">IF(OR(F1032="",C1032=""),"",IF(COUNTIF($C$2:C1032,C1032)=1,MAX($U$1:U1031)+1,""))</f>
        <v/>
      </c>
    </row>
    <row r="1033" customFormat="false" ht="15" hidden="false" customHeight="false" outlineLevel="0" collapsed="false">
      <c r="A1033" s="34"/>
      <c r="B1033" s="9"/>
      <c r="C1033" s="34"/>
      <c r="D1033" s="34"/>
      <c r="E1033" s="34"/>
      <c r="F1033" s="35"/>
      <c r="G1033" s="9"/>
      <c r="H1033" s="9"/>
      <c r="I1033" s="34"/>
      <c r="J1033" s="30" t="str">
        <f aca="false">IF(F1033="","",G1033-B1033)</f>
        <v/>
      </c>
      <c r="K1033" s="31" t="str">
        <f aca="false">IF(F1033="","",IF(H1033&lt;&gt;"",H1033,MAX('Vade Sapması'!$D$3,G1033)))</f>
        <v/>
      </c>
      <c r="L1033" s="30" t="str">
        <f aca="false">IF(F1033="","",K1033-B1033)</f>
        <v/>
      </c>
      <c r="M1033" s="30" t="str">
        <f aca="false">IF(F1033="","",L1033-J1033)</f>
        <v/>
      </c>
      <c r="N1033" s="32" t="str">
        <f aca="false">IF(F1033="","",IF(H1033&lt;&gt;"","Kapandı",IF('Vade Sapması'!$D$3&gt;G1033,"Açık · vadesi geçti","Açık · vadesi gelmedi")))</f>
        <v/>
      </c>
      <c r="O1033" s="30" t="str">
        <f aca="false">IF(F1033="","",IF(AND(H1033="",'Vade Sapması'!$D$3&gt;G1033),'Vade Sapması'!$D$3-G1033,0))</f>
        <v/>
      </c>
      <c r="P1033" s="33" t="str">
        <f aca="false">IF(F1033="","",F1033*J1033)</f>
        <v/>
      </c>
      <c r="Q1033" s="33" t="str">
        <f aca="false">IF(F1033="","",F1033*L1033)</f>
        <v/>
      </c>
      <c r="R1033" s="33" t="str">
        <f aca="false">IF(F1033="","",IF(H1033="",F1033,0))</f>
        <v/>
      </c>
      <c r="S1033" s="32" t="str">
        <f aca="false">IF(F1033="","",IF(N(O1033)=0,"",IF(O1033&lt;=30,"1-30",IF(O1033&lt;=60,"31-60",IF(O1033&lt;=90,"61-90","90+")))))</f>
        <v/>
      </c>
      <c r="T1033" s="32" t="str">
        <f aca="false">IF(F1033="","",IF(E1033="","Diğer",E1033))</f>
        <v/>
      </c>
      <c r="U1033" s="32" t="str">
        <f aca="false">IF(OR(F1033="",C1033=""),"",IF(COUNTIF($C$2:C1033,C1033)=1,MAX($U$1:U1032)+1,""))</f>
        <v/>
      </c>
    </row>
    <row r="1034" customFormat="false" ht="15" hidden="false" customHeight="false" outlineLevel="0" collapsed="false">
      <c r="A1034" s="34"/>
      <c r="B1034" s="9"/>
      <c r="C1034" s="34"/>
      <c r="D1034" s="34"/>
      <c r="E1034" s="34"/>
      <c r="F1034" s="35"/>
      <c r="G1034" s="9"/>
      <c r="H1034" s="9"/>
      <c r="I1034" s="34"/>
      <c r="J1034" s="30" t="str">
        <f aca="false">IF(F1034="","",G1034-B1034)</f>
        <v/>
      </c>
      <c r="K1034" s="31" t="str">
        <f aca="false">IF(F1034="","",IF(H1034&lt;&gt;"",H1034,MAX('Vade Sapması'!$D$3,G1034)))</f>
        <v/>
      </c>
      <c r="L1034" s="30" t="str">
        <f aca="false">IF(F1034="","",K1034-B1034)</f>
        <v/>
      </c>
      <c r="M1034" s="30" t="str">
        <f aca="false">IF(F1034="","",L1034-J1034)</f>
        <v/>
      </c>
      <c r="N1034" s="32" t="str">
        <f aca="false">IF(F1034="","",IF(H1034&lt;&gt;"","Kapandı",IF('Vade Sapması'!$D$3&gt;G1034,"Açık · vadesi geçti","Açık · vadesi gelmedi")))</f>
        <v/>
      </c>
      <c r="O1034" s="30" t="str">
        <f aca="false">IF(F1034="","",IF(AND(H1034="",'Vade Sapması'!$D$3&gt;G1034),'Vade Sapması'!$D$3-G1034,0))</f>
        <v/>
      </c>
      <c r="P1034" s="33" t="str">
        <f aca="false">IF(F1034="","",F1034*J1034)</f>
        <v/>
      </c>
      <c r="Q1034" s="33" t="str">
        <f aca="false">IF(F1034="","",F1034*L1034)</f>
        <v/>
      </c>
      <c r="R1034" s="33" t="str">
        <f aca="false">IF(F1034="","",IF(H1034="",F1034,0))</f>
        <v/>
      </c>
      <c r="S1034" s="32" t="str">
        <f aca="false">IF(F1034="","",IF(N(O1034)=0,"",IF(O1034&lt;=30,"1-30",IF(O1034&lt;=60,"31-60",IF(O1034&lt;=90,"61-90","90+")))))</f>
        <v/>
      </c>
      <c r="T1034" s="32" t="str">
        <f aca="false">IF(F1034="","",IF(E1034="","Diğer",E1034))</f>
        <v/>
      </c>
      <c r="U1034" s="32" t="str">
        <f aca="false">IF(OR(F1034="",C1034=""),"",IF(COUNTIF($C$2:C1034,C1034)=1,MAX($U$1:U1033)+1,""))</f>
        <v/>
      </c>
    </row>
    <row r="1035" customFormat="false" ht="15" hidden="false" customHeight="false" outlineLevel="0" collapsed="false">
      <c r="A1035" s="34"/>
      <c r="B1035" s="9"/>
      <c r="C1035" s="34"/>
      <c r="D1035" s="34"/>
      <c r="E1035" s="34"/>
      <c r="F1035" s="35"/>
      <c r="G1035" s="9"/>
      <c r="H1035" s="9"/>
      <c r="I1035" s="34"/>
      <c r="J1035" s="30" t="str">
        <f aca="false">IF(F1035="","",G1035-B1035)</f>
        <v/>
      </c>
      <c r="K1035" s="31" t="str">
        <f aca="false">IF(F1035="","",IF(H1035&lt;&gt;"",H1035,MAX('Vade Sapması'!$D$3,G1035)))</f>
        <v/>
      </c>
      <c r="L1035" s="30" t="str">
        <f aca="false">IF(F1035="","",K1035-B1035)</f>
        <v/>
      </c>
      <c r="M1035" s="30" t="str">
        <f aca="false">IF(F1035="","",L1035-J1035)</f>
        <v/>
      </c>
      <c r="N1035" s="32" t="str">
        <f aca="false">IF(F1035="","",IF(H1035&lt;&gt;"","Kapandı",IF('Vade Sapması'!$D$3&gt;G1035,"Açık · vadesi geçti","Açık · vadesi gelmedi")))</f>
        <v/>
      </c>
      <c r="O1035" s="30" t="str">
        <f aca="false">IF(F1035="","",IF(AND(H1035="",'Vade Sapması'!$D$3&gt;G1035),'Vade Sapması'!$D$3-G1035,0))</f>
        <v/>
      </c>
      <c r="P1035" s="33" t="str">
        <f aca="false">IF(F1035="","",F1035*J1035)</f>
        <v/>
      </c>
      <c r="Q1035" s="33" t="str">
        <f aca="false">IF(F1035="","",F1035*L1035)</f>
        <v/>
      </c>
      <c r="R1035" s="33" t="str">
        <f aca="false">IF(F1035="","",IF(H1035="",F1035,0))</f>
        <v/>
      </c>
      <c r="S1035" s="32" t="str">
        <f aca="false">IF(F1035="","",IF(N(O1035)=0,"",IF(O1035&lt;=30,"1-30",IF(O1035&lt;=60,"31-60",IF(O1035&lt;=90,"61-90","90+")))))</f>
        <v/>
      </c>
      <c r="T1035" s="32" t="str">
        <f aca="false">IF(F1035="","",IF(E1035="","Diğer",E1035))</f>
        <v/>
      </c>
      <c r="U1035" s="32" t="str">
        <f aca="false">IF(OR(F1035="",C1035=""),"",IF(COUNTIF($C$2:C1035,C1035)=1,MAX($U$1:U1034)+1,""))</f>
        <v/>
      </c>
    </row>
    <row r="1036" customFormat="false" ht="15" hidden="false" customHeight="false" outlineLevel="0" collapsed="false">
      <c r="A1036" s="34"/>
      <c r="B1036" s="9"/>
      <c r="C1036" s="34"/>
      <c r="D1036" s="34"/>
      <c r="E1036" s="34"/>
      <c r="F1036" s="35"/>
      <c r="G1036" s="9"/>
      <c r="H1036" s="9"/>
      <c r="I1036" s="34"/>
      <c r="J1036" s="30" t="str">
        <f aca="false">IF(F1036="","",G1036-B1036)</f>
        <v/>
      </c>
      <c r="K1036" s="31" t="str">
        <f aca="false">IF(F1036="","",IF(H1036&lt;&gt;"",H1036,MAX('Vade Sapması'!$D$3,G1036)))</f>
        <v/>
      </c>
      <c r="L1036" s="30" t="str">
        <f aca="false">IF(F1036="","",K1036-B1036)</f>
        <v/>
      </c>
      <c r="M1036" s="30" t="str">
        <f aca="false">IF(F1036="","",L1036-J1036)</f>
        <v/>
      </c>
      <c r="N1036" s="32" t="str">
        <f aca="false">IF(F1036="","",IF(H1036&lt;&gt;"","Kapandı",IF('Vade Sapması'!$D$3&gt;G1036,"Açık · vadesi geçti","Açık · vadesi gelmedi")))</f>
        <v/>
      </c>
      <c r="O1036" s="30" t="str">
        <f aca="false">IF(F1036="","",IF(AND(H1036="",'Vade Sapması'!$D$3&gt;G1036),'Vade Sapması'!$D$3-G1036,0))</f>
        <v/>
      </c>
      <c r="P1036" s="33" t="str">
        <f aca="false">IF(F1036="","",F1036*J1036)</f>
        <v/>
      </c>
      <c r="Q1036" s="33" t="str">
        <f aca="false">IF(F1036="","",F1036*L1036)</f>
        <v/>
      </c>
      <c r="R1036" s="33" t="str">
        <f aca="false">IF(F1036="","",IF(H1036="",F1036,0))</f>
        <v/>
      </c>
      <c r="S1036" s="32" t="str">
        <f aca="false">IF(F1036="","",IF(N(O1036)=0,"",IF(O1036&lt;=30,"1-30",IF(O1036&lt;=60,"31-60",IF(O1036&lt;=90,"61-90","90+")))))</f>
        <v/>
      </c>
      <c r="T1036" s="32" t="str">
        <f aca="false">IF(F1036="","",IF(E1036="","Diğer",E1036))</f>
        <v/>
      </c>
      <c r="U1036" s="32" t="str">
        <f aca="false">IF(OR(F1036="",C1036=""),"",IF(COUNTIF($C$2:C1036,C1036)=1,MAX($U$1:U1035)+1,""))</f>
        <v/>
      </c>
    </row>
    <row r="1037" customFormat="false" ht="15" hidden="false" customHeight="false" outlineLevel="0" collapsed="false">
      <c r="A1037" s="34"/>
      <c r="B1037" s="9"/>
      <c r="C1037" s="34"/>
      <c r="D1037" s="34"/>
      <c r="E1037" s="34"/>
      <c r="F1037" s="35"/>
      <c r="G1037" s="9"/>
      <c r="H1037" s="9"/>
      <c r="I1037" s="34"/>
      <c r="J1037" s="30" t="str">
        <f aca="false">IF(F1037="","",G1037-B1037)</f>
        <v/>
      </c>
      <c r="K1037" s="31" t="str">
        <f aca="false">IF(F1037="","",IF(H1037&lt;&gt;"",H1037,MAX('Vade Sapması'!$D$3,G1037)))</f>
        <v/>
      </c>
      <c r="L1037" s="30" t="str">
        <f aca="false">IF(F1037="","",K1037-B1037)</f>
        <v/>
      </c>
      <c r="M1037" s="30" t="str">
        <f aca="false">IF(F1037="","",L1037-J1037)</f>
        <v/>
      </c>
      <c r="N1037" s="32" t="str">
        <f aca="false">IF(F1037="","",IF(H1037&lt;&gt;"","Kapandı",IF('Vade Sapması'!$D$3&gt;G1037,"Açık · vadesi geçti","Açık · vadesi gelmedi")))</f>
        <v/>
      </c>
      <c r="O1037" s="30" t="str">
        <f aca="false">IF(F1037="","",IF(AND(H1037="",'Vade Sapması'!$D$3&gt;G1037),'Vade Sapması'!$D$3-G1037,0))</f>
        <v/>
      </c>
      <c r="P1037" s="33" t="str">
        <f aca="false">IF(F1037="","",F1037*J1037)</f>
        <v/>
      </c>
      <c r="Q1037" s="33" t="str">
        <f aca="false">IF(F1037="","",F1037*L1037)</f>
        <v/>
      </c>
      <c r="R1037" s="33" t="str">
        <f aca="false">IF(F1037="","",IF(H1037="",F1037,0))</f>
        <v/>
      </c>
      <c r="S1037" s="32" t="str">
        <f aca="false">IF(F1037="","",IF(N(O1037)=0,"",IF(O1037&lt;=30,"1-30",IF(O1037&lt;=60,"31-60",IF(O1037&lt;=90,"61-90","90+")))))</f>
        <v/>
      </c>
      <c r="T1037" s="32" t="str">
        <f aca="false">IF(F1037="","",IF(E1037="","Diğer",E1037))</f>
        <v/>
      </c>
      <c r="U1037" s="32" t="str">
        <f aca="false">IF(OR(F1037="",C1037=""),"",IF(COUNTIF($C$2:C1037,C1037)=1,MAX($U$1:U1036)+1,""))</f>
        <v/>
      </c>
    </row>
    <row r="1038" customFormat="false" ht="15" hidden="false" customHeight="false" outlineLevel="0" collapsed="false">
      <c r="A1038" s="34"/>
      <c r="B1038" s="9"/>
      <c r="C1038" s="34"/>
      <c r="D1038" s="34"/>
      <c r="E1038" s="34"/>
      <c r="F1038" s="35"/>
      <c r="G1038" s="9"/>
      <c r="H1038" s="9"/>
      <c r="I1038" s="34"/>
      <c r="J1038" s="30" t="str">
        <f aca="false">IF(F1038="","",G1038-B1038)</f>
        <v/>
      </c>
      <c r="K1038" s="31" t="str">
        <f aca="false">IF(F1038="","",IF(H1038&lt;&gt;"",H1038,MAX('Vade Sapması'!$D$3,G1038)))</f>
        <v/>
      </c>
      <c r="L1038" s="30" t="str">
        <f aca="false">IF(F1038="","",K1038-B1038)</f>
        <v/>
      </c>
      <c r="M1038" s="30" t="str">
        <f aca="false">IF(F1038="","",L1038-J1038)</f>
        <v/>
      </c>
      <c r="N1038" s="32" t="str">
        <f aca="false">IF(F1038="","",IF(H1038&lt;&gt;"","Kapandı",IF('Vade Sapması'!$D$3&gt;G1038,"Açık · vadesi geçti","Açık · vadesi gelmedi")))</f>
        <v/>
      </c>
      <c r="O1038" s="30" t="str">
        <f aca="false">IF(F1038="","",IF(AND(H1038="",'Vade Sapması'!$D$3&gt;G1038),'Vade Sapması'!$D$3-G1038,0))</f>
        <v/>
      </c>
      <c r="P1038" s="33" t="str">
        <f aca="false">IF(F1038="","",F1038*J1038)</f>
        <v/>
      </c>
      <c r="Q1038" s="33" t="str">
        <f aca="false">IF(F1038="","",F1038*L1038)</f>
        <v/>
      </c>
      <c r="R1038" s="33" t="str">
        <f aca="false">IF(F1038="","",IF(H1038="",F1038,0))</f>
        <v/>
      </c>
      <c r="S1038" s="32" t="str">
        <f aca="false">IF(F1038="","",IF(N(O1038)=0,"",IF(O1038&lt;=30,"1-30",IF(O1038&lt;=60,"31-60",IF(O1038&lt;=90,"61-90","90+")))))</f>
        <v/>
      </c>
      <c r="T1038" s="32" t="str">
        <f aca="false">IF(F1038="","",IF(E1038="","Diğer",E1038))</f>
        <v/>
      </c>
      <c r="U1038" s="32" t="str">
        <f aca="false">IF(OR(F1038="",C1038=""),"",IF(COUNTIF($C$2:C1038,C1038)=1,MAX($U$1:U1037)+1,""))</f>
        <v/>
      </c>
    </row>
    <row r="1039" customFormat="false" ht="15" hidden="false" customHeight="false" outlineLevel="0" collapsed="false">
      <c r="A1039" s="34"/>
      <c r="B1039" s="9"/>
      <c r="C1039" s="34"/>
      <c r="D1039" s="34"/>
      <c r="E1039" s="34"/>
      <c r="F1039" s="35"/>
      <c r="G1039" s="9"/>
      <c r="H1039" s="9"/>
      <c r="I1039" s="34"/>
      <c r="J1039" s="30" t="str">
        <f aca="false">IF(F1039="","",G1039-B1039)</f>
        <v/>
      </c>
      <c r="K1039" s="31" t="str">
        <f aca="false">IF(F1039="","",IF(H1039&lt;&gt;"",H1039,MAX('Vade Sapması'!$D$3,G1039)))</f>
        <v/>
      </c>
      <c r="L1039" s="30" t="str">
        <f aca="false">IF(F1039="","",K1039-B1039)</f>
        <v/>
      </c>
      <c r="M1039" s="30" t="str">
        <f aca="false">IF(F1039="","",L1039-J1039)</f>
        <v/>
      </c>
      <c r="N1039" s="32" t="str">
        <f aca="false">IF(F1039="","",IF(H1039&lt;&gt;"","Kapandı",IF('Vade Sapması'!$D$3&gt;G1039,"Açık · vadesi geçti","Açık · vadesi gelmedi")))</f>
        <v/>
      </c>
      <c r="O1039" s="30" t="str">
        <f aca="false">IF(F1039="","",IF(AND(H1039="",'Vade Sapması'!$D$3&gt;G1039),'Vade Sapması'!$D$3-G1039,0))</f>
        <v/>
      </c>
      <c r="P1039" s="33" t="str">
        <f aca="false">IF(F1039="","",F1039*J1039)</f>
        <v/>
      </c>
      <c r="Q1039" s="33" t="str">
        <f aca="false">IF(F1039="","",F1039*L1039)</f>
        <v/>
      </c>
      <c r="R1039" s="33" t="str">
        <f aca="false">IF(F1039="","",IF(H1039="",F1039,0))</f>
        <v/>
      </c>
      <c r="S1039" s="32" t="str">
        <f aca="false">IF(F1039="","",IF(N(O1039)=0,"",IF(O1039&lt;=30,"1-30",IF(O1039&lt;=60,"31-60",IF(O1039&lt;=90,"61-90","90+")))))</f>
        <v/>
      </c>
      <c r="T1039" s="32" t="str">
        <f aca="false">IF(F1039="","",IF(E1039="","Diğer",E1039))</f>
        <v/>
      </c>
      <c r="U1039" s="32" t="str">
        <f aca="false">IF(OR(F1039="",C1039=""),"",IF(COUNTIF($C$2:C1039,C1039)=1,MAX($U$1:U1038)+1,""))</f>
        <v/>
      </c>
    </row>
    <row r="1040" customFormat="false" ht="15" hidden="false" customHeight="false" outlineLevel="0" collapsed="false">
      <c r="A1040" s="34"/>
      <c r="B1040" s="9"/>
      <c r="C1040" s="34"/>
      <c r="D1040" s="34"/>
      <c r="E1040" s="34"/>
      <c r="F1040" s="35"/>
      <c r="G1040" s="9"/>
      <c r="H1040" s="9"/>
      <c r="I1040" s="34"/>
      <c r="J1040" s="30" t="str">
        <f aca="false">IF(F1040="","",G1040-B1040)</f>
        <v/>
      </c>
      <c r="K1040" s="31" t="str">
        <f aca="false">IF(F1040="","",IF(H1040&lt;&gt;"",H1040,MAX('Vade Sapması'!$D$3,G1040)))</f>
        <v/>
      </c>
      <c r="L1040" s="30" t="str">
        <f aca="false">IF(F1040="","",K1040-B1040)</f>
        <v/>
      </c>
      <c r="M1040" s="30" t="str">
        <f aca="false">IF(F1040="","",L1040-J1040)</f>
        <v/>
      </c>
      <c r="N1040" s="32" t="str">
        <f aca="false">IF(F1040="","",IF(H1040&lt;&gt;"","Kapandı",IF('Vade Sapması'!$D$3&gt;G1040,"Açık · vadesi geçti","Açık · vadesi gelmedi")))</f>
        <v/>
      </c>
      <c r="O1040" s="30" t="str">
        <f aca="false">IF(F1040="","",IF(AND(H1040="",'Vade Sapması'!$D$3&gt;G1040),'Vade Sapması'!$D$3-G1040,0))</f>
        <v/>
      </c>
      <c r="P1040" s="33" t="str">
        <f aca="false">IF(F1040="","",F1040*J1040)</f>
        <v/>
      </c>
      <c r="Q1040" s="33" t="str">
        <f aca="false">IF(F1040="","",F1040*L1040)</f>
        <v/>
      </c>
      <c r="R1040" s="33" t="str">
        <f aca="false">IF(F1040="","",IF(H1040="",F1040,0))</f>
        <v/>
      </c>
      <c r="S1040" s="32" t="str">
        <f aca="false">IF(F1040="","",IF(N(O1040)=0,"",IF(O1040&lt;=30,"1-30",IF(O1040&lt;=60,"31-60",IF(O1040&lt;=90,"61-90","90+")))))</f>
        <v/>
      </c>
      <c r="T1040" s="32" t="str">
        <f aca="false">IF(F1040="","",IF(E1040="","Diğer",E1040))</f>
        <v/>
      </c>
      <c r="U1040" s="32" t="str">
        <f aca="false">IF(OR(F1040="",C1040=""),"",IF(COUNTIF($C$2:C1040,C1040)=1,MAX($U$1:U1039)+1,""))</f>
        <v/>
      </c>
    </row>
    <row r="1041" customFormat="false" ht="15" hidden="false" customHeight="false" outlineLevel="0" collapsed="false">
      <c r="A1041" s="34"/>
      <c r="B1041" s="9"/>
      <c r="C1041" s="34"/>
      <c r="D1041" s="34"/>
      <c r="E1041" s="34"/>
      <c r="F1041" s="35"/>
      <c r="G1041" s="9"/>
      <c r="H1041" s="9"/>
      <c r="I1041" s="34"/>
      <c r="J1041" s="30" t="str">
        <f aca="false">IF(F1041="","",G1041-B1041)</f>
        <v/>
      </c>
      <c r="K1041" s="31" t="str">
        <f aca="false">IF(F1041="","",IF(H1041&lt;&gt;"",H1041,MAX('Vade Sapması'!$D$3,G1041)))</f>
        <v/>
      </c>
      <c r="L1041" s="30" t="str">
        <f aca="false">IF(F1041="","",K1041-B1041)</f>
        <v/>
      </c>
      <c r="M1041" s="30" t="str">
        <f aca="false">IF(F1041="","",L1041-J1041)</f>
        <v/>
      </c>
      <c r="N1041" s="32" t="str">
        <f aca="false">IF(F1041="","",IF(H1041&lt;&gt;"","Kapandı",IF('Vade Sapması'!$D$3&gt;G1041,"Açık · vadesi geçti","Açık · vadesi gelmedi")))</f>
        <v/>
      </c>
      <c r="O1041" s="30" t="str">
        <f aca="false">IF(F1041="","",IF(AND(H1041="",'Vade Sapması'!$D$3&gt;G1041),'Vade Sapması'!$D$3-G1041,0))</f>
        <v/>
      </c>
      <c r="P1041" s="33" t="str">
        <f aca="false">IF(F1041="","",F1041*J1041)</f>
        <v/>
      </c>
      <c r="Q1041" s="33" t="str">
        <f aca="false">IF(F1041="","",F1041*L1041)</f>
        <v/>
      </c>
      <c r="R1041" s="33" t="str">
        <f aca="false">IF(F1041="","",IF(H1041="",F1041,0))</f>
        <v/>
      </c>
      <c r="S1041" s="32" t="str">
        <f aca="false">IF(F1041="","",IF(N(O1041)=0,"",IF(O1041&lt;=30,"1-30",IF(O1041&lt;=60,"31-60",IF(O1041&lt;=90,"61-90","90+")))))</f>
        <v/>
      </c>
      <c r="T1041" s="32" t="str">
        <f aca="false">IF(F1041="","",IF(E1041="","Diğer",E1041))</f>
        <v/>
      </c>
      <c r="U1041" s="32" t="str">
        <f aca="false">IF(OR(F1041="",C1041=""),"",IF(COUNTIF($C$2:C1041,C1041)=1,MAX($U$1:U1040)+1,""))</f>
        <v/>
      </c>
    </row>
    <row r="1042" customFormat="false" ht="15" hidden="false" customHeight="false" outlineLevel="0" collapsed="false">
      <c r="A1042" s="34"/>
      <c r="B1042" s="9"/>
      <c r="C1042" s="34"/>
      <c r="D1042" s="34"/>
      <c r="E1042" s="34"/>
      <c r="F1042" s="35"/>
      <c r="G1042" s="9"/>
      <c r="H1042" s="9"/>
      <c r="I1042" s="34"/>
      <c r="J1042" s="30" t="str">
        <f aca="false">IF(F1042="","",G1042-B1042)</f>
        <v/>
      </c>
      <c r="K1042" s="31" t="str">
        <f aca="false">IF(F1042="","",IF(H1042&lt;&gt;"",H1042,MAX('Vade Sapması'!$D$3,G1042)))</f>
        <v/>
      </c>
      <c r="L1042" s="30" t="str">
        <f aca="false">IF(F1042="","",K1042-B1042)</f>
        <v/>
      </c>
      <c r="M1042" s="30" t="str">
        <f aca="false">IF(F1042="","",L1042-J1042)</f>
        <v/>
      </c>
      <c r="N1042" s="32" t="str">
        <f aca="false">IF(F1042="","",IF(H1042&lt;&gt;"","Kapandı",IF('Vade Sapması'!$D$3&gt;G1042,"Açık · vadesi geçti","Açık · vadesi gelmedi")))</f>
        <v/>
      </c>
      <c r="O1042" s="30" t="str">
        <f aca="false">IF(F1042="","",IF(AND(H1042="",'Vade Sapması'!$D$3&gt;G1042),'Vade Sapması'!$D$3-G1042,0))</f>
        <v/>
      </c>
      <c r="P1042" s="33" t="str">
        <f aca="false">IF(F1042="","",F1042*J1042)</f>
        <v/>
      </c>
      <c r="Q1042" s="33" t="str">
        <f aca="false">IF(F1042="","",F1042*L1042)</f>
        <v/>
      </c>
      <c r="R1042" s="33" t="str">
        <f aca="false">IF(F1042="","",IF(H1042="",F1042,0))</f>
        <v/>
      </c>
      <c r="S1042" s="32" t="str">
        <f aca="false">IF(F1042="","",IF(N(O1042)=0,"",IF(O1042&lt;=30,"1-30",IF(O1042&lt;=60,"31-60",IF(O1042&lt;=90,"61-90","90+")))))</f>
        <v/>
      </c>
      <c r="T1042" s="32" t="str">
        <f aca="false">IF(F1042="","",IF(E1042="","Diğer",E1042))</f>
        <v/>
      </c>
      <c r="U1042" s="32" t="str">
        <f aca="false">IF(OR(F1042="",C1042=""),"",IF(COUNTIF($C$2:C1042,C1042)=1,MAX($U$1:U1041)+1,""))</f>
        <v/>
      </c>
    </row>
    <row r="1043" customFormat="false" ht="15" hidden="false" customHeight="false" outlineLevel="0" collapsed="false">
      <c r="A1043" s="34"/>
      <c r="B1043" s="9"/>
      <c r="C1043" s="34"/>
      <c r="D1043" s="34"/>
      <c r="E1043" s="34"/>
      <c r="F1043" s="35"/>
      <c r="G1043" s="9"/>
      <c r="H1043" s="9"/>
      <c r="I1043" s="34"/>
      <c r="J1043" s="30" t="str">
        <f aca="false">IF(F1043="","",G1043-B1043)</f>
        <v/>
      </c>
      <c r="K1043" s="31" t="str">
        <f aca="false">IF(F1043="","",IF(H1043&lt;&gt;"",H1043,MAX('Vade Sapması'!$D$3,G1043)))</f>
        <v/>
      </c>
      <c r="L1043" s="30" t="str">
        <f aca="false">IF(F1043="","",K1043-B1043)</f>
        <v/>
      </c>
      <c r="M1043" s="30" t="str">
        <f aca="false">IF(F1043="","",L1043-J1043)</f>
        <v/>
      </c>
      <c r="N1043" s="32" t="str">
        <f aca="false">IF(F1043="","",IF(H1043&lt;&gt;"","Kapandı",IF('Vade Sapması'!$D$3&gt;G1043,"Açık · vadesi geçti","Açık · vadesi gelmedi")))</f>
        <v/>
      </c>
      <c r="O1043" s="30" t="str">
        <f aca="false">IF(F1043="","",IF(AND(H1043="",'Vade Sapması'!$D$3&gt;G1043),'Vade Sapması'!$D$3-G1043,0))</f>
        <v/>
      </c>
      <c r="P1043" s="33" t="str">
        <f aca="false">IF(F1043="","",F1043*J1043)</f>
        <v/>
      </c>
      <c r="Q1043" s="33" t="str">
        <f aca="false">IF(F1043="","",F1043*L1043)</f>
        <v/>
      </c>
      <c r="R1043" s="33" t="str">
        <f aca="false">IF(F1043="","",IF(H1043="",F1043,0))</f>
        <v/>
      </c>
      <c r="S1043" s="32" t="str">
        <f aca="false">IF(F1043="","",IF(N(O1043)=0,"",IF(O1043&lt;=30,"1-30",IF(O1043&lt;=60,"31-60",IF(O1043&lt;=90,"61-90","90+")))))</f>
        <v/>
      </c>
      <c r="T1043" s="32" t="str">
        <f aca="false">IF(F1043="","",IF(E1043="","Diğer",E1043))</f>
        <v/>
      </c>
      <c r="U1043" s="32" t="str">
        <f aca="false">IF(OR(F1043="",C1043=""),"",IF(COUNTIF($C$2:C1043,C1043)=1,MAX($U$1:U1042)+1,""))</f>
        <v/>
      </c>
    </row>
    <row r="1044" customFormat="false" ht="15" hidden="false" customHeight="false" outlineLevel="0" collapsed="false">
      <c r="A1044" s="34"/>
      <c r="B1044" s="9"/>
      <c r="C1044" s="34"/>
      <c r="D1044" s="34"/>
      <c r="E1044" s="34"/>
      <c r="F1044" s="35"/>
      <c r="G1044" s="9"/>
      <c r="H1044" s="9"/>
      <c r="I1044" s="34"/>
      <c r="J1044" s="30" t="str">
        <f aca="false">IF(F1044="","",G1044-B1044)</f>
        <v/>
      </c>
      <c r="K1044" s="31" t="str">
        <f aca="false">IF(F1044="","",IF(H1044&lt;&gt;"",H1044,MAX('Vade Sapması'!$D$3,G1044)))</f>
        <v/>
      </c>
      <c r="L1044" s="30" t="str">
        <f aca="false">IF(F1044="","",K1044-B1044)</f>
        <v/>
      </c>
      <c r="M1044" s="30" t="str">
        <f aca="false">IF(F1044="","",L1044-J1044)</f>
        <v/>
      </c>
      <c r="N1044" s="32" t="str">
        <f aca="false">IF(F1044="","",IF(H1044&lt;&gt;"","Kapandı",IF('Vade Sapması'!$D$3&gt;G1044,"Açık · vadesi geçti","Açık · vadesi gelmedi")))</f>
        <v/>
      </c>
      <c r="O1044" s="30" t="str">
        <f aca="false">IF(F1044="","",IF(AND(H1044="",'Vade Sapması'!$D$3&gt;G1044),'Vade Sapması'!$D$3-G1044,0))</f>
        <v/>
      </c>
      <c r="P1044" s="33" t="str">
        <f aca="false">IF(F1044="","",F1044*J1044)</f>
        <v/>
      </c>
      <c r="Q1044" s="33" t="str">
        <f aca="false">IF(F1044="","",F1044*L1044)</f>
        <v/>
      </c>
      <c r="R1044" s="33" t="str">
        <f aca="false">IF(F1044="","",IF(H1044="",F1044,0))</f>
        <v/>
      </c>
      <c r="S1044" s="32" t="str">
        <f aca="false">IF(F1044="","",IF(N(O1044)=0,"",IF(O1044&lt;=30,"1-30",IF(O1044&lt;=60,"31-60",IF(O1044&lt;=90,"61-90","90+")))))</f>
        <v/>
      </c>
      <c r="T1044" s="32" t="str">
        <f aca="false">IF(F1044="","",IF(E1044="","Diğer",E1044))</f>
        <v/>
      </c>
      <c r="U1044" s="32" t="str">
        <f aca="false">IF(OR(F1044="",C1044=""),"",IF(COUNTIF($C$2:C1044,C1044)=1,MAX($U$1:U1043)+1,""))</f>
        <v/>
      </c>
    </row>
    <row r="1045" customFormat="false" ht="15" hidden="false" customHeight="false" outlineLevel="0" collapsed="false">
      <c r="A1045" s="34"/>
      <c r="B1045" s="9"/>
      <c r="C1045" s="34"/>
      <c r="D1045" s="34"/>
      <c r="E1045" s="34"/>
      <c r="F1045" s="35"/>
      <c r="G1045" s="9"/>
      <c r="H1045" s="9"/>
      <c r="I1045" s="34"/>
      <c r="J1045" s="30" t="str">
        <f aca="false">IF(F1045="","",G1045-B1045)</f>
        <v/>
      </c>
      <c r="K1045" s="31" t="str">
        <f aca="false">IF(F1045="","",IF(H1045&lt;&gt;"",H1045,MAX('Vade Sapması'!$D$3,G1045)))</f>
        <v/>
      </c>
      <c r="L1045" s="30" t="str">
        <f aca="false">IF(F1045="","",K1045-B1045)</f>
        <v/>
      </c>
      <c r="M1045" s="30" t="str">
        <f aca="false">IF(F1045="","",L1045-J1045)</f>
        <v/>
      </c>
      <c r="N1045" s="32" t="str">
        <f aca="false">IF(F1045="","",IF(H1045&lt;&gt;"","Kapandı",IF('Vade Sapması'!$D$3&gt;G1045,"Açık · vadesi geçti","Açık · vadesi gelmedi")))</f>
        <v/>
      </c>
      <c r="O1045" s="30" t="str">
        <f aca="false">IF(F1045="","",IF(AND(H1045="",'Vade Sapması'!$D$3&gt;G1045),'Vade Sapması'!$D$3-G1045,0))</f>
        <v/>
      </c>
      <c r="P1045" s="33" t="str">
        <f aca="false">IF(F1045="","",F1045*J1045)</f>
        <v/>
      </c>
      <c r="Q1045" s="33" t="str">
        <f aca="false">IF(F1045="","",F1045*L1045)</f>
        <v/>
      </c>
      <c r="R1045" s="33" t="str">
        <f aca="false">IF(F1045="","",IF(H1045="",F1045,0))</f>
        <v/>
      </c>
      <c r="S1045" s="32" t="str">
        <f aca="false">IF(F1045="","",IF(N(O1045)=0,"",IF(O1045&lt;=30,"1-30",IF(O1045&lt;=60,"31-60",IF(O1045&lt;=90,"61-90","90+")))))</f>
        <v/>
      </c>
      <c r="T1045" s="32" t="str">
        <f aca="false">IF(F1045="","",IF(E1045="","Diğer",E1045))</f>
        <v/>
      </c>
      <c r="U1045" s="32" t="str">
        <f aca="false">IF(OR(F1045="",C1045=""),"",IF(COUNTIF($C$2:C1045,C1045)=1,MAX($U$1:U1044)+1,""))</f>
        <v/>
      </c>
    </row>
    <row r="1046" customFormat="false" ht="15" hidden="false" customHeight="false" outlineLevel="0" collapsed="false">
      <c r="A1046" s="34"/>
      <c r="B1046" s="9"/>
      <c r="C1046" s="34"/>
      <c r="D1046" s="34"/>
      <c r="E1046" s="34"/>
      <c r="F1046" s="35"/>
      <c r="G1046" s="9"/>
      <c r="H1046" s="9"/>
      <c r="I1046" s="34"/>
      <c r="J1046" s="30" t="str">
        <f aca="false">IF(F1046="","",G1046-B1046)</f>
        <v/>
      </c>
      <c r="K1046" s="31" t="str">
        <f aca="false">IF(F1046="","",IF(H1046&lt;&gt;"",H1046,MAX('Vade Sapması'!$D$3,G1046)))</f>
        <v/>
      </c>
      <c r="L1046" s="30" t="str">
        <f aca="false">IF(F1046="","",K1046-B1046)</f>
        <v/>
      </c>
      <c r="M1046" s="30" t="str">
        <f aca="false">IF(F1046="","",L1046-J1046)</f>
        <v/>
      </c>
      <c r="N1046" s="32" t="str">
        <f aca="false">IF(F1046="","",IF(H1046&lt;&gt;"","Kapandı",IF('Vade Sapması'!$D$3&gt;G1046,"Açık · vadesi geçti","Açık · vadesi gelmedi")))</f>
        <v/>
      </c>
      <c r="O1046" s="30" t="str">
        <f aca="false">IF(F1046="","",IF(AND(H1046="",'Vade Sapması'!$D$3&gt;G1046),'Vade Sapması'!$D$3-G1046,0))</f>
        <v/>
      </c>
      <c r="P1046" s="33" t="str">
        <f aca="false">IF(F1046="","",F1046*J1046)</f>
        <v/>
      </c>
      <c r="Q1046" s="33" t="str">
        <f aca="false">IF(F1046="","",F1046*L1046)</f>
        <v/>
      </c>
      <c r="R1046" s="33" t="str">
        <f aca="false">IF(F1046="","",IF(H1046="",F1046,0))</f>
        <v/>
      </c>
      <c r="S1046" s="32" t="str">
        <f aca="false">IF(F1046="","",IF(N(O1046)=0,"",IF(O1046&lt;=30,"1-30",IF(O1046&lt;=60,"31-60",IF(O1046&lt;=90,"61-90","90+")))))</f>
        <v/>
      </c>
      <c r="T1046" s="32" t="str">
        <f aca="false">IF(F1046="","",IF(E1046="","Diğer",E1046))</f>
        <v/>
      </c>
      <c r="U1046" s="32" t="str">
        <f aca="false">IF(OR(F1046="",C1046=""),"",IF(COUNTIF($C$2:C1046,C1046)=1,MAX($U$1:U1045)+1,""))</f>
        <v/>
      </c>
    </row>
    <row r="1047" customFormat="false" ht="15" hidden="false" customHeight="false" outlineLevel="0" collapsed="false">
      <c r="A1047" s="34"/>
      <c r="B1047" s="9"/>
      <c r="C1047" s="34"/>
      <c r="D1047" s="34"/>
      <c r="E1047" s="34"/>
      <c r="F1047" s="35"/>
      <c r="G1047" s="9"/>
      <c r="H1047" s="9"/>
      <c r="I1047" s="34"/>
      <c r="J1047" s="30" t="str">
        <f aca="false">IF(F1047="","",G1047-B1047)</f>
        <v/>
      </c>
      <c r="K1047" s="31" t="str">
        <f aca="false">IF(F1047="","",IF(H1047&lt;&gt;"",H1047,MAX('Vade Sapması'!$D$3,G1047)))</f>
        <v/>
      </c>
      <c r="L1047" s="30" t="str">
        <f aca="false">IF(F1047="","",K1047-B1047)</f>
        <v/>
      </c>
      <c r="M1047" s="30" t="str">
        <f aca="false">IF(F1047="","",L1047-J1047)</f>
        <v/>
      </c>
      <c r="N1047" s="32" t="str">
        <f aca="false">IF(F1047="","",IF(H1047&lt;&gt;"","Kapandı",IF('Vade Sapması'!$D$3&gt;G1047,"Açık · vadesi geçti","Açık · vadesi gelmedi")))</f>
        <v/>
      </c>
      <c r="O1047" s="30" t="str">
        <f aca="false">IF(F1047="","",IF(AND(H1047="",'Vade Sapması'!$D$3&gt;G1047),'Vade Sapması'!$D$3-G1047,0))</f>
        <v/>
      </c>
      <c r="P1047" s="33" t="str">
        <f aca="false">IF(F1047="","",F1047*J1047)</f>
        <v/>
      </c>
      <c r="Q1047" s="33" t="str">
        <f aca="false">IF(F1047="","",F1047*L1047)</f>
        <v/>
      </c>
      <c r="R1047" s="33" t="str">
        <f aca="false">IF(F1047="","",IF(H1047="",F1047,0))</f>
        <v/>
      </c>
      <c r="S1047" s="32" t="str">
        <f aca="false">IF(F1047="","",IF(N(O1047)=0,"",IF(O1047&lt;=30,"1-30",IF(O1047&lt;=60,"31-60",IF(O1047&lt;=90,"61-90","90+")))))</f>
        <v/>
      </c>
      <c r="T1047" s="32" t="str">
        <f aca="false">IF(F1047="","",IF(E1047="","Diğer",E1047))</f>
        <v/>
      </c>
      <c r="U1047" s="32" t="str">
        <f aca="false">IF(OR(F1047="",C1047=""),"",IF(COUNTIF($C$2:C1047,C1047)=1,MAX($U$1:U1046)+1,""))</f>
        <v/>
      </c>
    </row>
    <row r="1048" customFormat="false" ht="15" hidden="false" customHeight="false" outlineLevel="0" collapsed="false">
      <c r="A1048" s="34"/>
      <c r="B1048" s="9"/>
      <c r="C1048" s="34"/>
      <c r="D1048" s="34"/>
      <c r="E1048" s="34"/>
      <c r="F1048" s="35"/>
      <c r="G1048" s="9"/>
      <c r="H1048" s="9"/>
      <c r="I1048" s="34"/>
      <c r="J1048" s="30" t="str">
        <f aca="false">IF(F1048="","",G1048-B1048)</f>
        <v/>
      </c>
      <c r="K1048" s="31" t="str">
        <f aca="false">IF(F1048="","",IF(H1048&lt;&gt;"",H1048,MAX('Vade Sapması'!$D$3,G1048)))</f>
        <v/>
      </c>
      <c r="L1048" s="30" t="str">
        <f aca="false">IF(F1048="","",K1048-B1048)</f>
        <v/>
      </c>
      <c r="M1048" s="30" t="str">
        <f aca="false">IF(F1048="","",L1048-J1048)</f>
        <v/>
      </c>
      <c r="N1048" s="32" t="str">
        <f aca="false">IF(F1048="","",IF(H1048&lt;&gt;"","Kapandı",IF('Vade Sapması'!$D$3&gt;G1048,"Açık · vadesi geçti","Açık · vadesi gelmedi")))</f>
        <v/>
      </c>
      <c r="O1048" s="30" t="str">
        <f aca="false">IF(F1048="","",IF(AND(H1048="",'Vade Sapması'!$D$3&gt;G1048),'Vade Sapması'!$D$3-G1048,0))</f>
        <v/>
      </c>
      <c r="P1048" s="33" t="str">
        <f aca="false">IF(F1048="","",F1048*J1048)</f>
        <v/>
      </c>
      <c r="Q1048" s="33" t="str">
        <f aca="false">IF(F1048="","",F1048*L1048)</f>
        <v/>
      </c>
      <c r="R1048" s="33" t="str">
        <f aca="false">IF(F1048="","",IF(H1048="",F1048,0))</f>
        <v/>
      </c>
      <c r="S1048" s="32" t="str">
        <f aca="false">IF(F1048="","",IF(N(O1048)=0,"",IF(O1048&lt;=30,"1-30",IF(O1048&lt;=60,"31-60",IF(O1048&lt;=90,"61-90","90+")))))</f>
        <v/>
      </c>
      <c r="T1048" s="32" t="str">
        <f aca="false">IF(F1048="","",IF(E1048="","Diğer",E1048))</f>
        <v/>
      </c>
      <c r="U1048" s="32" t="str">
        <f aca="false">IF(OR(F1048="",C1048=""),"",IF(COUNTIF($C$2:C1048,C1048)=1,MAX($U$1:U1047)+1,""))</f>
        <v/>
      </c>
    </row>
    <row r="1049" customFormat="false" ht="15" hidden="false" customHeight="false" outlineLevel="0" collapsed="false">
      <c r="A1049" s="34"/>
      <c r="B1049" s="9"/>
      <c r="C1049" s="34"/>
      <c r="D1049" s="34"/>
      <c r="E1049" s="34"/>
      <c r="F1049" s="35"/>
      <c r="G1049" s="9"/>
      <c r="H1049" s="9"/>
      <c r="I1049" s="34"/>
      <c r="J1049" s="30" t="str">
        <f aca="false">IF(F1049="","",G1049-B1049)</f>
        <v/>
      </c>
      <c r="K1049" s="31" t="str">
        <f aca="false">IF(F1049="","",IF(H1049&lt;&gt;"",H1049,MAX('Vade Sapması'!$D$3,G1049)))</f>
        <v/>
      </c>
      <c r="L1049" s="30" t="str">
        <f aca="false">IF(F1049="","",K1049-B1049)</f>
        <v/>
      </c>
      <c r="M1049" s="30" t="str">
        <f aca="false">IF(F1049="","",L1049-J1049)</f>
        <v/>
      </c>
      <c r="N1049" s="32" t="str">
        <f aca="false">IF(F1049="","",IF(H1049&lt;&gt;"","Kapandı",IF('Vade Sapması'!$D$3&gt;G1049,"Açık · vadesi geçti","Açık · vadesi gelmedi")))</f>
        <v/>
      </c>
      <c r="O1049" s="30" t="str">
        <f aca="false">IF(F1049="","",IF(AND(H1049="",'Vade Sapması'!$D$3&gt;G1049),'Vade Sapması'!$D$3-G1049,0))</f>
        <v/>
      </c>
      <c r="P1049" s="33" t="str">
        <f aca="false">IF(F1049="","",F1049*J1049)</f>
        <v/>
      </c>
      <c r="Q1049" s="33" t="str">
        <f aca="false">IF(F1049="","",F1049*L1049)</f>
        <v/>
      </c>
      <c r="R1049" s="33" t="str">
        <f aca="false">IF(F1049="","",IF(H1049="",F1049,0))</f>
        <v/>
      </c>
      <c r="S1049" s="32" t="str">
        <f aca="false">IF(F1049="","",IF(N(O1049)=0,"",IF(O1049&lt;=30,"1-30",IF(O1049&lt;=60,"31-60",IF(O1049&lt;=90,"61-90","90+")))))</f>
        <v/>
      </c>
      <c r="T1049" s="32" t="str">
        <f aca="false">IF(F1049="","",IF(E1049="","Diğer",E1049))</f>
        <v/>
      </c>
      <c r="U1049" s="32" t="str">
        <f aca="false">IF(OR(F1049="",C1049=""),"",IF(COUNTIF($C$2:C1049,C1049)=1,MAX($U$1:U1048)+1,""))</f>
        <v/>
      </c>
    </row>
    <row r="1050" customFormat="false" ht="15" hidden="false" customHeight="false" outlineLevel="0" collapsed="false">
      <c r="A1050" s="34"/>
      <c r="B1050" s="9"/>
      <c r="C1050" s="34"/>
      <c r="D1050" s="34"/>
      <c r="E1050" s="34"/>
      <c r="F1050" s="35"/>
      <c r="G1050" s="9"/>
      <c r="H1050" s="9"/>
      <c r="I1050" s="34"/>
      <c r="J1050" s="30" t="str">
        <f aca="false">IF(F1050="","",G1050-B1050)</f>
        <v/>
      </c>
      <c r="K1050" s="31" t="str">
        <f aca="false">IF(F1050="","",IF(H1050&lt;&gt;"",H1050,MAX('Vade Sapması'!$D$3,G1050)))</f>
        <v/>
      </c>
      <c r="L1050" s="30" t="str">
        <f aca="false">IF(F1050="","",K1050-B1050)</f>
        <v/>
      </c>
      <c r="M1050" s="30" t="str">
        <f aca="false">IF(F1050="","",L1050-J1050)</f>
        <v/>
      </c>
      <c r="N1050" s="32" t="str">
        <f aca="false">IF(F1050="","",IF(H1050&lt;&gt;"","Kapandı",IF('Vade Sapması'!$D$3&gt;G1050,"Açık · vadesi geçti","Açık · vadesi gelmedi")))</f>
        <v/>
      </c>
      <c r="O1050" s="30" t="str">
        <f aca="false">IF(F1050="","",IF(AND(H1050="",'Vade Sapması'!$D$3&gt;G1050),'Vade Sapması'!$D$3-G1050,0))</f>
        <v/>
      </c>
      <c r="P1050" s="33" t="str">
        <f aca="false">IF(F1050="","",F1050*J1050)</f>
        <v/>
      </c>
      <c r="Q1050" s="33" t="str">
        <f aca="false">IF(F1050="","",F1050*L1050)</f>
        <v/>
      </c>
      <c r="R1050" s="33" t="str">
        <f aca="false">IF(F1050="","",IF(H1050="",F1050,0))</f>
        <v/>
      </c>
      <c r="S1050" s="32" t="str">
        <f aca="false">IF(F1050="","",IF(N(O1050)=0,"",IF(O1050&lt;=30,"1-30",IF(O1050&lt;=60,"31-60",IF(O1050&lt;=90,"61-90","90+")))))</f>
        <v/>
      </c>
      <c r="T1050" s="32" t="str">
        <f aca="false">IF(F1050="","",IF(E1050="","Diğer",E1050))</f>
        <v/>
      </c>
      <c r="U1050" s="32" t="str">
        <f aca="false">IF(OR(F1050="",C1050=""),"",IF(COUNTIF($C$2:C1050,C1050)=1,MAX($U$1:U1049)+1,""))</f>
        <v/>
      </c>
    </row>
    <row r="1051" customFormat="false" ht="15" hidden="false" customHeight="false" outlineLevel="0" collapsed="false">
      <c r="A1051" s="34"/>
      <c r="B1051" s="9"/>
      <c r="C1051" s="34"/>
      <c r="D1051" s="34"/>
      <c r="E1051" s="34"/>
      <c r="F1051" s="35"/>
      <c r="G1051" s="9"/>
      <c r="H1051" s="9"/>
      <c r="I1051" s="34"/>
      <c r="J1051" s="30" t="str">
        <f aca="false">IF(F1051="","",G1051-B1051)</f>
        <v/>
      </c>
      <c r="K1051" s="31" t="str">
        <f aca="false">IF(F1051="","",IF(H1051&lt;&gt;"",H1051,MAX('Vade Sapması'!$D$3,G1051)))</f>
        <v/>
      </c>
      <c r="L1051" s="30" t="str">
        <f aca="false">IF(F1051="","",K1051-B1051)</f>
        <v/>
      </c>
      <c r="M1051" s="30" t="str">
        <f aca="false">IF(F1051="","",L1051-J1051)</f>
        <v/>
      </c>
      <c r="N1051" s="32" t="str">
        <f aca="false">IF(F1051="","",IF(H1051&lt;&gt;"","Kapandı",IF('Vade Sapması'!$D$3&gt;G1051,"Açık · vadesi geçti","Açık · vadesi gelmedi")))</f>
        <v/>
      </c>
      <c r="O1051" s="30" t="str">
        <f aca="false">IF(F1051="","",IF(AND(H1051="",'Vade Sapması'!$D$3&gt;G1051),'Vade Sapması'!$D$3-G1051,0))</f>
        <v/>
      </c>
      <c r="P1051" s="33" t="str">
        <f aca="false">IF(F1051="","",F1051*J1051)</f>
        <v/>
      </c>
      <c r="Q1051" s="33" t="str">
        <f aca="false">IF(F1051="","",F1051*L1051)</f>
        <v/>
      </c>
      <c r="R1051" s="33" t="str">
        <f aca="false">IF(F1051="","",IF(H1051="",F1051,0))</f>
        <v/>
      </c>
      <c r="S1051" s="32" t="str">
        <f aca="false">IF(F1051="","",IF(N(O1051)=0,"",IF(O1051&lt;=30,"1-30",IF(O1051&lt;=60,"31-60",IF(O1051&lt;=90,"61-90","90+")))))</f>
        <v/>
      </c>
      <c r="T1051" s="32" t="str">
        <f aca="false">IF(F1051="","",IF(E1051="","Diğer",E1051))</f>
        <v/>
      </c>
      <c r="U1051" s="32" t="str">
        <f aca="false">IF(OR(F1051="",C1051=""),"",IF(COUNTIF($C$2:C1051,C1051)=1,MAX($U$1:U1050)+1,""))</f>
        <v/>
      </c>
    </row>
    <row r="1052" customFormat="false" ht="15" hidden="false" customHeight="false" outlineLevel="0" collapsed="false">
      <c r="A1052" s="34"/>
      <c r="B1052" s="9"/>
      <c r="C1052" s="34"/>
      <c r="D1052" s="34"/>
      <c r="E1052" s="34"/>
      <c r="F1052" s="35"/>
      <c r="G1052" s="9"/>
      <c r="H1052" s="9"/>
      <c r="I1052" s="34"/>
      <c r="J1052" s="30" t="str">
        <f aca="false">IF(F1052="","",G1052-B1052)</f>
        <v/>
      </c>
      <c r="K1052" s="31" t="str">
        <f aca="false">IF(F1052="","",IF(H1052&lt;&gt;"",H1052,MAX('Vade Sapması'!$D$3,G1052)))</f>
        <v/>
      </c>
      <c r="L1052" s="30" t="str">
        <f aca="false">IF(F1052="","",K1052-B1052)</f>
        <v/>
      </c>
      <c r="M1052" s="30" t="str">
        <f aca="false">IF(F1052="","",L1052-J1052)</f>
        <v/>
      </c>
      <c r="N1052" s="32" t="str">
        <f aca="false">IF(F1052="","",IF(H1052&lt;&gt;"","Kapandı",IF('Vade Sapması'!$D$3&gt;G1052,"Açık · vadesi geçti","Açık · vadesi gelmedi")))</f>
        <v/>
      </c>
      <c r="O1052" s="30" t="str">
        <f aca="false">IF(F1052="","",IF(AND(H1052="",'Vade Sapması'!$D$3&gt;G1052),'Vade Sapması'!$D$3-G1052,0))</f>
        <v/>
      </c>
      <c r="P1052" s="33" t="str">
        <f aca="false">IF(F1052="","",F1052*J1052)</f>
        <v/>
      </c>
      <c r="Q1052" s="33" t="str">
        <f aca="false">IF(F1052="","",F1052*L1052)</f>
        <v/>
      </c>
      <c r="R1052" s="33" t="str">
        <f aca="false">IF(F1052="","",IF(H1052="",F1052,0))</f>
        <v/>
      </c>
      <c r="S1052" s="32" t="str">
        <f aca="false">IF(F1052="","",IF(N(O1052)=0,"",IF(O1052&lt;=30,"1-30",IF(O1052&lt;=60,"31-60",IF(O1052&lt;=90,"61-90","90+")))))</f>
        <v/>
      </c>
      <c r="T1052" s="32" t="str">
        <f aca="false">IF(F1052="","",IF(E1052="","Diğer",E1052))</f>
        <v/>
      </c>
      <c r="U1052" s="32" t="str">
        <f aca="false">IF(OR(F1052="",C1052=""),"",IF(COUNTIF($C$2:C1052,C1052)=1,MAX($U$1:U1051)+1,""))</f>
        <v/>
      </c>
    </row>
    <row r="1053" customFormat="false" ht="15" hidden="false" customHeight="false" outlineLevel="0" collapsed="false">
      <c r="A1053" s="34"/>
      <c r="B1053" s="9"/>
      <c r="C1053" s="34"/>
      <c r="D1053" s="34"/>
      <c r="E1053" s="34"/>
      <c r="F1053" s="35"/>
      <c r="G1053" s="9"/>
      <c r="H1053" s="9"/>
      <c r="I1053" s="34"/>
      <c r="J1053" s="30" t="str">
        <f aca="false">IF(F1053="","",G1053-B1053)</f>
        <v/>
      </c>
      <c r="K1053" s="31" t="str">
        <f aca="false">IF(F1053="","",IF(H1053&lt;&gt;"",H1053,MAX('Vade Sapması'!$D$3,G1053)))</f>
        <v/>
      </c>
      <c r="L1053" s="30" t="str">
        <f aca="false">IF(F1053="","",K1053-B1053)</f>
        <v/>
      </c>
      <c r="M1053" s="30" t="str">
        <f aca="false">IF(F1053="","",L1053-J1053)</f>
        <v/>
      </c>
      <c r="N1053" s="32" t="str">
        <f aca="false">IF(F1053="","",IF(H1053&lt;&gt;"","Kapandı",IF('Vade Sapması'!$D$3&gt;G1053,"Açık · vadesi geçti","Açık · vadesi gelmedi")))</f>
        <v/>
      </c>
      <c r="O1053" s="30" t="str">
        <f aca="false">IF(F1053="","",IF(AND(H1053="",'Vade Sapması'!$D$3&gt;G1053),'Vade Sapması'!$D$3-G1053,0))</f>
        <v/>
      </c>
      <c r="P1053" s="33" t="str">
        <f aca="false">IF(F1053="","",F1053*J1053)</f>
        <v/>
      </c>
      <c r="Q1053" s="33" t="str">
        <f aca="false">IF(F1053="","",F1053*L1053)</f>
        <v/>
      </c>
      <c r="R1053" s="33" t="str">
        <f aca="false">IF(F1053="","",IF(H1053="",F1053,0))</f>
        <v/>
      </c>
      <c r="S1053" s="32" t="str">
        <f aca="false">IF(F1053="","",IF(N(O1053)=0,"",IF(O1053&lt;=30,"1-30",IF(O1053&lt;=60,"31-60",IF(O1053&lt;=90,"61-90","90+")))))</f>
        <v/>
      </c>
      <c r="T1053" s="32" t="str">
        <f aca="false">IF(F1053="","",IF(E1053="","Diğer",E1053))</f>
        <v/>
      </c>
      <c r="U1053" s="32" t="str">
        <f aca="false">IF(OR(F1053="",C1053=""),"",IF(COUNTIF($C$2:C1053,C1053)=1,MAX($U$1:U1052)+1,""))</f>
        <v/>
      </c>
    </row>
    <row r="1054" customFormat="false" ht="15" hidden="false" customHeight="false" outlineLevel="0" collapsed="false">
      <c r="A1054" s="34"/>
      <c r="B1054" s="9"/>
      <c r="C1054" s="34"/>
      <c r="D1054" s="34"/>
      <c r="E1054" s="34"/>
      <c r="F1054" s="35"/>
      <c r="G1054" s="9"/>
      <c r="H1054" s="9"/>
      <c r="I1054" s="34"/>
      <c r="J1054" s="30" t="str">
        <f aca="false">IF(F1054="","",G1054-B1054)</f>
        <v/>
      </c>
      <c r="K1054" s="31" t="str">
        <f aca="false">IF(F1054="","",IF(H1054&lt;&gt;"",H1054,MAX('Vade Sapması'!$D$3,G1054)))</f>
        <v/>
      </c>
      <c r="L1054" s="30" t="str">
        <f aca="false">IF(F1054="","",K1054-B1054)</f>
        <v/>
      </c>
      <c r="M1054" s="30" t="str">
        <f aca="false">IF(F1054="","",L1054-J1054)</f>
        <v/>
      </c>
      <c r="N1054" s="32" t="str">
        <f aca="false">IF(F1054="","",IF(H1054&lt;&gt;"","Kapandı",IF('Vade Sapması'!$D$3&gt;G1054,"Açık · vadesi geçti","Açık · vadesi gelmedi")))</f>
        <v/>
      </c>
      <c r="O1054" s="30" t="str">
        <f aca="false">IF(F1054="","",IF(AND(H1054="",'Vade Sapması'!$D$3&gt;G1054),'Vade Sapması'!$D$3-G1054,0))</f>
        <v/>
      </c>
      <c r="P1054" s="33" t="str">
        <f aca="false">IF(F1054="","",F1054*J1054)</f>
        <v/>
      </c>
      <c r="Q1054" s="33" t="str">
        <f aca="false">IF(F1054="","",F1054*L1054)</f>
        <v/>
      </c>
      <c r="R1054" s="33" t="str">
        <f aca="false">IF(F1054="","",IF(H1054="",F1054,0))</f>
        <v/>
      </c>
      <c r="S1054" s="32" t="str">
        <f aca="false">IF(F1054="","",IF(N(O1054)=0,"",IF(O1054&lt;=30,"1-30",IF(O1054&lt;=60,"31-60",IF(O1054&lt;=90,"61-90","90+")))))</f>
        <v/>
      </c>
      <c r="T1054" s="32" t="str">
        <f aca="false">IF(F1054="","",IF(E1054="","Diğer",E1054))</f>
        <v/>
      </c>
      <c r="U1054" s="32" t="str">
        <f aca="false">IF(OR(F1054="",C1054=""),"",IF(COUNTIF($C$2:C1054,C1054)=1,MAX($U$1:U1053)+1,""))</f>
        <v/>
      </c>
    </row>
    <row r="1055" customFormat="false" ht="15" hidden="false" customHeight="false" outlineLevel="0" collapsed="false">
      <c r="A1055" s="34"/>
      <c r="B1055" s="9"/>
      <c r="C1055" s="34"/>
      <c r="D1055" s="34"/>
      <c r="E1055" s="34"/>
      <c r="F1055" s="35"/>
      <c r="G1055" s="9"/>
      <c r="H1055" s="9"/>
      <c r="I1055" s="34"/>
      <c r="J1055" s="30" t="str">
        <f aca="false">IF(F1055="","",G1055-B1055)</f>
        <v/>
      </c>
      <c r="K1055" s="31" t="str">
        <f aca="false">IF(F1055="","",IF(H1055&lt;&gt;"",H1055,MAX('Vade Sapması'!$D$3,G1055)))</f>
        <v/>
      </c>
      <c r="L1055" s="30" t="str">
        <f aca="false">IF(F1055="","",K1055-B1055)</f>
        <v/>
      </c>
      <c r="M1055" s="30" t="str">
        <f aca="false">IF(F1055="","",L1055-J1055)</f>
        <v/>
      </c>
      <c r="N1055" s="32" t="str">
        <f aca="false">IF(F1055="","",IF(H1055&lt;&gt;"","Kapandı",IF('Vade Sapması'!$D$3&gt;G1055,"Açık · vadesi geçti","Açık · vadesi gelmedi")))</f>
        <v/>
      </c>
      <c r="O1055" s="30" t="str">
        <f aca="false">IF(F1055="","",IF(AND(H1055="",'Vade Sapması'!$D$3&gt;G1055),'Vade Sapması'!$D$3-G1055,0))</f>
        <v/>
      </c>
      <c r="P1055" s="33" t="str">
        <f aca="false">IF(F1055="","",F1055*J1055)</f>
        <v/>
      </c>
      <c r="Q1055" s="33" t="str">
        <f aca="false">IF(F1055="","",F1055*L1055)</f>
        <v/>
      </c>
      <c r="R1055" s="33" t="str">
        <f aca="false">IF(F1055="","",IF(H1055="",F1055,0))</f>
        <v/>
      </c>
      <c r="S1055" s="32" t="str">
        <f aca="false">IF(F1055="","",IF(N(O1055)=0,"",IF(O1055&lt;=30,"1-30",IF(O1055&lt;=60,"31-60",IF(O1055&lt;=90,"61-90","90+")))))</f>
        <v/>
      </c>
      <c r="T1055" s="32" t="str">
        <f aca="false">IF(F1055="","",IF(E1055="","Diğer",E1055))</f>
        <v/>
      </c>
      <c r="U1055" s="32" t="str">
        <f aca="false">IF(OR(F1055="",C1055=""),"",IF(COUNTIF($C$2:C1055,C1055)=1,MAX($U$1:U1054)+1,""))</f>
        <v/>
      </c>
    </row>
    <row r="1056" customFormat="false" ht="15" hidden="false" customHeight="false" outlineLevel="0" collapsed="false">
      <c r="A1056" s="34"/>
      <c r="B1056" s="9"/>
      <c r="C1056" s="34"/>
      <c r="D1056" s="34"/>
      <c r="E1056" s="34"/>
      <c r="F1056" s="35"/>
      <c r="G1056" s="9"/>
      <c r="H1056" s="9"/>
      <c r="I1056" s="34"/>
      <c r="J1056" s="30" t="str">
        <f aca="false">IF(F1056="","",G1056-B1056)</f>
        <v/>
      </c>
      <c r="K1056" s="31" t="str">
        <f aca="false">IF(F1056="","",IF(H1056&lt;&gt;"",H1056,MAX('Vade Sapması'!$D$3,G1056)))</f>
        <v/>
      </c>
      <c r="L1056" s="30" t="str">
        <f aca="false">IF(F1056="","",K1056-B1056)</f>
        <v/>
      </c>
      <c r="M1056" s="30" t="str">
        <f aca="false">IF(F1056="","",L1056-J1056)</f>
        <v/>
      </c>
      <c r="N1056" s="32" t="str">
        <f aca="false">IF(F1056="","",IF(H1056&lt;&gt;"","Kapandı",IF('Vade Sapması'!$D$3&gt;G1056,"Açık · vadesi geçti","Açık · vadesi gelmedi")))</f>
        <v/>
      </c>
      <c r="O1056" s="30" t="str">
        <f aca="false">IF(F1056="","",IF(AND(H1056="",'Vade Sapması'!$D$3&gt;G1056),'Vade Sapması'!$D$3-G1056,0))</f>
        <v/>
      </c>
      <c r="P1056" s="33" t="str">
        <f aca="false">IF(F1056="","",F1056*J1056)</f>
        <v/>
      </c>
      <c r="Q1056" s="33" t="str">
        <f aca="false">IF(F1056="","",F1056*L1056)</f>
        <v/>
      </c>
      <c r="R1056" s="33" t="str">
        <f aca="false">IF(F1056="","",IF(H1056="",F1056,0))</f>
        <v/>
      </c>
      <c r="S1056" s="32" t="str">
        <f aca="false">IF(F1056="","",IF(N(O1056)=0,"",IF(O1056&lt;=30,"1-30",IF(O1056&lt;=60,"31-60",IF(O1056&lt;=90,"61-90","90+")))))</f>
        <v/>
      </c>
      <c r="T1056" s="32" t="str">
        <f aca="false">IF(F1056="","",IF(E1056="","Diğer",E1056))</f>
        <v/>
      </c>
      <c r="U1056" s="32" t="str">
        <f aca="false">IF(OR(F1056="",C1056=""),"",IF(COUNTIF($C$2:C1056,C1056)=1,MAX($U$1:U1055)+1,""))</f>
        <v/>
      </c>
    </row>
    <row r="1057" customFormat="false" ht="15" hidden="false" customHeight="false" outlineLevel="0" collapsed="false">
      <c r="A1057" s="34"/>
      <c r="B1057" s="9"/>
      <c r="C1057" s="34"/>
      <c r="D1057" s="34"/>
      <c r="E1057" s="34"/>
      <c r="F1057" s="35"/>
      <c r="G1057" s="9"/>
      <c r="H1057" s="9"/>
      <c r="I1057" s="34"/>
      <c r="J1057" s="30" t="str">
        <f aca="false">IF(F1057="","",G1057-B1057)</f>
        <v/>
      </c>
      <c r="K1057" s="31" t="str">
        <f aca="false">IF(F1057="","",IF(H1057&lt;&gt;"",H1057,MAX('Vade Sapması'!$D$3,G1057)))</f>
        <v/>
      </c>
      <c r="L1057" s="30" t="str">
        <f aca="false">IF(F1057="","",K1057-B1057)</f>
        <v/>
      </c>
      <c r="M1057" s="30" t="str">
        <f aca="false">IF(F1057="","",L1057-J1057)</f>
        <v/>
      </c>
      <c r="N1057" s="32" t="str">
        <f aca="false">IF(F1057="","",IF(H1057&lt;&gt;"","Kapandı",IF('Vade Sapması'!$D$3&gt;G1057,"Açık · vadesi geçti","Açık · vadesi gelmedi")))</f>
        <v/>
      </c>
      <c r="O1057" s="30" t="str">
        <f aca="false">IF(F1057="","",IF(AND(H1057="",'Vade Sapması'!$D$3&gt;G1057),'Vade Sapması'!$D$3-G1057,0))</f>
        <v/>
      </c>
      <c r="P1057" s="33" t="str">
        <f aca="false">IF(F1057="","",F1057*J1057)</f>
        <v/>
      </c>
      <c r="Q1057" s="33" t="str">
        <f aca="false">IF(F1057="","",F1057*L1057)</f>
        <v/>
      </c>
      <c r="R1057" s="33" t="str">
        <f aca="false">IF(F1057="","",IF(H1057="",F1057,0))</f>
        <v/>
      </c>
      <c r="S1057" s="32" t="str">
        <f aca="false">IF(F1057="","",IF(N(O1057)=0,"",IF(O1057&lt;=30,"1-30",IF(O1057&lt;=60,"31-60",IF(O1057&lt;=90,"61-90","90+")))))</f>
        <v/>
      </c>
      <c r="T1057" s="32" t="str">
        <f aca="false">IF(F1057="","",IF(E1057="","Diğer",E1057))</f>
        <v/>
      </c>
      <c r="U1057" s="32" t="str">
        <f aca="false">IF(OR(F1057="",C1057=""),"",IF(COUNTIF($C$2:C1057,C1057)=1,MAX($U$1:U1056)+1,""))</f>
        <v/>
      </c>
    </row>
    <row r="1058" customFormat="false" ht="15" hidden="false" customHeight="false" outlineLevel="0" collapsed="false">
      <c r="A1058" s="34"/>
      <c r="B1058" s="9"/>
      <c r="C1058" s="34"/>
      <c r="D1058" s="34"/>
      <c r="E1058" s="34"/>
      <c r="F1058" s="35"/>
      <c r="G1058" s="9"/>
      <c r="H1058" s="9"/>
      <c r="I1058" s="34"/>
      <c r="J1058" s="30" t="str">
        <f aca="false">IF(F1058="","",G1058-B1058)</f>
        <v/>
      </c>
      <c r="K1058" s="31" t="str">
        <f aca="false">IF(F1058="","",IF(H1058&lt;&gt;"",H1058,MAX('Vade Sapması'!$D$3,G1058)))</f>
        <v/>
      </c>
      <c r="L1058" s="30" t="str">
        <f aca="false">IF(F1058="","",K1058-B1058)</f>
        <v/>
      </c>
      <c r="M1058" s="30" t="str">
        <f aca="false">IF(F1058="","",L1058-J1058)</f>
        <v/>
      </c>
      <c r="N1058" s="32" t="str">
        <f aca="false">IF(F1058="","",IF(H1058&lt;&gt;"","Kapandı",IF('Vade Sapması'!$D$3&gt;G1058,"Açık · vadesi geçti","Açık · vadesi gelmedi")))</f>
        <v/>
      </c>
      <c r="O1058" s="30" t="str">
        <f aca="false">IF(F1058="","",IF(AND(H1058="",'Vade Sapması'!$D$3&gt;G1058),'Vade Sapması'!$D$3-G1058,0))</f>
        <v/>
      </c>
      <c r="P1058" s="33" t="str">
        <f aca="false">IF(F1058="","",F1058*J1058)</f>
        <v/>
      </c>
      <c r="Q1058" s="33" t="str">
        <f aca="false">IF(F1058="","",F1058*L1058)</f>
        <v/>
      </c>
      <c r="R1058" s="33" t="str">
        <f aca="false">IF(F1058="","",IF(H1058="",F1058,0))</f>
        <v/>
      </c>
      <c r="S1058" s="32" t="str">
        <f aca="false">IF(F1058="","",IF(N(O1058)=0,"",IF(O1058&lt;=30,"1-30",IF(O1058&lt;=60,"31-60",IF(O1058&lt;=90,"61-90","90+")))))</f>
        <v/>
      </c>
      <c r="T1058" s="32" t="str">
        <f aca="false">IF(F1058="","",IF(E1058="","Diğer",E1058))</f>
        <v/>
      </c>
      <c r="U1058" s="32" t="str">
        <f aca="false">IF(OR(F1058="",C1058=""),"",IF(COUNTIF($C$2:C1058,C1058)=1,MAX($U$1:U1057)+1,""))</f>
        <v/>
      </c>
    </row>
    <row r="1059" customFormat="false" ht="15" hidden="false" customHeight="false" outlineLevel="0" collapsed="false">
      <c r="A1059" s="34"/>
      <c r="B1059" s="9"/>
      <c r="C1059" s="34"/>
      <c r="D1059" s="34"/>
      <c r="E1059" s="34"/>
      <c r="F1059" s="35"/>
      <c r="G1059" s="9"/>
      <c r="H1059" s="9"/>
      <c r="I1059" s="34"/>
      <c r="J1059" s="30" t="str">
        <f aca="false">IF(F1059="","",G1059-B1059)</f>
        <v/>
      </c>
      <c r="K1059" s="31" t="str">
        <f aca="false">IF(F1059="","",IF(H1059&lt;&gt;"",H1059,MAX('Vade Sapması'!$D$3,G1059)))</f>
        <v/>
      </c>
      <c r="L1059" s="30" t="str">
        <f aca="false">IF(F1059="","",K1059-B1059)</f>
        <v/>
      </c>
      <c r="M1059" s="30" t="str">
        <f aca="false">IF(F1059="","",L1059-J1059)</f>
        <v/>
      </c>
      <c r="N1059" s="32" t="str">
        <f aca="false">IF(F1059="","",IF(H1059&lt;&gt;"","Kapandı",IF('Vade Sapması'!$D$3&gt;G1059,"Açık · vadesi geçti","Açık · vadesi gelmedi")))</f>
        <v/>
      </c>
      <c r="O1059" s="30" t="str">
        <f aca="false">IF(F1059="","",IF(AND(H1059="",'Vade Sapması'!$D$3&gt;G1059),'Vade Sapması'!$D$3-G1059,0))</f>
        <v/>
      </c>
      <c r="P1059" s="33" t="str">
        <f aca="false">IF(F1059="","",F1059*J1059)</f>
        <v/>
      </c>
      <c r="Q1059" s="33" t="str">
        <f aca="false">IF(F1059="","",F1059*L1059)</f>
        <v/>
      </c>
      <c r="R1059" s="33" t="str">
        <f aca="false">IF(F1059="","",IF(H1059="",F1059,0))</f>
        <v/>
      </c>
      <c r="S1059" s="32" t="str">
        <f aca="false">IF(F1059="","",IF(N(O1059)=0,"",IF(O1059&lt;=30,"1-30",IF(O1059&lt;=60,"31-60",IF(O1059&lt;=90,"61-90","90+")))))</f>
        <v/>
      </c>
      <c r="T1059" s="32" t="str">
        <f aca="false">IF(F1059="","",IF(E1059="","Diğer",E1059))</f>
        <v/>
      </c>
      <c r="U1059" s="32" t="str">
        <f aca="false">IF(OR(F1059="",C1059=""),"",IF(COUNTIF($C$2:C1059,C1059)=1,MAX($U$1:U1058)+1,""))</f>
        <v/>
      </c>
    </row>
    <row r="1060" customFormat="false" ht="15" hidden="false" customHeight="false" outlineLevel="0" collapsed="false">
      <c r="A1060" s="34"/>
      <c r="B1060" s="9"/>
      <c r="C1060" s="34"/>
      <c r="D1060" s="34"/>
      <c r="E1060" s="34"/>
      <c r="F1060" s="35"/>
      <c r="G1060" s="9"/>
      <c r="H1060" s="9"/>
      <c r="I1060" s="34"/>
      <c r="J1060" s="30" t="str">
        <f aca="false">IF(F1060="","",G1060-B1060)</f>
        <v/>
      </c>
      <c r="K1060" s="31" t="str">
        <f aca="false">IF(F1060="","",IF(H1060&lt;&gt;"",H1060,MAX('Vade Sapması'!$D$3,G1060)))</f>
        <v/>
      </c>
      <c r="L1060" s="30" t="str">
        <f aca="false">IF(F1060="","",K1060-B1060)</f>
        <v/>
      </c>
      <c r="M1060" s="30" t="str">
        <f aca="false">IF(F1060="","",L1060-J1060)</f>
        <v/>
      </c>
      <c r="N1060" s="32" t="str">
        <f aca="false">IF(F1060="","",IF(H1060&lt;&gt;"","Kapandı",IF('Vade Sapması'!$D$3&gt;G1060,"Açık · vadesi geçti","Açık · vadesi gelmedi")))</f>
        <v/>
      </c>
      <c r="O1060" s="30" t="str">
        <f aca="false">IF(F1060="","",IF(AND(H1060="",'Vade Sapması'!$D$3&gt;G1060),'Vade Sapması'!$D$3-G1060,0))</f>
        <v/>
      </c>
      <c r="P1060" s="33" t="str">
        <f aca="false">IF(F1060="","",F1060*J1060)</f>
        <v/>
      </c>
      <c r="Q1060" s="33" t="str">
        <f aca="false">IF(F1060="","",F1060*L1060)</f>
        <v/>
      </c>
      <c r="R1060" s="33" t="str">
        <f aca="false">IF(F1060="","",IF(H1060="",F1060,0))</f>
        <v/>
      </c>
      <c r="S1060" s="32" t="str">
        <f aca="false">IF(F1060="","",IF(N(O1060)=0,"",IF(O1060&lt;=30,"1-30",IF(O1060&lt;=60,"31-60",IF(O1060&lt;=90,"61-90","90+")))))</f>
        <v/>
      </c>
      <c r="T1060" s="32" t="str">
        <f aca="false">IF(F1060="","",IF(E1060="","Diğer",E1060))</f>
        <v/>
      </c>
      <c r="U1060" s="32" t="str">
        <f aca="false">IF(OR(F1060="",C1060=""),"",IF(COUNTIF($C$2:C1060,C1060)=1,MAX($U$1:U1059)+1,""))</f>
        <v/>
      </c>
    </row>
    <row r="1061" customFormat="false" ht="15" hidden="false" customHeight="false" outlineLevel="0" collapsed="false">
      <c r="A1061" s="34"/>
      <c r="B1061" s="9"/>
      <c r="C1061" s="34"/>
      <c r="D1061" s="34"/>
      <c r="E1061" s="34"/>
      <c r="F1061" s="35"/>
      <c r="G1061" s="9"/>
      <c r="H1061" s="9"/>
      <c r="I1061" s="34"/>
      <c r="J1061" s="30" t="str">
        <f aca="false">IF(F1061="","",G1061-B1061)</f>
        <v/>
      </c>
      <c r="K1061" s="31" t="str">
        <f aca="false">IF(F1061="","",IF(H1061&lt;&gt;"",H1061,MAX('Vade Sapması'!$D$3,G1061)))</f>
        <v/>
      </c>
      <c r="L1061" s="30" t="str">
        <f aca="false">IF(F1061="","",K1061-B1061)</f>
        <v/>
      </c>
      <c r="M1061" s="30" t="str">
        <f aca="false">IF(F1061="","",L1061-J1061)</f>
        <v/>
      </c>
      <c r="N1061" s="32" t="str">
        <f aca="false">IF(F1061="","",IF(H1061&lt;&gt;"","Kapandı",IF('Vade Sapması'!$D$3&gt;G1061,"Açık · vadesi geçti","Açık · vadesi gelmedi")))</f>
        <v/>
      </c>
      <c r="O1061" s="30" t="str">
        <f aca="false">IF(F1061="","",IF(AND(H1061="",'Vade Sapması'!$D$3&gt;G1061),'Vade Sapması'!$D$3-G1061,0))</f>
        <v/>
      </c>
      <c r="P1061" s="33" t="str">
        <f aca="false">IF(F1061="","",F1061*J1061)</f>
        <v/>
      </c>
      <c r="Q1061" s="33" t="str">
        <f aca="false">IF(F1061="","",F1061*L1061)</f>
        <v/>
      </c>
      <c r="R1061" s="33" t="str">
        <f aca="false">IF(F1061="","",IF(H1061="",F1061,0))</f>
        <v/>
      </c>
      <c r="S1061" s="32" t="str">
        <f aca="false">IF(F1061="","",IF(N(O1061)=0,"",IF(O1061&lt;=30,"1-30",IF(O1061&lt;=60,"31-60",IF(O1061&lt;=90,"61-90","90+")))))</f>
        <v/>
      </c>
      <c r="T1061" s="32" t="str">
        <f aca="false">IF(F1061="","",IF(E1061="","Diğer",E1061))</f>
        <v/>
      </c>
      <c r="U1061" s="32" t="str">
        <f aca="false">IF(OR(F1061="",C1061=""),"",IF(COUNTIF($C$2:C1061,C1061)=1,MAX($U$1:U1060)+1,""))</f>
        <v/>
      </c>
    </row>
    <row r="1062" customFormat="false" ht="15" hidden="false" customHeight="false" outlineLevel="0" collapsed="false">
      <c r="A1062" s="34"/>
      <c r="B1062" s="9"/>
      <c r="C1062" s="34"/>
      <c r="D1062" s="34"/>
      <c r="E1062" s="34"/>
      <c r="F1062" s="35"/>
      <c r="G1062" s="9"/>
      <c r="H1062" s="9"/>
      <c r="I1062" s="34"/>
      <c r="J1062" s="30" t="str">
        <f aca="false">IF(F1062="","",G1062-B1062)</f>
        <v/>
      </c>
      <c r="K1062" s="31" t="str">
        <f aca="false">IF(F1062="","",IF(H1062&lt;&gt;"",H1062,MAX('Vade Sapması'!$D$3,G1062)))</f>
        <v/>
      </c>
      <c r="L1062" s="30" t="str">
        <f aca="false">IF(F1062="","",K1062-B1062)</f>
        <v/>
      </c>
      <c r="M1062" s="30" t="str">
        <f aca="false">IF(F1062="","",L1062-J1062)</f>
        <v/>
      </c>
      <c r="N1062" s="32" t="str">
        <f aca="false">IF(F1062="","",IF(H1062&lt;&gt;"","Kapandı",IF('Vade Sapması'!$D$3&gt;G1062,"Açık · vadesi geçti","Açık · vadesi gelmedi")))</f>
        <v/>
      </c>
      <c r="O1062" s="30" t="str">
        <f aca="false">IF(F1062="","",IF(AND(H1062="",'Vade Sapması'!$D$3&gt;G1062),'Vade Sapması'!$D$3-G1062,0))</f>
        <v/>
      </c>
      <c r="P1062" s="33" t="str">
        <f aca="false">IF(F1062="","",F1062*J1062)</f>
        <v/>
      </c>
      <c r="Q1062" s="33" t="str">
        <f aca="false">IF(F1062="","",F1062*L1062)</f>
        <v/>
      </c>
      <c r="R1062" s="33" t="str">
        <f aca="false">IF(F1062="","",IF(H1062="",F1062,0))</f>
        <v/>
      </c>
      <c r="S1062" s="32" t="str">
        <f aca="false">IF(F1062="","",IF(N(O1062)=0,"",IF(O1062&lt;=30,"1-30",IF(O1062&lt;=60,"31-60",IF(O1062&lt;=90,"61-90","90+")))))</f>
        <v/>
      </c>
      <c r="T1062" s="32" t="str">
        <f aca="false">IF(F1062="","",IF(E1062="","Diğer",E1062))</f>
        <v/>
      </c>
      <c r="U1062" s="32" t="str">
        <f aca="false">IF(OR(F1062="",C1062=""),"",IF(COUNTIF($C$2:C1062,C1062)=1,MAX($U$1:U1061)+1,""))</f>
        <v/>
      </c>
    </row>
    <row r="1063" customFormat="false" ht="15" hidden="false" customHeight="false" outlineLevel="0" collapsed="false">
      <c r="A1063" s="34"/>
      <c r="B1063" s="9"/>
      <c r="C1063" s="34"/>
      <c r="D1063" s="34"/>
      <c r="E1063" s="34"/>
      <c r="F1063" s="35"/>
      <c r="G1063" s="9"/>
      <c r="H1063" s="9"/>
      <c r="I1063" s="34"/>
      <c r="J1063" s="30" t="str">
        <f aca="false">IF(F1063="","",G1063-B1063)</f>
        <v/>
      </c>
      <c r="K1063" s="31" t="str">
        <f aca="false">IF(F1063="","",IF(H1063&lt;&gt;"",H1063,MAX('Vade Sapması'!$D$3,G1063)))</f>
        <v/>
      </c>
      <c r="L1063" s="30" t="str">
        <f aca="false">IF(F1063="","",K1063-B1063)</f>
        <v/>
      </c>
      <c r="M1063" s="30" t="str">
        <f aca="false">IF(F1063="","",L1063-J1063)</f>
        <v/>
      </c>
      <c r="N1063" s="32" t="str">
        <f aca="false">IF(F1063="","",IF(H1063&lt;&gt;"","Kapandı",IF('Vade Sapması'!$D$3&gt;G1063,"Açık · vadesi geçti","Açık · vadesi gelmedi")))</f>
        <v/>
      </c>
      <c r="O1063" s="30" t="str">
        <f aca="false">IF(F1063="","",IF(AND(H1063="",'Vade Sapması'!$D$3&gt;G1063),'Vade Sapması'!$D$3-G1063,0))</f>
        <v/>
      </c>
      <c r="P1063" s="33" t="str">
        <f aca="false">IF(F1063="","",F1063*J1063)</f>
        <v/>
      </c>
      <c r="Q1063" s="33" t="str">
        <f aca="false">IF(F1063="","",F1063*L1063)</f>
        <v/>
      </c>
      <c r="R1063" s="33" t="str">
        <f aca="false">IF(F1063="","",IF(H1063="",F1063,0))</f>
        <v/>
      </c>
      <c r="S1063" s="32" t="str">
        <f aca="false">IF(F1063="","",IF(N(O1063)=0,"",IF(O1063&lt;=30,"1-30",IF(O1063&lt;=60,"31-60",IF(O1063&lt;=90,"61-90","90+")))))</f>
        <v/>
      </c>
      <c r="T1063" s="32" t="str">
        <f aca="false">IF(F1063="","",IF(E1063="","Diğer",E1063))</f>
        <v/>
      </c>
      <c r="U1063" s="32" t="str">
        <f aca="false">IF(OR(F1063="",C1063=""),"",IF(COUNTIF($C$2:C1063,C1063)=1,MAX($U$1:U1062)+1,""))</f>
        <v/>
      </c>
    </row>
    <row r="1064" customFormat="false" ht="15" hidden="false" customHeight="false" outlineLevel="0" collapsed="false">
      <c r="A1064" s="34"/>
      <c r="B1064" s="9"/>
      <c r="C1064" s="34"/>
      <c r="D1064" s="34"/>
      <c r="E1064" s="34"/>
      <c r="F1064" s="35"/>
      <c r="G1064" s="9"/>
      <c r="H1064" s="9"/>
      <c r="I1064" s="34"/>
      <c r="J1064" s="30" t="str">
        <f aca="false">IF(F1064="","",G1064-B1064)</f>
        <v/>
      </c>
      <c r="K1064" s="31" t="str">
        <f aca="false">IF(F1064="","",IF(H1064&lt;&gt;"",H1064,MAX('Vade Sapması'!$D$3,G1064)))</f>
        <v/>
      </c>
      <c r="L1064" s="30" t="str">
        <f aca="false">IF(F1064="","",K1064-B1064)</f>
        <v/>
      </c>
      <c r="M1064" s="30" t="str">
        <f aca="false">IF(F1064="","",L1064-J1064)</f>
        <v/>
      </c>
      <c r="N1064" s="32" t="str">
        <f aca="false">IF(F1064="","",IF(H1064&lt;&gt;"","Kapandı",IF('Vade Sapması'!$D$3&gt;G1064,"Açık · vadesi geçti","Açık · vadesi gelmedi")))</f>
        <v/>
      </c>
      <c r="O1064" s="30" t="str">
        <f aca="false">IF(F1064="","",IF(AND(H1064="",'Vade Sapması'!$D$3&gt;G1064),'Vade Sapması'!$D$3-G1064,0))</f>
        <v/>
      </c>
      <c r="P1064" s="33" t="str">
        <f aca="false">IF(F1064="","",F1064*J1064)</f>
        <v/>
      </c>
      <c r="Q1064" s="33" t="str">
        <f aca="false">IF(F1064="","",F1064*L1064)</f>
        <v/>
      </c>
      <c r="R1064" s="33" t="str">
        <f aca="false">IF(F1064="","",IF(H1064="",F1064,0))</f>
        <v/>
      </c>
      <c r="S1064" s="32" t="str">
        <f aca="false">IF(F1064="","",IF(N(O1064)=0,"",IF(O1064&lt;=30,"1-30",IF(O1064&lt;=60,"31-60",IF(O1064&lt;=90,"61-90","90+")))))</f>
        <v/>
      </c>
      <c r="T1064" s="32" t="str">
        <f aca="false">IF(F1064="","",IF(E1064="","Diğer",E1064))</f>
        <v/>
      </c>
      <c r="U1064" s="32" t="str">
        <f aca="false">IF(OR(F1064="",C1064=""),"",IF(COUNTIF($C$2:C1064,C1064)=1,MAX($U$1:U1063)+1,""))</f>
        <v/>
      </c>
    </row>
    <row r="1065" customFormat="false" ht="15" hidden="false" customHeight="false" outlineLevel="0" collapsed="false">
      <c r="A1065" s="34"/>
      <c r="B1065" s="9"/>
      <c r="C1065" s="34"/>
      <c r="D1065" s="34"/>
      <c r="E1065" s="34"/>
      <c r="F1065" s="35"/>
      <c r="G1065" s="9"/>
      <c r="H1065" s="9"/>
      <c r="I1065" s="34"/>
      <c r="J1065" s="30" t="str">
        <f aca="false">IF(F1065="","",G1065-B1065)</f>
        <v/>
      </c>
      <c r="K1065" s="31" t="str">
        <f aca="false">IF(F1065="","",IF(H1065&lt;&gt;"",H1065,MAX('Vade Sapması'!$D$3,G1065)))</f>
        <v/>
      </c>
      <c r="L1065" s="30" t="str">
        <f aca="false">IF(F1065="","",K1065-B1065)</f>
        <v/>
      </c>
      <c r="M1065" s="30" t="str">
        <f aca="false">IF(F1065="","",L1065-J1065)</f>
        <v/>
      </c>
      <c r="N1065" s="32" t="str">
        <f aca="false">IF(F1065="","",IF(H1065&lt;&gt;"","Kapandı",IF('Vade Sapması'!$D$3&gt;G1065,"Açık · vadesi geçti","Açık · vadesi gelmedi")))</f>
        <v/>
      </c>
      <c r="O1065" s="30" t="str">
        <f aca="false">IF(F1065="","",IF(AND(H1065="",'Vade Sapması'!$D$3&gt;G1065),'Vade Sapması'!$D$3-G1065,0))</f>
        <v/>
      </c>
      <c r="P1065" s="33" t="str">
        <f aca="false">IF(F1065="","",F1065*J1065)</f>
        <v/>
      </c>
      <c r="Q1065" s="33" t="str">
        <f aca="false">IF(F1065="","",F1065*L1065)</f>
        <v/>
      </c>
      <c r="R1065" s="33" t="str">
        <f aca="false">IF(F1065="","",IF(H1065="",F1065,0))</f>
        <v/>
      </c>
      <c r="S1065" s="32" t="str">
        <f aca="false">IF(F1065="","",IF(N(O1065)=0,"",IF(O1065&lt;=30,"1-30",IF(O1065&lt;=60,"31-60",IF(O1065&lt;=90,"61-90","90+")))))</f>
        <v/>
      </c>
      <c r="T1065" s="32" t="str">
        <f aca="false">IF(F1065="","",IF(E1065="","Diğer",E1065))</f>
        <v/>
      </c>
      <c r="U1065" s="32" t="str">
        <f aca="false">IF(OR(F1065="",C1065=""),"",IF(COUNTIF($C$2:C1065,C1065)=1,MAX($U$1:U1064)+1,""))</f>
        <v/>
      </c>
    </row>
    <row r="1066" customFormat="false" ht="15" hidden="false" customHeight="false" outlineLevel="0" collapsed="false">
      <c r="A1066" s="34"/>
      <c r="B1066" s="9"/>
      <c r="C1066" s="34"/>
      <c r="D1066" s="34"/>
      <c r="E1066" s="34"/>
      <c r="F1066" s="35"/>
      <c r="G1066" s="9"/>
      <c r="H1066" s="9"/>
      <c r="I1066" s="34"/>
      <c r="J1066" s="30" t="str">
        <f aca="false">IF(F1066="","",G1066-B1066)</f>
        <v/>
      </c>
      <c r="K1066" s="31" t="str">
        <f aca="false">IF(F1066="","",IF(H1066&lt;&gt;"",H1066,MAX('Vade Sapması'!$D$3,G1066)))</f>
        <v/>
      </c>
      <c r="L1066" s="30" t="str">
        <f aca="false">IF(F1066="","",K1066-B1066)</f>
        <v/>
      </c>
      <c r="M1066" s="30" t="str">
        <f aca="false">IF(F1066="","",L1066-J1066)</f>
        <v/>
      </c>
      <c r="N1066" s="32" t="str">
        <f aca="false">IF(F1066="","",IF(H1066&lt;&gt;"","Kapandı",IF('Vade Sapması'!$D$3&gt;G1066,"Açık · vadesi geçti","Açık · vadesi gelmedi")))</f>
        <v/>
      </c>
      <c r="O1066" s="30" t="str">
        <f aca="false">IF(F1066="","",IF(AND(H1066="",'Vade Sapması'!$D$3&gt;G1066),'Vade Sapması'!$D$3-G1066,0))</f>
        <v/>
      </c>
      <c r="P1066" s="33" t="str">
        <f aca="false">IF(F1066="","",F1066*J1066)</f>
        <v/>
      </c>
      <c r="Q1066" s="33" t="str">
        <f aca="false">IF(F1066="","",F1066*L1066)</f>
        <v/>
      </c>
      <c r="R1066" s="33" t="str">
        <f aca="false">IF(F1066="","",IF(H1066="",F1066,0))</f>
        <v/>
      </c>
      <c r="S1066" s="32" t="str">
        <f aca="false">IF(F1066="","",IF(N(O1066)=0,"",IF(O1066&lt;=30,"1-30",IF(O1066&lt;=60,"31-60",IF(O1066&lt;=90,"61-90","90+")))))</f>
        <v/>
      </c>
      <c r="T1066" s="32" t="str">
        <f aca="false">IF(F1066="","",IF(E1066="","Diğer",E1066))</f>
        <v/>
      </c>
      <c r="U1066" s="32" t="str">
        <f aca="false">IF(OR(F1066="",C1066=""),"",IF(COUNTIF($C$2:C1066,C1066)=1,MAX($U$1:U1065)+1,""))</f>
        <v/>
      </c>
    </row>
    <row r="1067" customFormat="false" ht="15" hidden="false" customHeight="false" outlineLevel="0" collapsed="false">
      <c r="A1067" s="34"/>
      <c r="B1067" s="9"/>
      <c r="C1067" s="34"/>
      <c r="D1067" s="34"/>
      <c r="E1067" s="34"/>
      <c r="F1067" s="35"/>
      <c r="G1067" s="9"/>
      <c r="H1067" s="9"/>
      <c r="I1067" s="34"/>
      <c r="J1067" s="30" t="str">
        <f aca="false">IF(F1067="","",G1067-B1067)</f>
        <v/>
      </c>
      <c r="K1067" s="31" t="str">
        <f aca="false">IF(F1067="","",IF(H1067&lt;&gt;"",H1067,MAX('Vade Sapması'!$D$3,G1067)))</f>
        <v/>
      </c>
      <c r="L1067" s="30" t="str">
        <f aca="false">IF(F1067="","",K1067-B1067)</f>
        <v/>
      </c>
      <c r="M1067" s="30" t="str">
        <f aca="false">IF(F1067="","",L1067-J1067)</f>
        <v/>
      </c>
      <c r="N1067" s="32" t="str">
        <f aca="false">IF(F1067="","",IF(H1067&lt;&gt;"","Kapandı",IF('Vade Sapması'!$D$3&gt;G1067,"Açık · vadesi geçti","Açık · vadesi gelmedi")))</f>
        <v/>
      </c>
      <c r="O1067" s="30" t="str">
        <f aca="false">IF(F1067="","",IF(AND(H1067="",'Vade Sapması'!$D$3&gt;G1067),'Vade Sapması'!$D$3-G1067,0))</f>
        <v/>
      </c>
      <c r="P1067" s="33" t="str">
        <f aca="false">IF(F1067="","",F1067*J1067)</f>
        <v/>
      </c>
      <c r="Q1067" s="33" t="str">
        <f aca="false">IF(F1067="","",F1067*L1067)</f>
        <v/>
      </c>
      <c r="R1067" s="33" t="str">
        <f aca="false">IF(F1067="","",IF(H1067="",F1067,0))</f>
        <v/>
      </c>
      <c r="S1067" s="32" t="str">
        <f aca="false">IF(F1067="","",IF(N(O1067)=0,"",IF(O1067&lt;=30,"1-30",IF(O1067&lt;=60,"31-60",IF(O1067&lt;=90,"61-90","90+")))))</f>
        <v/>
      </c>
      <c r="T1067" s="32" t="str">
        <f aca="false">IF(F1067="","",IF(E1067="","Diğer",E1067))</f>
        <v/>
      </c>
      <c r="U1067" s="32" t="str">
        <f aca="false">IF(OR(F1067="",C1067=""),"",IF(COUNTIF($C$2:C1067,C1067)=1,MAX($U$1:U1066)+1,""))</f>
        <v/>
      </c>
    </row>
    <row r="1068" customFormat="false" ht="15" hidden="false" customHeight="false" outlineLevel="0" collapsed="false">
      <c r="A1068" s="34"/>
      <c r="B1068" s="9"/>
      <c r="C1068" s="34"/>
      <c r="D1068" s="34"/>
      <c r="E1068" s="34"/>
      <c r="F1068" s="35"/>
      <c r="G1068" s="9"/>
      <c r="H1068" s="9"/>
      <c r="I1068" s="34"/>
      <c r="J1068" s="30" t="str">
        <f aca="false">IF(F1068="","",G1068-B1068)</f>
        <v/>
      </c>
      <c r="K1068" s="31" t="str">
        <f aca="false">IF(F1068="","",IF(H1068&lt;&gt;"",H1068,MAX('Vade Sapması'!$D$3,G1068)))</f>
        <v/>
      </c>
      <c r="L1068" s="30" t="str">
        <f aca="false">IF(F1068="","",K1068-B1068)</f>
        <v/>
      </c>
      <c r="M1068" s="30" t="str">
        <f aca="false">IF(F1068="","",L1068-J1068)</f>
        <v/>
      </c>
      <c r="N1068" s="32" t="str">
        <f aca="false">IF(F1068="","",IF(H1068&lt;&gt;"","Kapandı",IF('Vade Sapması'!$D$3&gt;G1068,"Açık · vadesi geçti","Açık · vadesi gelmedi")))</f>
        <v/>
      </c>
      <c r="O1068" s="30" t="str">
        <f aca="false">IF(F1068="","",IF(AND(H1068="",'Vade Sapması'!$D$3&gt;G1068),'Vade Sapması'!$D$3-G1068,0))</f>
        <v/>
      </c>
      <c r="P1068" s="33" t="str">
        <f aca="false">IF(F1068="","",F1068*J1068)</f>
        <v/>
      </c>
      <c r="Q1068" s="33" t="str">
        <f aca="false">IF(F1068="","",F1068*L1068)</f>
        <v/>
      </c>
      <c r="R1068" s="33" t="str">
        <f aca="false">IF(F1068="","",IF(H1068="",F1068,0))</f>
        <v/>
      </c>
      <c r="S1068" s="32" t="str">
        <f aca="false">IF(F1068="","",IF(N(O1068)=0,"",IF(O1068&lt;=30,"1-30",IF(O1068&lt;=60,"31-60",IF(O1068&lt;=90,"61-90","90+")))))</f>
        <v/>
      </c>
      <c r="T1068" s="32" t="str">
        <f aca="false">IF(F1068="","",IF(E1068="","Diğer",E1068))</f>
        <v/>
      </c>
      <c r="U1068" s="32" t="str">
        <f aca="false">IF(OR(F1068="",C1068=""),"",IF(COUNTIF($C$2:C1068,C1068)=1,MAX($U$1:U1067)+1,""))</f>
        <v/>
      </c>
    </row>
    <row r="1069" customFormat="false" ht="15" hidden="false" customHeight="false" outlineLevel="0" collapsed="false">
      <c r="A1069" s="34"/>
      <c r="B1069" s="9"/>
      <c r="C1069" s="34"/>
      <c r="D1069" s="34"/>
      <c r="E1069" s="34"/>
      <c r="F1069" s="35"/>
      <c r="G1069" s="9"/>
      <c r="H1069" s="9"/>
      <c r="I1069" s="34"/>
      <c r="J1069" s="30" t="str">
        <f aca="false">IF(F1069="","",G1069-B1069)</f>
        <v/>
      </c>
      <c r="K1069" s="31" t="str">
        <f aca="false">IF(F1069="","",IF(H1069&lt;&gt;"",H1069,MAX('Vade Sapması'!$D$3,G1069)))</f>
        <v/>
      </c>
      <c r="L1069" s="30" t="str">
        <f aca="false">IF(F1069="","",K1069-B1069)</f>
        <v/>
      </c>
      <c r="M1069" s="30" t="str">
        <f aca="false">IF(F1069="","",L1069-J1069)</f>
        <v/>
      </c>
      <c r="N1069" s="32" t="str">
        <f aca="false">IF(F1069="","",IF(H1069&lt;&gt;"","Kapandı",IF('Vade Sapması'!$D$3&gt;G1069,"Açık · vadesi geçti","Açık · vadesi gelmedi")))</f>
        <v/>
      </c>
      <c r="O1069" s="30" t="str">
        <f aca="false">IF(F1069="","",IF(AND(H1069="",'Vade Sapması'!$D$3&gt;G1069),'Vade Sapması'!$D$3-G1069,0))</f>
        <v/>
      </c>
      <c r="P1069" s="33" t="str">
        <f aca="false">IF(F1069="","",F1069*J1069)</f>
        <v/>
      </c>
      <c r="Q1069" s="33" t="str">
        <f aca="false">IF(F1069="","",F1069*L1069)</f>
        <v/>
      </c>
      <c r="R1069" s="33" t="str">
        <f aca="false">IF(F1069="","",IF(H1069="",F1069,0))</f>
        <v/>
      </c>
      <c r="S1069" s="32" t="str">
        <f aca="false">IF(F1069="","",IF(N(O1069)=0,"",IF(O1069&lt;=30,"1-30",IF(O1069&lt;=60,"31-60",IF(O1069&lt;=90,"61-90","90+")))))</f>
        <v/>
      </c>
      <c r="T1069" s="32" t="str">
        <f aca="false">IF(F1069="","",IF(E1069="","Diğer",E1069))</f>
        <v/>
      </c>
      <c r="U1069" s="32" t="str">
        <f aca="false">IF(OR(F1069="",C1069=""),"",IF(COUNTIF($C$2:C1069,C1069)=1,MAX($U$1:U1068)+1,""))</f>
        <v/>
      </c>
    </row>
    <row r="1070" customFormat="false" ht="15" hidden="false" customHeight="false" outlineLevel="0" collapsed="false">
      <c r="A1070" s="34"/>
      <c r="B1070" s="9"/>
      <c r="C1070" s="34"/>
      <c r="D1070" s="34"/>
      <c r="E1070" s="34"/>
      <c r="F1070" s="35"/>
      <c r="G1070" s="9"/>
      <c r="H1070" s="9"/>
      <c r="I1070" s="34"/>
      <c r="J1070" s="30" t="str">
        <f aca="false">IF(F1070="","",G1070-B1070)</f>
        <v/>
      </c>
      <c r="K1070" s="31" t="str">
        <f aca="false">IF(F1070="","",IF(H1070&lt;&gt;"",H1070,MAX('Vade Sapması'!$D$3,G1070)))</f>
        <v/>
      </c>
      <c r="L1070" s="30" t="str">
        <f aca="false">IF(F1070="","",K1070-B1070)</f>
        <v/>
      </c>
      <c r="M1070" s="30" t="str">
        <f aca="false">IF(F1070="","",L1070-J1070)</f>
        <v/>
      </c>
      <c r="N1070" s="32" t="str">
        <f aca="false">IF(F1070="","",IF(H1070&lt;&gt;"","Kapandı",IF('Vade Sapması'!$D$3&gt;G1070,"Açık · vadesi geçti","Açık · vadesi gelmedi")))</f>
        <v/>
      </c>
      <c r="O1070" s="30" t="str">
        <f aca="false">IF(F1070="","",IF(AND(H1070="",'Vade Sapması'!$D$3&gt;G1070),'Vade Sapması'!$D$3-G1070,0))</f>
        <v/>
      </c>
      <c r="P1070" s="33" t="str">
        <f aca="false">IF(F1070="","",F1070*J1070)</f>
        <v/>
      </c>
      <c r="Q1070" s="33" t="str">
        <f aca="false">IF(F1070="","",F1070*L1070)</f>
        <v/>
      </c>
      <c r="R1070" s="33" t="str">
        <f aca="false">IF(F1070="","",IF(H1070="",F1070,0))</f>
        <v/>
      </c>
      <c r="S1070" s="32" t="str">
        <f aca="false">IF(F1070="","",IF(N(O1070)=0,"",IF(O1070&lt;=30,"1-30",IF(O1070&lt;=60,"31-60",IF(O1070&lt;=90,"61-90","90+")))))</f>
        <v/>
      </c>
      <c r="T1070" s="32" t="str">
        <f aca="false">IF(F1070="","",IF(E1070="","Diğer",E1070))</f>
        <v/>
      </c>
      <c r="U1070" s="32" t="str">
        <f aca="false">IF(OR(F1070="",C1070=""),"",IF(COUNTIF($C$2:C1070,C1070)=1,MAX($U$1:U1069)+1,""))</f>
        <v/>
      </c>
    </row>
    <row r="1071" customFormat="false" ht="15" hidden="false" customHeight="false" outlineLevel="0" collapsed="false">
      <c r="A1071" s="34"/>
      <c r="B1071" s="9"/>
      <c r="C1071" s="34"/>
      <c r="D1071" s="34"/>
      <c r="E1071" s="34"/>
      <c r="F1071" s="35"/>
      <c r="G1071" s="9"/>
      <c r="H1071" s="9"/>
      <c r="I1071" s="34"/>
      <c r="J1071" s="30" t="str">
        <f aca="false">IF(F1071="","",G1071-B1071)</f>
        <v/>
      </c>
      <c r="K1071" s="31" t="str">
        <f aca="false">IF(F1071="","",IF(H1071&lt;&gt;"",H1071,MAX('Vade Sapması'!$D$3,G1071)))</f>
        <v/>
      </c>
      <c r="L1071" s="30" t="str">
        <f aca="false">IF(F1071="","",K1071-B1071)</f>
        <v/>
      </c>
      <c r="M1071" s="30" t="str">
        <f aca="false">IF(F1071="","",L1071-J1071)</f>
        <v/>
      </c>
      <c r="N1071" s="32" t="str">
        <f aca="false">IF(F1071="","",IF(H1071&lt;&gt;"","Kapandı",IF('Vade Sapması'!$D$3&gt;G1071,"Açık · vadesi geçti","Açık · vadesi gelmedi")))</f>
        <v/>
      </c>
      <c r="O1071" s="30" t="str">
        <f aca="false">IF(F1071="","",IF(AND(H1071="",'Vade Sapması'!$D$3&gt;G1071),'Vade Sapması'!$D$3-G1071,0))</f>
        <v/>
      </c>
      <c r="P1071" s="33" t="str">
        <f aca="false">IF(F1071="","",F1071*J1071)</f>
        <v/>
      </c>
      <c r="Q1071" s="33" t="str">
        <f aca="false">IF(F1071="","",F1071*L1071)</f>
        <v/>
      </c>
      <c r="R1071" s="33" t="str">
        <f aca="false">IF(F1071="","",IF(H1071="",F1071,0))</f>
        <v/>
      </c>
      <c r="S1071" s="32" t="str">
        <f aca="false">IF(F1071="","",IF(N(O1071)=0,"",IF(O1071&lt;=30,"1-30",IF(O1071&lt;=60,"31-60",IF(O1071&lt;=90,"61-90","90+")))))</f>
        <v/>
      </c>
      <c r="T1071" s="32" t="str">
        <f aca="false">IF(F1071="","",IF(E1071="","Diğer",E1071))</f>
        <v/>
      </c>
      <c r="U1071" s="32" t="str">
        <f aca="false">IF(OR(F1071="",C1071=""),"",IF(COUNTIF($C$2:C1071,C1071)=1,MAX($U$1:U1070)+1,""))</f>
        <v/>
      </c>
    </row>
    <row r="1072" customFormat="false" ht="15" hidden="false" customHeight="false" outlineLevel="0" collapsed="false">
      <c r="A1072" s="34"/>
      <c r="B1072" s="9"/>
      <c r="C1072" s="34"/>
      <c r="D1072" s="34"/>
      <c r="E1072" s="34"/>
      <c r="F1072" s="35"/>
      <c r="G1072" s="9"/>
      <c r="H1072" s="9"/>
      <c r="I1072" s="34"/>
      <c r="J1072" s="30" t="str">
        <f aca="false">IF(F1072="","",G1072-B1072)</f>
        <v/>
      </c>
      <c r="K1072" s="31" t="str">
        <f aca="false">IF(F1072="","",IF(H1072&lt;&gt;"",H1072,MAX('Vade Sapması'!$D$3,G1072)))</f>
        <v/>
      </c>
      <c r="L1072" s="30" t="str">
        <f aca="false">IF(F1072="","",K1072-B1072)</f>
        <v/>
      </c>
      <c r="M1072" s="30" t="str">
        <f aca="false">IF(F1072="","",L1072-J1072)</f>
        <v/>
      </c>
      <c r="N1072" s="32" t="str">
        <f aca="false">IF(F1072="","",IF(H1072&lt;&gt;"","Kapandı",IF('Vade Sapması'!$D$3&gt;G1072,"Açık · vadesi geçti","Açık · vadesi gelmedi")))</f>
        <v/>
      </c>
      <c r="O1072" s="30" t="str">
        <f aca="false">IF(F1072="","",IF(AND(H1072="",'Vade Sapması'!$D$3&gt;G1072),'Vade Sapması'!$D$3-G1072,0))</f>
        <v/>
      </c>
      <c r="P1072" s="33" t="str">
        <f aca="false">IF(F1072="","",F1072*J1072)</f>
        <v/>
      </c>
      <c r="Q1072" s="33" t="str">
        <f aca="false">IF(F1072="","",F1072*L1072)</f>
        <v/>
      </c>
      <c r="R1072" s="33" t="str">
        <f aca="false">IF(F1072="","",IF(H1072="",F1072,0))</f>
        <v/>
      </c>
      <c r="S1072" s="32" t="str">
        <f aca="false">IF(F1072="","",IF(N(O1072)=0,"",IF(O1072&lt;=30,"1-30",IF(O1072&lt;=60,"31-60",IF(O1072&lt;=90,"61-90","90+")))))</f>
        <v/>
      </c>
      <c r="T1072" s="32" t="str">
        <f aca="false">IF(F1072="","",IF(E1072="","Diğer",E1072))</f>
        <v/>
      </c>
      <c r="U1072" s="32" t="str">
        <f aca="false">IF(OR(F1072="",C1072=""),"",IF(COUNTIF($C$2:C1072,C1072)=1,MAX($U$1:U1071)+1,""))</f>
        <v/>
      </c>
    </row>
    <row r="1073" customFormat="false" ht="15" hidden="false" customHeight="false" outlineLevel="0" collapsed="false">
      <c r="A1073" s="34"/>
      <c r="B1073" s="9"/>
      <c r="C1073" s="34"/>
      <c r="D1073" s="34"/>
      <c r="E1073" s="34"/>
      <c r="F1073" s="35"/>
      <c r="G1073" s="9"/>
      <c r="H1073" s="9"/>
      <c r="I1073" s="34"/>
      <c r="J1073" s="30" t="str">
        <f aca="false">IF(F1073="","",G1073-B1073)</f>
        <v/>
      </c>
      <c r="K1073" s="31" t="str">
        <f aca="false">IF(F1073="","",IF(H1073&lt;&gt;"",H1073,MAX('Vade Sapması'!$D$3,G1073)))</f>
        <v/>
      </c>
      <c r="L1073" s="30" t="str">
        <f aca="false">IF(F1073="","",K1073-B1073)</f>
        <v/>
      </c>
      <c r="M1073" s="30" t="str">
        <f aca="false">IF(F1073="","",L1073-J1073)</f>
        <v/>
      </c>
      <c r="N1073" s="32" t="str">
        <f aca="false">IF(F1073="","",IF(H1073&lt;&gt;"","Kapandı",IF('Vade Sapması'!$D$3&gt;G1073,"Açık · vadesi geçti","Açık · vadesi gelmedi")))</f>
        <v/>
      </c>
      <c r="O1073" s="30" t="str">
        <f aca="false">IF(F1073="","",IF(AND(H1073="",'Vade Sapması'!$D$3&gt;G1073),'Vade Sapması'!$D$3-G1073,0))</f>
        <v/>
      </c>
      <c r="P1073" s="33" t="str">
        <f aca="false">IF(F1073="","",F1073*J1073)</f>
        <v/>
      </c>
      <c r="Q1073" s="33" t="str">
        <f aca="false">IF(F1073="","",F1073*L1073)</f>
        <v/>
      </c>
      <c r="R1073" s="33" t="str">
        <f aca="false">IF(F1073="","",IF(H1073="",F1073,0))</f>
        <v/>
      </c>
      <c r="S1073" s="32" t="str">
        <f aca="false">IF(F1073="","",IF(N(O1073)=0,"",IF(O1073&lt;=30,"1-30",IF(O1073&lt;=60,"31-60",IF(O1073&lt;=90,"61-90","90+")))))</f>
        <v/>
      </c>
      <c r="T1073" s="32" t="str">
        <f aca="false">IF(F1073="","",IF(E1073="","Diğer",E1073))</f>
        <v/>
      </c>
      <c r="U1073" s="32" t="str">
        <f aca="false">IF(OR(F1073="",C1073=""),"",IF(COUNTIF($C$2:C1073,C1073)=1,MAX($U$1:U1072)+1,""))</f>
        <v/>
      </c>
    </row>
    <row r="1074" customFormat="false" ht="15" hidden="false" customHeight="false" outlineLevel="0" collapsed="false">
      <c r="A1074" s="34"/>
      <c r="B1074" s="9"/>
      <c r="C1074" s="34"/>
      <c r="D1074" s="34"/>
      <c r="E1074" s="34"/>
      <c r="F1074" s="35"/>
      <c r="G1074" s="9"/>
      <c r="H1074" s="9"/>
      <c r="I1074" s="34"/>
      <c r="J1074" s="30" t="str">
        <f aca="false">IF(F1074="","",G1074-B1074)</f>
        <v/>
      </c>
      <c r="K1074" s="31" t="str">
        <f aca="false">IF(F1074="","",IF(H1074&lt;&gt;"",H1074,MAX('Vade Sapması'!$D$3,G1074)))</f>
        <v/>
      </c>
      <c r="L1074" s="30" t="str">
        <f aca="false">IF(F1074="","",K1074-B1074)</f>
        <v/>
      </c>
      <c r="M1074" s="30" t="str">
        <f aca="false">IF(F1074="","",L1074-J1074)</f>
        <v/>
      </c>
      <c r="N1074" s="32" t="str">
        <f aca="false">IF(F1074="","",IF(H1074&lt;&gt;"","Kapandı",IF('Vade Sapması'!$D$3&gt;G1074,"Açık · vadesi geçti","Açık · vadesi gelmedi")))</f>
        <v/>
      </c>
      <c r="O1074" s="30" t="str">
        <f aca="false">IF(F1074="","",IF(AND(H1074="",'Vade Sapması'!$D$3&gt;G1074),'Vade Sapması'!$D$3-G1074,0))</f>
        <v/>
      </c>
      <c r="P1074" s="33" t="str">
        <f aca="false">IF(F1074="","",F1074*J1074)</f>
        <v/>
      </c>
      <c r="Q1074" s="33" t="str">
        <f aca="false">IF(F1074="","",F1074*L1074)</f>
        <v/>
      </c>
      <c r="R1074" s="33" t="str">
        <f aca="false">IF(F1074="","",IF(H1074="",F1074,0))</f>
        <v/>
      </c>
      <c r="S1074" s="32" t="str">
        <f aca="false">IF(F1074="","",IF(N(O1074)=0,"",IF(O1074&lt;=30,"1-30",IF(O1074&lt;=60,"31-60",IF(O1074&lt;=90,"61-90","90+")))))</f>
        <v/>
      </c>
      <c r="T1074" s="32" t="str">
        <f aca="false">IF(F1074="","",IF(E1074="","Diğer",E1074))</f>
        <v/>
      </c>
      <c r="U1074" s="32" t="str">
        <f aca="false">IF(OR(F1074="",C1074=""),"",IF(COUNTIF($C$2:C1074,C1074)=1,MAX($U$1:U1073)+1,""))</f>
        <v/>
      </c>
    </row>
    <row r="1075" customFormat="false" ht="15" hidden="false" customHeight="false" outlineLevel="0" collapsed="false">
      <c r="A1075" s="34"/>
      <c r="B1075" s="9"/>
      <c r="C1075" s="34"/>
      <c r="D1075" s="34"/>
      <c r="E1075" s="34"/>
      <c r="F1075" s="35"/>
      <c r="G1075" s="9"/>
      <c r="H1075" s="9"/>
      <c r="I1075" s="34"/>
      <c r="J1075" s="30" t="str">
        <f aca="false">IF(F1075="","",G1075-B1075)</f>
        <v/>
      </c>
      <c r="K1075" s="31" t="str">
        <f aca="false">IF(F1075="","",IF(H1075&lt;&gt;"",H1075,MAX('Vade Sapması'!$D$3,G1075)))</f>
        <v/>
      </c>
      <c r="L1075" s="30" t="str">
        <f aca="false">IF(F1075="","",K1075-B1075)</f>
        <v/>
      </c>
      <c r="M1075" s="30" t="str">
        <f aca="false">IF(F1075="","",L1075-J1075)</f>
        <v/>
      </c>
      <c r="N1075" s="32" t="str">
        <f aca="false">IF(F1075="","",IF(H1075&lt;&gt;"","Kapandı",IF('Vade Sapması'!$D$3&gt;G1075,"Açık · vadesi geçti","Açık · vadesi gelmedi")))</f>
        <v/>
      </c>
      <c r="O1075" s="30" t="str">
        <f aca="false">IF(F1075="","",IF(AND(H1075="",'Vade Sapması'!$D$3&gt;G1075),'Vade Sapması'!$D$3-G1075,0))</f>
        <v/>
      </c>
      <c r="P1075" s="33" t="str">
        <f aca="false">IF(F1075="","",F1075*J1075)</f>
        <v/>
      </c>
      <c r="Q1075" s="33" t="str">
        <f aca="false">IF(F1075="","",F1075*L1075)</f>
        <v/>
      </c>
      <c r="R1075" s="33" t="str">
        <f aca="false">IF(F1075="","",IF(H1075="",F1075,0))</f>
        <v/>
      </c>
      <c r="S1075" s="32" t="str">
        <f aca="false">IF(F1075="","",IF(N(O1075)=0,"",IF(O1075&lt;=30,"1-30",IF(O1075&lt;=60,"31-60",IF(O1075&lt;=90,"61-90","90+")))))</f>
        <v/>
      </c>
      <c r="T1075" s="32" t="str">
        <f aca="false">IF(F1075="","",IF(E1075="","Diğer",E1075))</f>
        <v/>
      </c>
      <c r="U1075" s="32" t="str">
        <f aca="false">IF(OR(F1075="",C1075=""),"",IF(COUNTIF($C$2:C1075,C1075)=1,MAX($U$1:U1074)+1,""))</f>
        <v/>
      </c>
    </row>
    <row r="1076" customFormat="false" ht="15" hidden="false" customHeight="false" outlineLevel="0" collapsed="false">
      <c r="A1076" s="34"/>
      <c r="B1076" s="9"/>
      <c r="C1076" s="34"/>
      <c r="D1076" s="34"/>
      <c r="E1076" s="34"/>
      <c r="F1076" s="35"/>
      <c r="G1076" s="9"/>
      <c r="H1076" s="9"/>
      <c r="I1076" s="34"/>
      <c r="J1076" s="30" t="str">
        <f aca="false">IF(F1076="","",G1076-B1076)</f>
        <v/>
      </c>
      <c r="K1076" s="31" t="str">
        <f aca="false">IF(F1076="","",IF(H1076&lt;&gt;"",H1076,MAX('Vade Sapması'!$D$3,G1076)))</f>
        <v/>
      </c>
      <c r="L1076" s="30" t="str">
        <f aca="false">IF(F1076="","",K1076-B1076)</f>
        <v/>
      </c>
      <c r="M1076" s="30" t="str">
        <f aca="false">IF(F1076="","",L1076-J1076)</f>
        <v/>
      </c>
      <c r="N1076" s="32" t="str">
        <f aca="false">IF(F1076="","",IF(H1076&lt;&gt;"","Kapandı",IF('Vade Sapması'!$D$3&gt;G1076,"Açık · vadesi geçti","Açık · vadesi gelmedi")))</f>
        <v/>
      </c>
      <c r="O1076" s="30" t="str">
        <f aca="false">IF(F1076="","",IF(AND(H1076="",'Vade Sapması'!$D$3&gt;G1076),'Vade Sapması'!$D$3-G1076,0))</f>
        <v/>
      </c>
      <c r="P1076" s="33" t="str">
        <f aca="false">IF(F1076="","",F1076*J1076)</f>
        <v/>
      </c>
      <c r="Q1076" s="33" t="str">
        <f aca="false">IF(F1076="","",F1076*L1076)</f>
        <v/>
      </c>
      <c r="R1076" s="33" t="str">
        <f aca="false">IF(F1076="","",IF(H1076="",F1076,0))</f>
        <v/>
      </c>
      <c r="S1076" s="32" t="str">
        <f aca="false">IF(F1076="","",IF(N(O1076)=0,"",IF(O1076&lt;=30,"1-30",IF(O1076&lt;=60,"31-60",IF(O1076&lt;=90,"61-90","90+")))))</f>
        <v/>
      </c>
      <c r="T1076" s="32" t="str">
        <f aca="false">IF(F1076="","",IF(E1076="","Diğer",E1076))</f>
        <v/>
      </c>
      <c r="U1076" s="32" t="str">
        <f aca="false">IF(OR(F1076="",C1076=""),"",IF(COUNTIF($C$2:C1076,C1076)=1,MAX($U$1:U1075)+1,""))</f>
        <v/>
      </c>
    </row>
    <row r="1077" customFormat="false" ht="15" hidden="false" customHeight="false" outlineLevel="0" collapsed="false">
      <c r="A1077" s="34"/>
      <c r="B1077" s="9"/>
      <c r="C1077" s="34"/>
      <c r="D1077" s="34"/>
      <c r="E1077" s="34"/>
      <c r="F1077" s="35"/>
      <c r="G1077" s="9"/>
      <c r="H1077" s="9"/>
      <c r="I1077" s="34"/>
      <c r="J1077" s="30" t="str">
        <f aca="false">IF(F1077="","",G1077-B1077)</f>
        <v/>
      </c>
      <c r="K1077" s="31" t="str">
        <f aca="false">IF(F1077="","",IF(H1077&lt;&gt;"",H1077,MAX('Vade Sapması'!$D$3,G1077)))</f>
        <v/>
      </c>
      <c r="L1077" s="30" t="str">
        <f aca="false">IF(F1077="","",K1077-B1077)</f>
        <v/>
      </c>
      <c r="M1077" s="30" t="str">
        <f aca="false">IF(F1077="","",L1077-J1077)</f>
        <v/>
      </c>
      <c r="N1077" s="32" t="str">
        <f aca="false">IF(F1077="","",IF(H1077&lt;&gt;"","Kapandı",IF('Vade Sapması'!$D$3&gt;G1077,"Açık · vadesi geçti","Açık · vadesi gelmedi")))</f>
        <v/>
      </c>
      <c r="O1077" s="30" t="str">
        <f aca="false">IF(F1077="","",IF(AND(H1077="",'Vade Sapması'!$D$3&gt;G1077),'Vade Sapması'!$D$3-G1077,0))</f>
        <v/>
      </c>
      <c r="P1077" s="33" t="str">
        <f aca="false">IF(F1077="","",F1077*J1077)</f>
        <v/>
      </c>
      <c r="Q1077" s="33" t="str">
        <f aca="false">IF(F1077="","",F1077*L1077)</f>
        <v/>
      </c>
      <c r="R1077" s="33" t="str">
        <f aca="false">IF(F1077="","",IF(H1077="",F1077,0))</f>
        <v/>
      </c>
      <c r="S1077" s="32" t="str">
        <f aca="false">IF(F1077="","",IF(N(O1077)=0,"",IF(O1077&lt;=30,"1-30",IF(O1077&lt;=60,"31-60",IF(O1077&lt;=90,"61-90","90+")))))</f>
        <v/>
      </c>
      <c r="T1077" s="32" t="str">
        <f aca="false">IF(F1077="","",IF(E1077="","Diğer",E1077))</f>
        <v/>
      </c>
      <c r="U1077" s="32" t="str">
        <f aca="false">IF(OR(F1077="",C1077=""),"",IF(COUNTIF($C$2:C1077,C1077)=1,MAX($U$1:U1076)+1,""))</f>
        <v/>
      </c>
    </row>
    <row r="1078" customFormat="false" ht="15" hidden="false" customHeight="false" outlineLevel="0" collapsed="false">
      <c r="A1078" s="34"/>
      <c r="B1078" s="9"/>
      <c r="C1078" s="34"/>
      <c r="D1078" s="34"/>
      <c r="E1078" s="34"/>
      <c r="F1078" s="35"/>
      <c r="G1078" s="9"/>
      <c r="H1078" s="9"/>
      <c r="I1078" s="34"/>
      <c r="J1078" s="30" t="str">
        <f aca="false">IF(F1078="","",G1078-B1078)</f>
        <v/>
      </c>
      <c r="K1078" s="31" t="str">
        <f aca="false">IF(F1078="","",IF(H1078&lt;&gt;"",H1078,MAX('Vade Sapması'!$D$3,G1078)))</f>
        <v/>
      </c>
      <c r="L1078" s="30" t="str">
        <f aca="false">IF(F1078="","",K1078-B1078)</f>
        <v/>
      </c>
      <c r="M1078" s="30" t="str">
        <f aca="false">IF(F1078="","",L1078-J1078)</f>
        <v/>
      </c>
      <c r="N1078" s="32" t="str">
        <f aca="false">IF(F1078="","",IF(H1078&lt;&gt;"","Kapandı",IF('Vade Sapması'!$D$3&gt;G1078,"Açık · vadesi geçti","Açık · vadesi gelmedi")))</f>
        <v/>
      </c>
      <c r="O1078" s="30" t="str">
        <f aca="false">IF(F1078="","",IF(AND(H1078="",'Vade Sapması'!$D$3&gt;G1078),'Vade Sapması'!$D$3-G1078,0))</f>
        <v/>
      </c>
      <c r="P1078" s="33" t="str">
        <f aca="false">IF(F1078="","",F1078*J1078)</f>
        <v/>
      </c>
      <c r="Q1078" s="33" t="str">
        <f aca="false">IF(F1078="","",F1078*L1078)</f>
        <v/>
      </c>
      <c r="R1078" s="33" t="str">
        <f aca="false">IF(F1078="","",IF(H1078="",F1078,0))</f>
        <v/>
      </c>
      <c r="S1078" s="32" t="str">
        <f aca="false">IF(F1078="","",IF(N(O1078)=0,"",IF(O1078&lt;=30,"1-30",IF(O1078&lt;=60,"31-60",IF(O1078&lt;=90,"61-90","90+")))))</f>
        <v/>
      </c>
      <c r="T1078" s="32" t="str">
        <f aca="false">IF(F1078="","",IF(E1078="","Diğer",E1078))</f>
        <v/>
      </c>
      <c r="U1078" s="32" t="str">
        <f aca="false">IF(OR(F1078="",C1078=""),"",IF(COUNTIF($C$2:C1078,C1078)=1,MAX($U$1:U1077)+1,""))</f>
        <v/>
      </c>
    </row>
    <row r="1079" customFormat="false" ht="15" hidden="false" customHeight="false" outlineLevel="0" collapsed="false">
      <c r="A1079" s="34"/>
      <c r="B1079" s="9"/>
      <c r="C1079" s="34"/>
      <c r="D1079" s="34"/>
      <c r="E1079" s="34"/>
      <c r="F1079" s="35"/>
      <c r="G1079" s="9"/>
      <c r="H1079" s="9"/>
      <c r="I1079" s="34"/>
      <c r="J1079" s="30" t="str">
        <f aca="false">IF(F1079="","",G1079-B1079)</f>
        <v/>
      </c>
      <c r="K1079" s="31" t="str">
        <f aca="false">IF(F1079="","",IF(H1079&lt;&gt;"",H1079,MAX('Vade Sapması'!$D$3,G1079)))</f>
        <v/>
      </c>
      <c r="L1079" s="30" t="str">
        <f aca="false">IF(F1079="","",K1079-B1079)</f>
        <v/>
      </c>
      <c r="M1079" s="30" t="str">
        <f aca="false">IF(F1079="","",L1079-J1079)</f>
        <v/>
      </c>
      <c r="N1079" s="32" t="str">
        <f aca="false">IF(F1079="","",IF(H1079&lt;&gt;"","Kapandı",IF('Vade Sapması'!$D$3&gt;G1079,"Açık · vadesi geçti","Açık · vadesi gelmedi")))</f>
        <v/>
      </c>
      <c r="O1079" s="30" t="str">
        <f aca="false">IF(F1079="","",IF(AND(H1079="",'Vade Sapması'!$D$3&gt;G1079),'Vade Sapması'!$D$3-G1079,0))</f>
        <v/>
      </c>
      <c r="P1079" s="33" t="str">
        <f aca="false">IF(F1079="","",F1079*J1079)</f>
        <v/>
      </c>
      <c r="Q1079" s="33" t="str">
        <f aca="false">IF(F1079="","",F1079*L1079)</f>
        <v/>
      </c>
      <c r="R1079" s="33" t="str">
        <f aca="false">IF(F1079="","",IF(H1079="",F1079,0))</f>
        <v/>
      </c>
      <c r="S1079" s="32" t="str">
        <f aca="false">IF(F1079="","",IF(N(O1079)=0,"",IF(O1079&lt;=30,"1-30",IF(O1079&lt;=60,"31-60",IF(O1079&lt;=90,"61-90","90+")))))</f>
        <v/>
      </c>
      <c r="T1079" s="32" t="str">
        <f aca="false">IF(F1079="","",IF(E1079="","Diğer",E1079))</f>
        <v/>
      </c>
      <c r="U1079" s="32" t="str">
        <f aca="false">IF(OR(F1079="",C1079=""),"",IF(COUNTIF($C$2:C1079,C1079)=1,MAX($U$1:U1078)+1,""))</f>
        <v/>
      </c>
    </row>
    <row r="1080" customFormat="false" ht="15" hidden="false" customHeight="false" outlineLevel="0" collapsed="false">
      <c r="A1080" s="34"/>
      <c r="B1080" s="9"/>
      <c r="C1080" s="34"/>
      <c r="D1080" s="34"/>
      <c r="E1080" s="34"/>
      <c r="F1080" s="35"/>
      <c r="G1080" s="9"/>
      <c r="H1080" s="9"/>
      <c r="I1080" s="34"/>
      <c r="J1080" s="30" t="str">
        <f aca="false">IF(F1080="","",G1080-B1080)</f>
        <v/>
      </c>
      <c r="K1080" s="31" t="str">
        <f aca="false">IF(F1080="","",IF(H1080&lt;&gt;"",H1080,MAX('Vade Sapması'!$D$3,G1080)))</f>
        <v/>
      </c>
      <c r="L1080" s="30" t="str">
        <f aca="false">IF(F1080="","",K1080-B1080)</f>
        <v/>
      </c>
      <c r="M1080" s="30" t="str">
        <f aca="false">IF(F1080="","",L1080-J1080)</f>
        <v/>
      </c>
      <c r="N1080" s="32" t="str">
        <f aca="false">IF(F1080="","",IF(H1080&lt;&gt;"","Kapandı",IF('Vade Sapması'!$D$3&gt;G1080,"Açık · vadesi geçti","Açık · vadesi gelmedi")))</f>
        <v/>
      </c>
      <c r="O1080" s="30" t="str">
        <f aca="false">IF(F1080="","",IF(AND(H1080="",'Vade Sapması'!$D$3&gt;G1080),'Vade Sapması'!$D$3-G1080,0))</f>
        <v/>
      </c>
      <c r="P1080" s="33" t="str">
        <f aca="false">IF(F1080="","",F1080*J1080)</f>
        <v/>
      </c>
      <c r="Q1080" s="33" t="str">
        <f aca="false">IF(F1080="","",F1080*L1080)</f>
        <v/>
      </c>
      <c r="R1080" s="33" t="str">
        <f aca="false">IF(F1080="","",IF(H1080="",F1080,0))</f>
        <v/>
      </c>
      <c r="S1080" s="32" t="str">
        <f aca="false">IF(F1080="","",IF(N(O1080)=0,"",IF(O1080&lt;=30,"1-30",IF(O1080&lt;=60,"31-60",IF(O1080&lt;=90,"61-90","90+")))))</f>
        <v/>
      </c>
      <c r="T1080" s="32" t="str">
        <f aca="false">IF(F1080="","",IF(E1080="","Diğer",E1080))</f>
        <v/>
      </c>
      <c r="U1080" s="32" t="str">
        <f aca="false">IF(OR(F1080="",C1080=""),"",IF(COUNTIF($C$2:C1080,C1080)=1,MAX($U$1:U1079)+1,""))</f>
        <v/>
      </c>
    </row>
    <row r="1081" customFormat="false" ht="15" hidden="false" customHeight="false" outlineLevel="0" collapsed="false">
      <c r="A1081" s="34"/>
      <c r="B1081" s="9"/>
      <c r="C1081" s="34"/>
      <c r="D1081" s="34"/>
      <c r="E1081" s="34"/>
      <c r="F1081" s="35"/>
      <c r="G1081" s="9"/>
      <c r="H1081" s="9"/>
      <c r="I1081" s="34"/>
      <c r="J1081" s="30" t="str">
        <f aca="false">IF(F1081="","",G1081-B1081)</f>
        <v/>
      </c>
      <c r="K1081" s="31" t="str">
        <f aca="false">IF(F1081="","",IF(H1081&lt;&gt;"",H1081,MAX('Vade Sapması'!$D$3,G1081)))</f>
        <v/>
      </c>
      <c r="L1081" s="30" t="str">
        <f aca="false">IF(F1081="","",K1081-B1081)</f>
        <v/>
      </c>
      <c r="M1081" s="30" t="str">
        <f aca="false">IF(F1081="","",L1081-J1081)</f>
        <v/>
      </c>
      <c r="N1081" s="32" t="str">
        <f aca="false">IF(F1081="","",IF(H1081&lt;&gt;"","Kapandı",IF('Vade Sapması'!$D$3&gt;G1081,"Açık · vadesi geçti","Açık · vadesi gelmedi")))</f>
        <v/>
      </c>
      <c r="O1081" s="30" t="str">
        <f aca="false">IF(F1081="","",IF(AND(H1081="",'Vade Sapması'!$D$3&gt;G1081),'Vade Sapması'!$D$3-G1081,0))</f>
        <v/>
      </c>
      <c r="P1081" s="33" t="str">
        <f aca="false">IF(F1081="","",F1081*J1081)</f>
        <v/>
      </c>
      <c r="Q1081" s="33" t="str">
        <f aca="false">IF(F1081="","",F1081*L1081)</f>
        <v/>
      </c>
      <c r="R1081" s="33" t="str">
        <f aca="false">IF(F1081="","",IF(H1081="",F1081,0))</f>
        <v/>
      </c>
      <c r="S1081" s="32" t="str">
        <f aca="false">IF(F1081="","",IF(N(O1081)=0,"",IF(O1081&lt;=30,"1-30",IF(O1081&lt;=60,"31-60",IF(O1081&lt;=90,"61-90","90+")))))</f>
        <v/>
      </c>
      <c r="T1081" s="32" t="str">
        <f aca="false">IF(F1081="","",IF(E1081="","Diğer",E1081))</f>
        <v/>
      </c>
      <c r="U1081" s="32" t="str">
        <f aca="false">IF(OR(F1081="",C1081=""),"",IF(COUNTIF($C$2:C1081,C1081)=1,MAX($U$1:U1080)+1,""))</f>
        <v/>
      </c>
    </row>
    <row r="1082" customFormat="false" ht="15" hidden="false" customHeight="false" outlineLevel="0" collapsed="false">
      <c r="A1082" s="34"/>
      <c r="B1082" s="9"/>
      <c r="C1082" s="34"/>
      <c r="D1082" s="34"/>
      <c r="E1082" s="34"/>
      <c r="F1082" s="35"/>
      <c r="G1082" s="9"/>
      <c r="H1082" s="9"/>
      <c r="I1082" s="34"/>
      <c r="J1082" s="30" t="str">
        <f aca="false">IF(F1082="","",G1082-B1082)</f>
        <v/>
      </c>
      <c r="K1082" s="31" t="str">
        <f aca="false">IF(F1082="","",IF(H1082&lt;&gt;"",H1082,MAX('Vade Sapması'!$D$3,G1082)))</f>
        <v/>
      </c>
      <c r="L1082" s="30" t="str">
        <f aca="false">IF(F1082="","",K1082-B1082)</f>
        <v/>
      </c>
      <c r="M1082" s="30" t="str">
        <f aca="false">IF(F1082="","",L1082-J1082)</f>
        <v/>
      </c>
      <c r="N1082" s="32" t="str">
        <f aca="false">IF(F1082="","",IF(H1082&lt;&gt;"","Kapandı",IF('Vade Sapması'!$D$3&gt;G1082,"Açık · vadesi geçti","Açık · vadesi gelmedi")))</f>
        <v/>
      </c>
      <c r="O1082" s="30" t="str">
        <f aca="false">IF(F1082="","",IF(AND(H1082="",'Vade Sapması'!$D$3&gt;G1082),'Vade Sapması'!$D$3-G1082,0))</f>
        <v/>
      </c>
      <c r="P1082" s="33" t="str">
        <f aca="false">IF(F1082="","",F1082*J1082)</f>
        <v/>
      </c>
      <c r="Q1082" s="33" t="str">
        <f aca="false">IF(F1082="","",F1082*L1082)</f>
        <v/>
      </c>
      <c r="R1082" s="33" t="str">
        <f aca="false">IF(F1082="","",IF(H1082="",F1082,0))</f>
        <v/>
      </c>
      <c r="S1082" s="32" t="str">
        <f aca="false">IF(F1082="","",IF(N(O1082)=0,"",IF(O1082&lt;=30,"1-30",IF(O1082&lt;=60,"31-60",IF(O1082&lt;=90,"61-90","90+")))))</f>
        <v/>
      </c>
      <c r="T1082" s="32" t="str">
        <f aca="false">IF(F1082="","",IF(E1082="","Diğer",E1082))</f>
        <v/>
      </c>
      <c r="U1082" s="32" t="str">
        <f aca="false">IF(OR(F1082="",C1082=""),"",IF(COUNTIF($C$2:C1082,C1082)=1,MAX($U$1:U1081)+1,""))</f>
        <v/>
      </c>
    </row>
    <row r="1083" customFormat="false" ht="15" hidden="false" customHeight="false" outlineLevel="0" collapsed="false">
      <c r="A1083" s="34"/>
      <c r="B1083" s="9"/>
      <c r="C1083" s="34"/>
      <c r="D1083" s="34"/>
      <c r="E1083" s="34"/>
      <c r="F1083" s="35"/>
      <c r="G1083" s="9"/>
      <c r="H1083" s="9"/>
      <c r="I1083" s="34"/>
      <c r="J1083" s="30" t="str">
        <f aca="false">IF(F1083="","",G1083-B1083)</f>
        <v/>
      </c>
      <c r="K1083" s="31" t="str">
        <f aca="false">IF(F1083="","",IF(H1083&lt;&gt;"",H1083,MAX('Vade Sapması'!$D$3,G1083)))</f>
        <v/>
      </c>
      <c r="L1083" s="30" t="str">
        <f aca="false">IF(F1083="","",K1083-B1083)</f>
        <v/>
      </c>
      <c r="M1083" s="30" t="str">
        <f aca="false">IF(F1083="","",L1083-J1083)</f>
        <v/>
      </c>
      <c r="N1083" s="32" t="str">
        <f aca="false">IF(F1083="","",IF(H1083&lt;&gt;"","Kapandı",IF('Vade Sapması'!$D$3&gt;G1083,"Açık · vadesi geçti","Açık · vadesi gelmedi")))</f>
        <v/>
      </c>
      <c r="O1083" s="30" t="str">
        <f aca="false">IF(F1083="","",IF(AND(H1083="",'Vade Sapması'!$D$3&gt;G1083),'Vade Sapması'!$D$3-G1083,0))</f>
        <v/>
      </c>
      <c r="P1083" s="33" t="str">
        <f aca="false">IF(F1083="","",F1083*J1083)</f>
        <v/>
      </c>
      <c r="Q1083" s="33" t="str">
        <f aca="false">IF(F1083="","",F1083*L1083)</f>
        <v/>
      </c>
      <c r="R1083" s="33" t="str">
        <f aca="false">IF(F1083="","",IF(H1083="",F1083,0))</f>
        <v/>
      </c>
      <c r="S1083" s="32" t="str">
        <f aca="false">IF(F1083="","",IF(N(O1083)=0,"",IF(O1083&lt;=30,"1-30",IF(O1083&lt;=60,"31-60",IF(O1083&lt;=90,"61-90","90+")))))</f>
        <v/>
      </c>
      <c r="T1083" s="32" t="str">
        <f aca="false">IF(F1083="","",IF(E1083="","Diğer",E1083))</f>
        <v/>
      </c>
      <c r="U1083" s="32" t="str">
        <f aca="false">IF(OR(F1083="",C1083=""),"",IF(COUNTIF($C$2:C1083,C1083)=1,MAX($U$1:U1082)+1,""))</f>
        <v/>
      </c>
    </row>
    <row r="1084" customFormat="false" ht="15" hidden="false" customHeight="false" outlineLevel="0" collapsed="false">
      <c r="A1084" s="34"/>
      <c r="B1084" s="9"/>
      <c r="C1084" s="34"/>
      <c r="D1084" s="34"/>
      <c r="E1084" s="34"/>
      <c r="F1084" s="35"/>
      <c r="G1084" s="9"/>
      <c r="H1084" s="9"/>
      <c r="I1084" s="34"/>
      <c r="J1084" s="30" t="str">
        <f aca="false">IF(F1084="","",G1084-B1084)</f>
        <v/>
      </c>
      <c r="K1084" s="31" t="str">
        <f aca="false">IF(F1084="","",IF(H1084&lt;&gt;"",H1084,MAX('Vade Sapması'!$D$3,G1084)))</f>
        <v/>
      </c>
      <c r="L1084" s="30" t="str">
        <f aca="false">IF(F1084="","",K1084-B1084)</f>
        <v/>
      </c>
      <c r="M1084" s="30" t="str">
        <f aca="false">IF(F1084="","",L1084-J1084)</f>
        <v/>
      </c>
      <c r="N1084" s="32" t="str">
        <f aca="false">IF(F1084="","",IF(H1084&lt;&gt;"","Kapandı",IF('Vade Sapması'!$D$3&gt;G1084,"Açık · vadesi geçti","Açık · vadesi gelmedi")))</f>
        <v/>
      </c>
      <c r="O1084" s="30" t="str">
        <f aca="false">IF(F1084="","",IF(AND(H1084="",'Vade Sapması'!$D$3&gt;G1084),'Vade Sapması'!$D$3-G1084,0))</f>
        <v/>
      </c>
      <c r="P1084" s="33" t="str">
        <f aca="false">IF(F1084="","",F1084*J1084)</f>
        <v/>
      </c>
      <c r="Q1084" s="33" t="str">
        <f aca="false">IF(F1084="","",F1084*L1084)</f>
        <v/>
      </c>
      <c r="R1084" s="33" t="str">
        <f aca="false">IF(F1084="","",IF(H1084="",F1084,0))</f>
        <v/>
      </c>
      <c r="S1084" s="32" t="str">
        <f aca="false">IF(F1084="","",IF(N(O1084)=0,"",IF(O1084&lt;=30,"1-30",IF(O1084&lt;=60,"31-60",IF(O1084&lt;=90,"61-90","90+")))))</f>
        <v/>
      </c>
      <c r="T1084" s="32" t="str">
        <f aca="false">IF(F1084="","",IF(E1084="","Diğer",E1084))</f>
        <v/>
      </c>
      <c r="U1084" s="32" t="str">
        <f aca="false">IF(OR(F1084="",C1084=""),"",IF(COUNTIF($C$2:C1084,C1084)=1,MAX($U$1:U1083)+1,""))</f>
        <v/>
      </c>
    </row>
    <row r="1085" customFormat="false" ht="15" hidden="false" customHeight="false" outlineLevel="0" collapsed="false">
      <c r="A1085" s="34"/>
      <c r="B1085" s="9"/>
      <c r="C1085" s="34"/>
      <c r="D1085" s="34"/>
      <c r="E1085" s="34"/>
      <c r="F1085" s="35"/>
      <c r="G1085" s="9"/>
      <c r="H1085" s="9"/>
      <c r="I1085" s="34"/>
      <c r="J1085" s="30" t="str">
        <f aca="false">IF(F1085="","",G1085-B1085)</f>
        <v/>
      </c>
      <c r="K1085" s="31" t="str">
        <f aca="false">IF(F1085="","",IF(H1085&lt;&gt;"",H1085,MAX('Vade Sapması'!$D$3,G1085)))</f>
        <v/>
      </c>
      <c r="L1085" s="30" t="str">
        <f aca="false">IF(F1085="","",K1085-B1085)</f>
        <v/>
      </c>
      <c r="M1085" s="30" t="str">
        <f aca="false">IF(F1085="","",L1085-J1085)</f>
        <v/>
      </c>
      <c r="N1085" s="32" t="str">
        <f aca="false">IF(F1085="","",IF(H1085&lt;&gt;"","Kapandı",IF('Vade Sapması'!$D$3&gt;G1085,"Açık · vadesi geçti","Açık · vadesi gelmedi")))</f>
        <v/>
      </c>
      <c r="O1085" s="30" t="str">
        <f aca="false">IF(F1085="","",IF(AND(H1085="",'Vade Sapması'!$D$3&gt;G1085),'Vade Sapması'!$D$3-G1085,0))</f>
        <v/>
      </c>
      <c r="P1085" s="33" t="str">
        <f aca="false">IF(F1085="","",F1085*J1085)</f>
        <v/>
      </c>
      <c r="Q1085" s="33" t="str">
        <f aca="false">IF(F1085="","",F1085*L1085)</f>
        <v/>
      </c>
      <c r="R1085" s="33" t="str">
        <f aca="false">IF(F1085="","",IF(H1085="",F1085,0))</f>
        <v/>
      </c>
      <c r="S1085" s="32" t="str">
        <f aca="false">IF(F1085="","",IF(N(O1085)=0,"",IF(O1085&lt;=30,"1-30",IF(O1085&lt;=60,"31-60",IF(O1085&lt;=90,"61-90","90+")))))</f>
        <v/>
      </c>
      <c r="T1085" s="32" t="str">
        <f aca="false">IF(F1085="","",IF(E1085="","Diğer",E1085))</f>
        <v/>
      </c>
      <c r="U1085" s="32" t="str">
        <f aca="false">IF(OR(F1085="",C1085=""),"",IF(COUNTIF($C$2:C1085,C1085)=1,MAX($U$1:U1084)+1,""))</f>
        <v/>
      </c>
    </row>
    <row r="1086" customFormat="false" ht="15" hidden="false" customHeight="false" outlineLevel="0" collapsed="false">
      <c r="A1086" s="34"/>
      <c r="B1086" s="9"/>
      <c r="C1086" s="34"/>
      <c r="D1086" s="34"/>
      <c r="E1086" s="34"/>
      <c r="F1086" s="35"/>
      <c r="G1086" s="9"/>
      <c r="H1086" s="9"/>
      <c r="I1086" s="34"/>
      <c r="J1086" s="30" t="str">
        <f aca="false">IF(F1086="","",G1086-B1086)</f>
        <v/>
      </c>
      <c r="K1086" s="31" t="str">
        <f aca="false">IF(F1086="","",IF(H1086&lt;&gt;"",H1086,MAX('Vade Sapması'!$D$3,G1086)))</f>
        <v/>
      </c>
      <c r="L1086" s="30" t="str">
        <f aca="false">IF(F1086="","",K1086-B1086)</f>
        <v/>
      </c>
      <c r="M1086" s="30" t="str">
        <f aca="false">IF(F1086="","",L1086-J1086)</f>
        <v/>
      </c>
      <c r="N1086" s="32" t="str">
        <f aca="false">IF(F1086="","",IF(H1086&lt;&gt;"","Kapandı",IF('Vade Sapması'!$D$3&gt;G1086,"Açık · vadesi geçti","Açık · vadesi gelmedi")))</f>
        <v/>
      </c>
      <c r="O1086" s="30" t="str">
        <f aca="false">IF(F1086="","",IF(AND(H1086="",'Vade Sapması'!$D$3&gt;G1086),'Vade Sapması'!$D$3-G1086,0))</f>
        <v/>
      </c>
      <c r="P1086" s="33" t="str">
        <f aca="false">IF(F1086="","",F1086*J1086)</f>
        <v/>
      </c>
      <c r="Q1086" s="33" t="str">
        <f aca="false">IF(F1086="","",F1086*L1086)</f>
        <v/>
      </c>
      <c r="R1086" s="33" t="str">
        <f aca="false">IF(F1086="","",IF(H1086="",F1086,0))</f>
        <v/>
      </c>
      <c r="S1086" s="32" t="str">
        <f aca="false">IF(F1086="","",IF(N(O1086)=0,"",IF(O1086&lt;=30,"1-30",IF(O1086&lt;=60,"31-60",IF(O1086&lt;=90,"61-90","90+")))))</f>
        <v/>
      </c>
      <c r="T1086" s="32" t="str">
        <f aca="false">IF(F1086="","",IF(E1086="","Diğer",E1086))</f>
        <v/>
      </c>
      <c r="U1086" s="32" t="str">
        <f aca="false">IF(OR(F1086="",C1086=""),"",IF(COUNTIF($C$2:C1086,C1086)=1,MAX($U$1:U1085)+1,""))</f>
        <v/>
      </c>
    </row>
    <row r="1087" customFormat="false" ht="15" hidden="false" customHeight="false" outlineLevel="0" collapsed="false">
      <c r="A1087" s="34"/>
      <c r="B1087" s="9"/>
      <c r="C1087" s="34"/>
      <c r="D1087" s="34"/>
      <c r="E1087" s="34"/>
      <c r="F1087" s="35"/>
      <c r="G1087" s="9"/>
      <c r="H1087" s="9"/>
      <c r="I1087" s="34"/>
      <c r="J1087" s="30" t="str">
        <f aca="false">IF(F1087="","",G1087-B1087)</f>
        <v/>
      </c>
      <c r="K1087" s="31" t="str">
        <f aca="false">IF(F1087="","",IF(H1087&lt;&gt;"",H1087,MAX('Vade Sapması'!$D$3,G1087)))</f>
        <v/>
      </c>
      <c r="L1087" s="30" t="str">
        <f aca="false">IF(F1087="","",K1087-B1087)</f>
        <v/>
      </c>
      <c r="M1087" s="30" t="str">
        <f aca="false">IF(F1087="","",L1087-J1087)</f>
        <v/>
      </c>
      <c r="N1087" s="32" t="str">
        <f aca="false">IF(F1087="","",IF(H1087&lt;&gt;"","Kapandı",IF('Vade Sapması'!$D$3&gt;G1087,"Açık · vadesi geçti","Açık · vadesi gelmedi")))</f>
        <v/>
      </c>
      <c r="O1087" s="30" t="str">
        <f aca="false">IF(F1087="","",IF(AND(H1087="",'Vade Sapması'!$D$3&gt;G1087),'Vade Sapması'!$D$3-G1087,0))</f>
        <v/>
      </c>
      <c r="P1087" s="33" t="str">
        <f aca="false">IF(F1087="","",F1087*J1087)</f>
        <v/>
      </c>
      <c r="Q1087" s="33" t="str">
        <f aca="false">IF(F1087="","",F1087*L1087)</f>
        <v/>
      </c>
      <c r="R1087" s="33" t="str">
        <f aca="false">IF(F1087="","",IF(H1087="",F1087,0))</f>
        <v/>
      </c>
      <c r="S1087" s="32" t="str">
        <f aca="false">IF(F1087="","",IF(N(O1087)=0,"",IF(O1087&lt;=30,"1-30",IF(O1087&lt;=60,"31-60",IF(O1087&lt;=90,"61-90","90+")))))</f>
        <v/>
      </c>
      <c r="T1087" s="32" t="str">
        <f aca="false">IF(F1087="","",IF(E1087="","Diğer",E1087))</f>
        <v/>
      </c>
      <c r="U1087" s="32" t="str">
        <f aca="false">IF(OR(F1087="",C1087=""),"",IF(COUNTIF($C$2:C1087,C1087)=1,MAX($U$1:U1086)+1,""))</f>
        <v/>
      </c>
    </row>
    <row r="1088" customFormat="false" ht="15" hidden="false" customHeight="false" outlineLevel="0" collapsed="false">
      <c r="A1088" s="34"/>
      <c r="B1088" s="9"/>
      <c r="C1088" s="34"/>
      <c r="D1088" s="34"/>
      <c r="E1088" s="34"/>
      <c r="F1088" s="35"/>
      <c r="G1088" s="9"/>
      <c r="H1088" s="9"/>
      <c r="I1088" s="34"/>
      <c r="J1088" s="30" t="str">
        <f aca="false">IF(F1088="","",G1088-B1088)</f>
        <v/>
      </c>
      <c r="K1088" s="31" t="str">
        <f aca="false">IF(F1088="","",IF(H1088&lt;&gt;"",H1088,MAX('Vade Sapması'!$D$3,G1088)))</f>
        <v/>
      </c>
      <c r="L1088" s="30" t="str">
        <f aca="false">IF(F1088="","",K1088-B1088)</f>
        <v/>
      </c>
      <c r="M1088" s="30" t="str">
        <f aca="false">IF(F1088="","",L1088-J1088)</f>
        <v/>
      </c>
      <c r="N1088" s="32" t="str">
        <f aca="false">IF(F1088="","",IF(H1088&lt;&gt;"","Kapandı",IF('Vade Sapması'!$D$3&gt;G1088,"Açık · vadesi geçti","Açık · vadesi gelmedi")))</f>
        <v/>
      </c>
      <c r="O1088" s="30" t="str">
        <f aca="false">IF(F1088="","",IF(AND(H1088="",'Vade Sapması'!$D$3&gt;G1088),'Vade Sapması'!$D$3-G1088,0))</f>
        <v/>
      </c>
      <c r="P1088" s="33" t="str">
        <f aca="false">IF(F1088="","",F1088*J1088)</f>
        <v/>
      </c>
      <c r="Q1088" s="33" t="str">
        <f aca="false">IF(F1088="","",F1088*L1088)</f>
        <v/>
      </c>
      <c r="R1088" s="33" t="str">
        <f aca="false">IF(F1088="","",IF(H1088="",F1088,0))</f>
        <v/>
      </c>
      <c r="S1088" s="32" t="str">
        <f aca="false">IF(F1088="","",IF(N(O1088)=0,"",IF(O1088&lt;=30,"1-30",IF(O1088&lt;=60,"31-60",IF(O1088&lt;=90,"61-90","90+")))))</f>
        <v/>
      </c>
      <c r="T1088" s="32" t="str">
        <f aca="false">IF(F1088="","",IF(E1088="","Diğer",E1088))</f>
        <v/>
      </c>
      <c r="U1088" s="32" t="str">
        <f aca="false">IF(OR(F1088="",C1088=""),"",IF(COUNTIF($C$2:C1088,C1088)=1,MAX($U$1:U1087)+1,""))</f>
        <v/>
      </c>
    </row>
    <row r="1089" customFormat="false" ht="15" hidden="false" customHeight="false" outlineLevel="0" collapsed="false">
      <c r="A1089" s="34"/>
      <c r="B1089" s="9"/>
      <c r="C1089" s="34"/>
      <c r="D1089" s="34"/>
      <c r="E1089" s="34"/>
      <c r="F1089" s="35"/>
      <c r="G1089" s="9"/>
      <c r="H1089" s="9"/>
      <c r="I1089" s="34"/>
      <c r="J1089" s="30" t="str">
        <f aca="false">IF(F1089="","",G1089-B1089)</f>
        <v/>
      </c>
      <c r="K1089" s="31" t="str">
        <f aca="false">IF(F1089="","",IF(H1089&lt;&gt;"",H1089,MAX('Vade Sapması'!$D$3,G1089)))</f>
        <v/>
      </c>
      <c r="L1089" s="30" t="str">
        <f aca="false">IF(F1089="","",K1089-B1089)</f>
        <v/>
      </c>
      <c r="M1089" s="30" t="str">
        <f aca="false">IF(F1089="","",L1089-J1089)</f>
        <v/>
      </c>
      <c r="N1089" s="32" t="str">
        <f aca="false">IF(F1089="","",IF(H1089&lt;&gt;"","Kapandı",IF('Vade Sapması'!$D$3&gt;G1089,"Açık · vadesi geçti","Açık · vadesi gelmedi")))</f>
        <v/>
      </c>
      <c r="O1089" s="30" t="str">
        <f aca="false">IF(F1089="","",IF(AND(H1089="",'Vade Sapması'!$D$3&gt;G1089),'Vade Sapması'!$D$3-G1089,0))</f>
        <v/>
      </c>
      <c r="P1089" s="33" t="str">
        <f aca="false">IF(F1089="","",F1089*J1089)</f>
        <v/>
      </c>
      <c r="Q1089" s="33" t="str">
        <f aca="false">IF(F1089="","",F1089*L1089)</f>
        <v/>
      </c>
      <c r="R1089" s="33" t="str">
        <f aca="false">IF(F1089="","",IF(H1089="",F1089,0))</f>
        <v/>
      </c>
      <c r="S1089" s="32" t="str">
        <f aca="false">IF(F1089="","",IF(N(O1089)=0,"",IF(O1089&lt;=30,"1-30",IF(O1089&lt;=60,"31-60",IF(O1089&lt;=90,"61-90","90+")))))</f>
        <v/>
      </c>
      <c r="T1089" s="32" t="str">
        <f aca="false">IF(F1089="","",IF(E1089="","Diğer",E1089))</f>
        <v/>
      </c>
      <c r="U1089" s="32" t="str">
        <f aca="false">IF(OR(F1089="",C1089=""),"",IF(COUNTIF($C$2:C1089,C1089)=1,MAX($U$1:U1088)+1,""))</f>
        <v/>
      </c>
    </row>
    <row r="1090" customFormat="false" ht="15" hidden="false" customHeight="false" outlineLevel="0" collapsed="false">
      <c r="A1090" s="34"/>
      <c r="B1090" s="9"/>
      <c r="C1090" s="34"/>
      <c r="D1090" s="34"/>
      <c r="E1090" s="34"/>
      <c r="F1090" s="35"/>
      <c r="G1090" s="9"/>
      <c r="H1090" s="9"/>
      <c r="I1090" s="34"/>
      <c r="J1090" s="30" t="str">
        <f aca="false">IF(F1090="","",G1090-B1090)</f>
        <v/>
      </c>
      <c r="K1090" s="31" t="str">
        <f aca="false">IF(F1090="","",IF(H1090&lt;&gt;"",H1090,MAX('Vade Sapması'!$D$3,G1090)))</f>
        <v/>
      </c>
      <c r="L1090" s="30" t="str">
        <f aca="false">IF(F1090="","",K1090-B1090)</f>
        <v/>
      </c>
      <c r="M1090" s="30" t="str">
        <f aca="false">IF(F1090="","",L1090-J1090)</f>
        <v/>
      </c>
      <c r="N1090" s="32" t="str">
        <f aca="false">IF(F1090="","",IF(H1090&lt;&gt;"","Kapandı",IF('Vade Sapması'!$D$3&gt;G1090,"Açık · vadesi geçti","Açık · vadesi gelmedi")))</f>
        <v/>
      </c>
      <c r="O1090" s="30" t="str">
        <f aca="false">IF(F1090="","",IF(AND(H1090="",'Vade Sapması'!$D$3&gt;G1090),'Vade Sapması'!$D$3-G1090,0))</f>
        <v/>
      </c>
      <c r="P1090" s="33" t="str">
        <f aca="false">IF(F1090="","",F1090*J1090)</f>
        <v/>
      </c>
      <c r="Q1090" s="33" t="str">
        <f aca="false">IF(F1090="","",F1090*L1090)</f>
        <v/>
      </c>
      <c r="R1090" s="33" t="str">
        <f aca="false">IF(F1090="","",IF(H1090="",F1090,0))</f>
        <v/>
      </c>
      <c r="S1090" s="32" t="str">
        <f aca="false">IF(F1090="","",IF(N(O1090)=0,"",IF(O1090&lt;=30,"1-30",IF(O1090&lt;=60,"31-60",IF(O1090&lt;=90,"61-90","90+")))))</f>
        <v/>
      </c>
      <c r="T1090" s="32" t="str">
        <f aca="false">IF(F1090="","",IF(E1090="","Diğer",E1090))</f>
        <v/>
      </c>
      <c r="U1090" s="32" t="str">
        <f aca="false">IF(OR(F1090="",C1090=""),"",IF(COUNTIF($C$2:C1090,C1090)=1,MAX($U$1:U1089)+1,""))</f>
        <v/>
      </c>
    </row>
    <row r="1091" customFormat="false" ht="15" hidden="false" customHeight="false" outlineLevel="0" collapsed="false">
      <c r="A1091" s="34"/>
      <c r="B1091" s="9"/>
      <c r="C1091" s="34"/>
      <c r="D1091" s="34"/>
      <c r="E1091" s="34"/>
      <c r="F1091" s="35"/>
      <c r="G1091" s="9"/>
      <c r="H1091" s="9"/>
      <c r="I1091" s="34"/>
      <c r="J1091" s="30" t="str">
        <f aca="false">IF(F1091="","",G1091-B1091)</f>
        <v/>
      </c>
      <c r="K1091" s="31" t="str">
        <f aca="false">IF(F1091="","",IF(H1091&lt;&gt;"",H1091,MAX('Vade Sapması'!$D$3,G1091)))</f>
        <v/>
      </c>
      <c r="L1091" s="30" t="str">
        <f aca="false">IF(F1091="","",K1091-B1091)</f>
        <v/>
      </c>
      <c r="M1091" s="30" t="str">
        <f aca="false">IF(F1091="","",L1091-J1091)</f>
        <v/>
      </c>
      <c r="N1091" s="32" t="str">
        <f aca="false">IF(F1091="","",IF(H1091&lt;&gt;"","Kapandı",IF('Vade Sapması'!$D$3&gt;G1091,"Açık · vadesi geçti","Açık · vadesi gelmedi")))</f>
        <v/>
      </c>
      <c r="O1091" s="30" t="str">
        <f aca="false">IF(F1091="","",IF(AND(H1091="",'Vade Sapması'!$D$3&gt;G1091),'Vade Sapması'!$D$3-G1091,0))</f>
        <v/>
      </c>
      <c r="P1091" s="33" t="str">
        <f aca="false">IF(F1091="","",F1091*J1091)</f>
        <v/>
      </c>
      <c r="Q1091" s="33" t="str">
        <f aca="false">IF(F1091="","",F1091*L1091)</f>
        <v/>
      </c>
      <c r="R1091" s="33" t="str">
        <f aca="false">IF(F1091="","",IF(H1091="",F1091,0))</f>
        <v/>
      </c>
      <c r="S1091" s="32" t="str">
        <f aca="false">IF(F1091="","",IF(N(O1091)=0,"",IF(O1091&lt;=30,"1-30",IF(O1091&lt;=60,"31-60",IF(O1091&lt;=90,"61-90","90+")))))</f>
        <v/>
      </c>
      <c r="T1091" s="32" t="str">
        <f aca="false">IF(F1091="","",IF(E1091="","Diğer",E1091))</f>
        <v/>
      </c>
      <c r="U1091" s="32" t="str">
        <f aca="false">IF(OR(F1091="",C1091=""),"",IF(COUNTIF($C$2:C1091,C1091)=1,MAX($U$1:U1090)+1,""))</f>
        <v/>
      </c>
    </row>
    <row r="1092" customFormat="false" ht="15" hidden="false" customHeight="false" outlineLevel="0" collapsed="false">
      <c r="A1092" s="34"/>
      <c r="B1092" s="9"/>
      <c r="C1092" s="34"/>
      <c r="D1092" s="34"/>
      <c r="E1092" s="34"/>
      <c r="F1092" s="35"/>
      <c r="G1092" s="9"/>
      <c r="H1092" s="9"/>
      <c r="I1092" s="34"/>
      <c r="J1092" s="30" t="str">
        <f aca="false">IF(F1092="","",G1092-B1092)</f>
        <v/>
      </c>
      <c r="K1092" s="31" t="str">
        <f aca="false">IF(F1092="","",IF(H1092&lt;&gt;"",H1092,MAX('Vade Sapması'!$D$3,G1092)))</f>
        <v/>
      </c>
      <c r="L1092" s="30" t="str">
        <f aca="false">IF(F1092="","",K1092-B1092)</f>
        <v/>
      </c>
      <c r="M1092" s="30" t="str">
        <f aca="false">IF(F1092="","",L1092-J1092)</f>
        <v/>
      </c>
      <c r="N1092" s="32" t="str">
        <f aca="false">IF(F1092="","",IF(H1092&lt;&gt;"","Kapandı",IF('Vade Sapması'!$D$3&gt;G1092,"Açık · vadesi geçti","Açık · vadesi gelmedi")))</f>
        <v/>
      </c>
      <c r="O1092" s="30" t="str">
        <f aca="false">IF(F1092="","",IF(AND(H1092="",'Vade Sapması'!$D$3&gt;G1092),'Vade Sapması'!$D$3-G1092,0))</f>
        <v/>
      </c>
      <c r="P1092" s="33" t="str">
        <f aca="false">IF(F1092="","",F1092*J1092)</f>
        <v/>
      </c>
      <c r="Q1092" s="33" t="str">
        <f aca="false">IF(F1092="","",F1092*L1092)</f>
        <v/>
      </c>
      <c r="R1092" s="33" t="str">
        <f aca="false">IF(F1092="","",IF(H1092="",F1092,0))</f>
        <v/>
      </c>
      <c r="S1092" s="32" t="str">
        <f aca="false">IF(F1092="","",IF(N(O1092)=0,"",IF(O1092&lt;=30,"1-30",IF(O1092&lt;=60,"31-60",IF(O1092&lt;=90,"61-90","90+")))))</f>
        <v/>
      </c>
      <c r="T1092" s="32" t="str">
        <f aca="false">IF(F1092="","",IF(E1092="","Diğer",E1092))</f>
        <v/>
      </c>
      <c r="U1092" s="32" t="str">
        <f aca="false">IF(OR(F1092="",C1092=""),"",IF(COUNTIF($C$2:C1092,C1092)=1,MAX($U$1:U1091)+1,""))</f>
        <v/>
      </c>
    </row>
    <row r="1093" customFormat="false" ht="15" hidden="false" customHeight="false" outlineLevel="0" collapsed="false">
      <c r="A1093" s="34"/>
      <c r="B1093" s="9"/>
      <c r="C1093" s="34"/>
      <c r="D1093" s="34"/>
      <c r="E1093" s="34"/>
      <c r="F1093" s="35"/>
      <c r="G1093" s="9"/>
      <c r="H1093" s="9"/>
      <c r="I1093" s="34"/>
      <c r="J1093" s="30" t="str">
        <f aca="false">IF(F1093="","",G1093-B1093)</f>
        <v/>
      </c>
      <c r="K1093" s="31" t="str">
        <f aca="false">IF(F1093="","",IF(H1093&lt;&gt;"",H1093,MAX('Vade Sapması'!$D$3,G1093)))</f>
        <v/>
      </c>
      <c r="L1093" s="30" t="str">
        <f aca="false">IF(F1093="","",K1093-B1093)</f>
        <v/>
      </c>
      <c r="M1093" s="30" t="str">
        <f aca="false">IF(F1093="","",L1093-J1093)</f>
        <v/>
      </c>
      <c r="N1093" s="32" t="str">
        <f aca="false">IF(F1093="","",IF(H1093&lt;&gt;"","Kapandı",IF('Vade Sapması'!$D$3&gt;G1093,"Açık · vadesi geçti","Açık · vadesi gelmedi")))</f>
        <v/>
      </c>
      <c r="O1093" s="30" t="str">
        <f aca="false">IF(F1093="","",IF(AND(H1093="",'Vade Sapması'!$D$3&gt;G1093),'Vade Sapması'!$D$3-G1093,0))</f>
        <v/>
      </c>
      <c r="P1093" s="33" t="str">
        <f aca="false">IF(F1093="","",F1093*J1093)</f>
        <v/>
      </c>
      <c r="Q1093" s="33" t="str">
        <f aca="false">IF(F1093="","",F1093*L1093)</f>
        <v/>
      </c>
      <c r="R1093" s="33" t="str">
        <f aca="false">IF(F1093="","",IF(H1093="",F1093,0))</f>
        <v/>
      </c>
      <c r="S1093" s="32" t="str">
        <f aca="false">IF(F1093="","",IF(N(O1093)=0,"",IF(O1093&lt;=30,"1-30",IF(O1093&lt;=60,"31-60",IF(O1093&lt;=90,"61-90","90+")))))</f>
        <v/>
      </c>
      <c r="T1093" s="32" t="str">
        <f aca="false">IF(F1093="","",IF(E1093="","Diğer",E1093))</f>
        <v/>
      </c>
      <c r="U1093" s="32" t="str">
        <f aca="false">IF(OR(F1093="",C1093=""),"",IF(COUNTIF($C$2:C1093,C1093)=1,MAX($U$1:U1092)+1,""))</f>
        <v/>
      </c>
    </row>
    <row r="1094" customFormat="false" ht="15" hidden="false" customHeight="false" outlineLevel="0" collapsed="false">
      <c r="A1094" s="34"/>
      <c r="B1094" s="9"/>
      <c r="C1094" s="34"/>
      <c r="D1094" s="34"/>
      <c r="E1094" s="34"/>
      <c r="F1094" s="35"/>
      <c r="G1094" s="9"/>
      <c r="H1094" s="9"/>
      <c r="I1094" s="34"/>
      <c r="J1094" s="30" t="str">
        <f aca="false">IF(F1094="","",G1094-B1094)</f>
        <v/>
      </c>
      <c r="K1094" s="31" t="str">
        <f aca="false">IF(F1094="","",IF(H1094&lt;&gt;"",H1094,MAX('Vade Sapması'!$D$3,G1094)))</f>
        <v/>
      </c>
      <c r="L1094" s="30" t="str">
        <f aca="false">IF(F1094="","",K1094-B1094)</f>
        <v/>
      </c>
      <c r="M1094" s="30" t="str">
        <f aca="false">IF(F1094="","",L1094-J1094)</f>
        <v/>
      </c>
      <c r="N1094" s="32" t="str">
        <f aca="false">IF(F1094="","",IF(H1094&lt;&gt;"","Kapandı",IF('Vade Sapması'!$D$3&gt;G1094,"Açık · vadesi geçti","Açık · vadesi gelmedi")))</f>
        <v/>
      </c>
      <c r="O1094" s="30" t="str">
        <f aca="false">IF(F1094="","",IF(AND(H1094="",'Vade Sapması'!$D$3&gt;G1094),'Vade Sapması'!$D$3-G1094,0))</f>
        <v/>
      </c>
      <c r="P1094" s="33" t="str">
        <f aca="false">IF(F1094="","",F1094*J1094)</f>
        <v/>
      </c>
      <c r="Q1094" s="33" t="str">
        <f aca="false">IF(F1094="","",F1094*L1094)</f>
        <v/>
      </c>
      <c r="R1094" s="33" t="str">
        <f aca="false">IF(F1094="","",IF(H1094="",F1094,0))</f>
        <v/>
      </c>
      <c r="S1094" s="32" t="str">
        <f aca="false">IF(F1094="","",IF(N(O1094)=0,"",IF(O1094&lt;=30,"1-30",IF(O1094&lt;=60,"31-60",IF(O1094&lt;=90,"61-90","90+")))))</f>
        <v/>
      </c>
      <c r="T1094" s="32" t="str">
        <f aca="false">IF(F1094="","",IF(E1094="","Diğer",E1094))</f>
        <v/>
      </c>
      <c r="U1094" s="32" t="str">
        <f aca="false">IF(OR(F1094="",C1094=""),"",IF(COUNTIF($C$2:C1094,C1094)=1,MAX($U$1:U1093)+1,""))</f>
        <v/>
      </c>
    </row>
    <row r="1095" customFormat="false" ht="15" hidden="false" customHeight="false" outlineLevel="0" collapsed="false">
      <c r="A1095" s="34"/>
      <c r="B1095" s="9"/>
      <c r="C1095" s="34"/>
      <c r="D1095" s="34"/>
      <c r="E1095" s="34"/>
      <c r="F1095" s="35"/>
      <c r="G1095" s="9"/>
      <c r="H1095" s="9"/>
      <c r="I1095" s="34"/>
      <c r="J1095" s="30" t="str">
        <f aca="false">IF(F1095="","",G1095-B1095)</f>
        <v/>
      </c>
      <c r="K1095" s="31" t="str">
        <f aca="false">IF(F1095="","",IF(H1095&lt;&gt;"",H1095,MAX('Vade Sapması'!$D$3,G1095)))</f>
        <v/>
      </c>
      <c r="L1095" s="30" t="str">
        <f aca="false">IF(F1095="","",K1095-B1095)</f>
        <v/>
      </c>
      <c r="M1095" s="30" t="str">
        <f aca="false">IF(F1095="","",L1095-J1095)</f>
        <v/>
      </c>
      <c r="N1095" s="32" t="str">
        <f aca="false">IF(F1095="","",IF(H1095&lt;&gt;"","Kapandı",IF('Vade Sapması'!$D$3&gt;G1095,"Açık · vadesi geçti","Açık · vadesi gelmedi")))</f>
        <v/>
      </c>
      <c r="O1095" s="30" t="str">
        <f aca="false">IF(F1095="","",IF(AND(H1095="",'Vade Sapması'!$D$3&gt;G1095),'Vade Sapması'!$D$3-G1095,0))</f>
        <v/>
      </c>
      <c r="P1095" s="33" t="str">
        <f aca="false">IF(F1095="","",F1095*J1095)</f>
        <v/>
      </c>
      <c r="Q1095" s="33" t="str">
        <f aca="false">IF(F1095="","",F1095*L1095)</f>
        <v/>
      </c>
      <c r="R1095" s="33" t="str">
        <f aca="false">IF(F1095="","",IF(H1095="",F1095,0))</f>
        <v/>
      </c>
      <c r="S1095" s="32" t="str">
        <f aca="false">IF(F1095="","",IF(N(O1095)=0,"",IF(O1095&lt;=30,"1-30",IF(O1095&lt;=60,"31-60",IF(O1095&lt;=90,"61-90","90+")))))</f>
        <v/>
      </c>
      <c r="T1095" s="32" t="str">
        <f aca="false">IF(F1095="","",IF(E1095="","Diğer",E1095))</f>
        <v/>
      </c>
      <c r="U1095" s="32" t="str">
        <f aca="false">IF(OR(F1095="",C1095=""),"",IF(COUNTIF($C$2:C1095,C1095)=1,MAX($U$1:U1094)+1,""))</f>
        <v/>
      </c>
    </row>
    <row r="1096" customFormat="false" ht="15" hidden="false" customHeight="false" outlineLevel="0" collapsed="false">
      <c r="A1096" s="34"/>
      <c r="B1096" s="9"/>
      <c r="C1096" s="34"/>
      <c r="D1096" s="34"/>
      <c r="E1096" s="34"/>
      <c r="F1096" s="35"/>
      <c r="G1096" s="9"/>
      <c r="H1096" s="9"/>
      <c r="I1096" s="34"/>
      <c r="J1096" s="30" t="str">
        <f aca="false">IF(F1096="","",G1096-B1096)</f>
        <v/>
      </c>
      <c r="K1096" s="31" t="str">
        <f aca="false">IF(F1096="","",IF(H1096&lt;&gt;"",H1096,MAX('Vade Sapması'!$D$3,G1096)))</f>
        <v/>
      </c>
      <c r="L1096" s="30" t="str">
        <f aca="false">IF(F1096="","",K1096-B1096)</f>
        <v/>
      </c>
      <c r="M1096" s="30" t="str">
        <f aca="false">IF(F1096="","",L1096-J1096)</f>
        <v/>
      </c>
      <c r="N1096" s="32" t="str">
        <f aca="false">IF(F1096="","",IF(H1096&lt;&gt;"","Kapandı",IF('Vade Sapması'!$D$3&gt;G1096,"Açık · vadesi geçti","Açık · vadesi gelmedi")))</f>
        <v/>
      </c>
      <c r="O1096" s="30" t="str">
        <f aca="false">IF(F1096="","",IF(AND(H1096="",'Vade Sapması'!$D$3&gt;G1096),'Vade Sapması'!$D$3-G1096,0))</f>
        <v/>
      </c>
      <c r="P1096" s="33" t="str">
        <f aca="false">IF(F1096="","",F1096*J1096)</f>
        <v/>
      </c>
      <c r="Q1096" s="33" t="str">
        <f aca="false">IF(F1096="","",F1096*L1096)</f>
        <v/>
      </c>
      <c r="R1096" s="33" t="str">
        <f aca="false">IF(F1096="","",IF(H1096="",F1096,0))</f>
        <v/>
      </c>
      <c r="S1096" s="32" t="str">
        <f aca="false">IF(F1096="","",IF(N(O1096)=0,"",IF(O1096&lt;=30,"1-30",IF(O1096&lt;=60,"31-60",IF(O1096&lt;=90,"61-90","90+")))))</f>
        <v/>
      </c>
      <c r="T1096" s="32" t="str">
        <f aca="false">IF(F1096="","",IF(E1096="","Diğer",E1096))</f>
        <v/>
      </c>
      <c r="U1096" s="32" t="str">
        <f aca="false">IF(OR(F1096="",C1096=""),"",IF(COUNTIF($C$2:C1096,C1096)=1,MAX($U$1:U1095)+1,""))</f>
        <v/>
      </c>
    </row>
    <row r="1097" customFormat="false" ht="15" hidden="false" customHeight="false" outlineLevel="0" collapsed="false">
      <c r="A1097" s="34"/>
      <c r="B1097" s="9"/>
      <c r="C1097" s="34"/>
      <c r="D1097" s="34"/>
      <c r="E1097" s="34"/>
      <c r="F1097" s="35"/>
      <c r="G1097" s="9"/>
      <c r="H1097" s="9"/>
      <c r="I1097" s="34"/>
      <c r="J1097" s="30" t="str">
        <f aca="false">IF(F1097="","",G1097-B1097)</f>
        <v/>
      </c>
      <c r="K1097" s="31" t="str">
        <f aca="false">IF(F1097="","",IF(H1097&lt;&gt;"",H1097,MAX('Vade Sapması'!$D$3,G1097)))</f>
        <v/>
      </c>
      <c r="L1097" s="30" t="str">
        <f aca="false">IF(F1097="","",K1097-B1097)</f>
        <v/>
      </c>
      <c r="M1097" s="30" t="str">
        <f aca="false">IF(F1097="","",L1097-J1097)</f>
        <v/>
      </c>
      <c r="N1097" s="32" t="str">
        <f aca="false">IF(F1097="","",IF(H1097&lt;&gt;"","Kapandı",IF('Vade Sapması'!$D$3&gt;G1097,"Açık · vadesi geçti","Açık · vadesi gelmedi")))</f>
        <v/>
      </c>
      <c r="O1097" s="30" t="str">
        <f aca="false">IF(F1097="","",IF(AND(H1097="",'Vade Sapması'!$D$3&gt;G1097),'Vade Sapması'!$D$3-G1097,0))</f>
        <v/>
      </c>
      <c r="P1097" s="33" t="str">
        <f aca="false">IF(F1097="","",F1097*J1097)</f>
        <v/>
      </c>
      <c r="Q1097" s="33" t="str">
        <f aca="false">IF(F1097="","",F1097*L1097)</f>
        <v/>
      </c>
      <c r="R1097" s="33" t="str">
        <f aca="false">IF(F1097="","",IF(H1097="",F1097,0))</f>
        <v/>
      </c>
      <c r="S1097" s="32" t="str">
        <f aca="false">IF(F1097="","",IF(N(O1097)=0,"",IF(O1097&lt;=30,"1-30",IF(O1097&lt;=60,"31-60",IF(O1097&lt;=90,"61-90","90+")))))</f>
        <v/>
      </c>
      <c r="T1097" s="32" t="str">
        <f aca="false">IF(F1097="","",IF(E1097="","Diğer",E1097))</f>
        <v/>
      </c>
      <c r="U1097" s="32" t="str">
        <f aca="false">IF(OR(F1097="",C1097=""),"",IF(COUNTIF($C$2:C1097,C1097)=1,MAX($U$1:U1096)+1,""))</f>
        <v/>
      </c>
    </row>
    <row r="1098" customFormat="false" ht="15" hidden="false" customHeight="false" outlineLevel="0" collapsed="false">
      <c r="A1098" s="34"/>
      <c r="B1098" s="9"/>
      <c r="C1098" s="34"/>
      <c r="D1098" s="34"/>
      <c r="E1098" s="34"/>
      <c r="F1098" s="35"/>
      <c r="G1098" s="9"/>
      <c r="H1098" s="9"/>
      <c r="I1098" s="34"/>
      <c r="J1098" s="30" t="str">
        <f aca="false">IF(F1098="","",G1098-B1098)</f>
        <v/>
      </c>
      <c r="K1098" s="31" t="str">
        <f aca="false">IF(F1098="","",IF(H1098&lt;&gt;"",H1098,MAX('Vade Sapması'!$D$3,G1098)))</f>
        <v/>
      </c>
      <c r="L1098" s="30" t="str">
        <f aca="false">IF(F1098="","",K1098-B1098)</f>
        <v/>
      </c>
      <c r="M1098" s="30" t="str">
        <f aca="false">IF(F1098="","",L1098-J1098)</f>
        <v/>
      </c>
      <c r="N1098" s="32" t="str">
        <f aca="false">IF(F1098="","",IF(H1098&lt;&gt;"","Kapandı",IF('Vade Sapması'!$D$3&gt;G1098,"Açık · vadesi geçti","Açık · vadesi gelmedi")))</f>
        <v/>
      </c>
      <c r="O1098" s="30" t="str">
        <f aca="false">IF(F1098="","",IF(AND(H1098="",'Vade Sapması'!$D$3&gt;G1098),'Vade Sapması'!$D$3-G1098,0))</f>
        <v/>
      </c>
      <c r="P1098" s="33" t="str">
        <f aca="false">IF(F1098="","",F1098*J1098)</f>
        <v/>
      </c>
      <c r="Q1098" s="33" t="str">
        <f aca="false">IF(F1098="","",F1098*L1098)</f>
        <v/>
      </c>
      <c r="R1098" s="33" t="str">
        <f aca="false">IF(F1098="","",IF(H1098="",F1098,0))</f>
        <v/>
      </c>
      <c r="S1098" s="32" t="str">
        <f aca="false">IF(F1098="","",IF(N(O1098)=0,"",IF(O1098&lt;=30,"1-30",IF(O1098&lt;=60,"31-60",IF(O1098&lt;=90,"61-90","90+")))))</f>
        <v/>
      </c>
      <c r="T1098" s="32" t="str">
        <f aca="false">IF(F1098="","",IF(E1098="","Diğer",E1098))</f>
        <v/>
      </c>
      <c r="U1098" s="32" t="str">
        <f aca="false">IF(OR(F1098="",C1098=""),"",IF(COUNTIF($C$2:C1098,C1098)=1,MAX($U$1:U1097)+1,""))</f>
        <v/>
      </c>
    </row>
    <row r="1099" customFormat="false" ht="15" hidden="false" customHeight="false" outlineLevel="0" collapsed="false">
      <c r="A1099" s="34"/>
      <c r="B1099" s="9"/>
      <c r="C1099" s="34"/>
      <c r="D1099" s="34"/>
      <c r="E1099" s="34"/>
      <c r="F1099" s="35"/>
      <c r="G1099" s="9"/>
      <c r="H1099" s="9"/>
      <c r="I1099" s="34"/>
      <c r="J1099" s="30" t="str">
        <f aca="false">IF(F1099="","",G1099-B1099)</f>
        <v/>
      </c>
      <c r="K1099" s="31" t="str">
        <f aca="false">IF(F1099="","",IF(H1099&lt;&gt;"",H1099,MAX('Vade Sapması'!$D$3,G1099)))</f>
        <v/>
      </c>
      <c r="L1099" s="30" t="str">
        <f aca="false">IF(F1099="","",K1099-B1099)</f>
        <v/>
      </c>
      <c r="M1099" s="30" t="str">
        <f aca="false">IF(F1099="","",L1099-J1099)</f>
        <v/>
      </c>
      <c r="N1099" s="32" t="str">
        <f aca="false">IF(F1099="","",IF(H1099&lt;&gt;"","Kapandı",IF('Vade Sapması'!$D$3&gt;G1099,"Açık · vadesi geçti","Açık · vadesi gelmedi")))</f>
        <v/>
      </c>
      <c r="O1099" s="30" t="str">
        <f aca="false">IF(F1099="","",IF(AND(H1099="",'Vade Sapması'!$D$3&gt;G1099),'Vade Sapması'!$D$3-G1099,0))</f>
        <v/>
      </c>
      <c r="P1099" s="33" t="str">
        <f aca="false">IF(F1099="","",F1099*J1099)</f>
        <v/>
      </c>
      <c r="Q1099" s="33" t="str">
        <f aca="false">IF(F1099="","",F1099*L1099)</f>
        <v/>
      </c>
      <c r="R1099" s="33" t="str">
        <f aca="false">IF(F1099="","",IF(H1099="",F1099,0))</f>
        <v/>
      </c>
      <c r="S1099" s="32" t="str">
        <f aca="false">IF(F1099="","",IF(N(O1099)=0,"",IF(O1099&lt;=30,"1-30",IF(O1099&lt;=60,"31-60",IF(O1099&lt;=90,"61-90","90+")))))</f>
        <v/>
      </c>
      <c r="T1099" s="32" t="str">
        <f aca="false">IF(F1099="","",IF(E1099="","Diğer",E1099))</f>
        <v/>
      </c>
      <c r="U1099" s="32" t="str">
        <f aca="false">IF(OR(F1099="",C1099=""),"",IF(COUNTIF($C$2:C1099,C1099)=1,MAX($U$1:U1098)+1,""))</f>
        <v/>
      </c>
    </row>
    <row r="1100" customFormat="false" ht="15" hidden="false" customHeight="false" outlineLevel="0" collapsed="false">
      <c r="A1100" s="34"/>
      <c r="B1100" s="9"/>
      <c r="C1100" s="34"/>
      <c r="D1100" s="34"/>
      <c r="E1100" s="34"/>
      <c r="F1100" s="35"/>
      <c r="G1100" s="9"/>
      <c r="H1100" s="9"/>
      <c r="I1100" s="34"/>
      <c r="J1100" s="30" t="str">
        <f aca="false">IF(F1100="","",G1100-B1100)</f>
        <v/>
      </c>
      <c r="K1100" s="31" t="str">
        <f aca="false">IF(F1100="","",IF(H1100&lt;&gt;"",H1100,MAX('Vade Sapması'!$D$3,G1100)))</f>
        <v/>
      </c>
      <c r="L1100" s="30" t="str">
        <f aca="false">IF(F1100="","",K1100-B1100)</f>
        <v/>
      </c>
      <c r="M1100" s="30" t="str">
        <f aca="false">IF(F1100="","",L1100-J1100)</f>
        <v/>
      </c>
      <c r="N1100" s="32" t="str">
        <f aca="false">IF(F1100="","",IF(H1100&lt;&gt;"","Kapandı",IF('Vade Sapması'!$D$3&gt;G1100,"Açık · vadesi geçti","Açık · vadesi gelmedi")))</f>
        <v/>
      </c>
      <c r="O1100" s="30" t="str">
        <f aca="false">IF(F1100="","",IF(AND(H1100="",'Vade Sapması'!$D$3&gt;G1100),'Vade Sapması'!$D$3-G1100,0))</f>
        <v/>
      </c>
      <c r="P1100" s="33" t="str">
        <f aca="false">IF(F1100="","",F1100*J1100)</f>
        <v/>
      </c>
      <c r="Q1100" s="33" t="str">
        <f aca="false">IF(F1100="","",F1100*L1100)</f>
        <v/>
      </c>
      <c r="R1100" s="33" t="str">
        <f aca="false">IF(F1100="","",IF(H1100="",F1100,0))</f>
        <v/>
      </c>
      <c r="S1100" s="32" t="str">
        <f aca="false">IF(F1100="","",IF(N(O1100)=0,"",IF(O1100&lt;=30,"1-30",IF(O1100&lt;=60,"31-60",IF(O1100&lt;=90,"61-90","90+")))))</f>
        <v/>
      </c>
      <c r="T1100" s="32" t="str">
        <f aca="false">IF(F1100="","",IF(E1100="","Diğer",E1100))</f>
        <v/>
      </c>
      <c r="U1100" s="32" t="str">
        <f aca="false">IF(OR(F1100="",C1100=""),"",IF(COUNTIF($C$2:C1100,C1100)=1,MAX($U$1:U1099)+1,""))</f>
        <v/>
      </c>
    </row>
    <row r="1101" customFormat="false" ht="15" hidden="false" customHeight="false" outlineLevel="0" collapsed="false">
      <c r="A1101" s="34"/>
      <c r="B1101" s="9"/>
      <c r="C1101" s="34"/>
      <c r="D1101" s="34"/>
      <c r="E1101" s="34"/>
      <c r="F1101" s="35"/>
      <c r="G1101" s="9"/>
      <c r="H1101" s="9"/>
      <c r="I1101" s="34"/>
      <c r="J1101" s="30" t="str">
        <f aca="false">IF(F1101="","",G1101-B1101)</f>
        <v/>
      </c>
      <c r="K1101" s="31" t="str">
        <f aca="false">IF(F1101="","",IF(H1101&lt;&gt;"",H1101,MAX('Vade Sapması'!$D$3,G1101)))</f>
        <v/>
      </c>
      <c r="L1101" s="30" t="str">
        <f aca="false">IF(F1101="","",K1101-B1101)</f>
        <v/>
      </c>
      <c r="M1101" s="30" t="str">
        <f aca="false">IF(F1101="","",L1101-J1101)</f>
        <v/>
      </c>
      <c r="N1101" s="32" t="str">
        <f aca="false">IF(F1101="","",IF(H1101&lt;&gt;"","Kapandı",IF('Vade Sapması'!$D$3&gt;G1101,"Açık · vadesi geçti","Açık · vadesi gelmedi")))</f>
        <v/>
      </c>
      <c r="O1101" s="30" t="str">
        <f aca="false">IF(F1101="","",IF(AND(H1101="",'Vade Sapması'!$D$3&gt;G1101),'Vade Sapması'!$D$3-G1101,0))</f>
        <v/>
      </c>
      <c r="P1101" s="33" t="str">
        <f aca="false">IF(F1101="","",F1101*J1101)</f>
        <v/>
      </c>
      <c r="Q1101" s="33" t="str">
        <f aca="false">IF(F1101="","",F1101*L1101)</f>
        <v/>
      </c>
      <c r="R1101" s="33" t="str">
        <f aca="false">IF(F1101="","",IF(H1101="",F1101,0))</f>
        <v/>
      </c>
      <c r="S1101" s="32" t="str">
        <f aca="false">IF(F1101="","",IF(N(O1101)=0,"",IF(O1101&lt;=30,"1-30",IF(O1101&lt;=60,"31-60",IF(O1101&lt;=90,"61-90","90+")))))</f>
        <v/>
      </c>
      <c r="T1101" s="32" t="str">
        <f aca="false">IF(F1101="","",IF(E1101="","Diğer",E1101))</f>
        <v/>
      </c>
      <c r="U1101" s="32" t="str">
        <f aca="false">IF(OR(F1101="",C1101=""),"",IF(COUNTIF($C$2:C1101,C1101)=1,MAX($U$1:U1100)+1,""))</f>
        <v/>
      </c>
    </row>
    <row r="1102" customFormat="false" ht="15" hidden="false" customHeight="false" outlineLevel="0" collapsed="false">
      <c r="A1102" s="34"/>
      <c r="B1102" s="9"/>
      <c r="C1102" s="34"/>
      <c r="D1102" s="34"/>
      <c r="E1102" s="34"/>
      <c r="F1102" s="35"/>
      <c r="G1102" s="9"/>
      <c r="H1102" s="9"/>
      <c r="I1102" s="34"/>
      <c r="J1102" s="30" t="str">
        <f aca="false">IF(F1102="","",G1102-B1102)</f>
        <v/>
      </c>
      <c r="K1102" s="31" t="str">
        <f aca="false">IF(F1102="","",IF(H1102&lt;&gt;"",H1102,MAX('Vade Sapması'!$D$3,G1102)))</f>
        <v/>
      </c>
      <c r="L1102" s="30" t="str">
        <f aca="false">IF(F1102="","",K1102-B1102)</f>
        <v/>
      </c>
      <c r="M1102" s="30" t="str">
        <f aca="false">IF(F1102="","",L1102-J1102)</f>
        <v/>
      </c>
      <c r="N1102" s="32" t="str">
        <f aca="false">IF(F1102="","",IF(H1102&lt;&gt;"","Kapandı",IF('Vade Sapması'!$D$3&gt;G1102,"Açık · vadesi geçti","Açık · vadesi gelmedi")))</f>
        <v/>
      </c>
      <c r="O1102" s="30" t="str">
        <f aca="false">IF(F1102="","",IF(AND(H1102="",'Vade Sapması'!$D$3&gt;G1102),'Vade Sapması'!$D$3-G1102,0))</f>
        <v/>
      </c>
      <c r="P1102" s="33" t="str">
        <f aca="false">IF(F1102="","",F1102*J1102)</f>
        <v/>
      </c>
      <c r="Q1102" s="33" t="str">
        <f aca="false">IF(F1102="","",F1102*L1102)</f>
        <v/>
      </c>
      <c r="R1102" s="33" t="str">
        <f aca="false">IF(F1102="","",IF(H1102="",F1102,0))</f>
        <v/>
      </c>
      <c r="S1102" s="32" t="str">
        <f aca="false">IF(F1102="","",IF(N(O1102)=0,"",IF(O1102&lt;=30,"1-30",IF(O1102&lt;=60,"31-60",IF(O1102&lt;=90,"61-90","90+")))))</f>
        <v/>
      </c>
      <c r="T1102" s="32" t="str">
        <f aca="false">IF(F1102="","",IF(E1102="","Diğer",E1102))</f>
        <v/>
      </c>
      <c r="U1102" s="32" t="str">
        <f aca="false">IF(OR(F1102="",C1102=""),"",IF(COUNTIF($C$2:C1102,C1102)=1,MAX($U$1:U1101)+1,""))</f>
        <v/>
      </c>
    </row>
    <row r="1103" customFormat="false" ht="15" hidden="false" customHeight="false" outlineLevel="0" collapsed="false">
      <c r="A1103" s="34"/>
      <c r="B1103" s="9"/>
      <c r="C1103" s="34"/>
      <c r="D1103" s="34"/>
      <c r="E1103" s="34"/>
      <c r="F1103" s="35"/>
      <c r="G1103" s="9"/>
      <c r="H1103" s="9"/>
      <c r="I1103" s="34"/>
      <c r="J1103" s="30" t="str">
        <f aca="false">IF(F1103="","",G1103-B1103)</f>
        <v/>
      </c>
      <c r="K1103" s="31" t="str">
        <f aca="false">IF(F1103="","",IF(H1103&lt;&gt;"",H1103,MAX('Vade Sapması'!$D$3,G1103)))</f>
        <v/>
      </c>
      <c r="L1103" s="30" t="str">
        <f aca="false">IF(F1103="","",K1103-B1103)</f>
        <v/>
      </c>
      <c r="M1103" s="30" t="str">
        <f aca="false">IF(F1103="","",L1103-J1103)</f>
        <v/>
      </c>
      <c r="N1103" s="32" t="str">
        <f aca="false">IF(F1103="","",IF(H1103&lt;&gt;"","Kapandı",IF('Vade Sapması'!$D$3&gt;G1103,"Açık · vadesi geçti","Açık · vadesi gelmedi")))</f>
        <v/>
      </c>
      <c r="O1103" s="30" t="str">
        <f aca="false">IF(F1103="","",IF(AND(H1103="",'Vade Sapması'!$D$3&gt;G1103),'Vade Sapması'!$D$3-G1103,0))</f>
        <v/>
      </c>
      <c r="P1103" s="33" t="str">
        <f aca="false">IF(F1103="","",F1103*J1103)</f>
        <v/>
      </c>
      <c r="Q1103" s="33" t="str">
        <f aca="false">IF(F1103="","",F1103*L1103)</f>
        <v/>
      </c>
      <c r="R1103" s="33" t="str">
        <f aca="false">IF(F1103="","",IF(H1103="",F1103,0))</f>
        <v/>
      </c>
      <c r="S1103" s="32" t="str">
        <f aca="false">IF(F1103="","",IF(N(O1103)=0,"",IF(O1103&lt;=30,"1-30",IF(O1103&lt;=60,"31-60",IF(O1103&lt;=90,"61-90","90+")))))</f>
        <v/>
      </c>
      <c r="T1103" s="32" t="str">
        <f aca="false">IF(F1103="","",IF(E1103="","Diğer",E1103))</f>
        <v/>
      </c>
      <c r="U1103" s="32" t="str">
        <f aca="false">IF(OR(F1103="",C1103=""),"",IF(COUNTIF($C$2:C1103,C1103)=1,MAX($U$1:U1102)+1,""))</f>
        <v/>
      </c>
    </row>
    <row r="1104" customFormat="false" ht="15" hidden="false" customHeight="false" outlineLevel="0" collapsed="false">
      <c r="A1104" s="34"/>
      <c r="B1104" s="9"/>
      <c r="C1104" s="34"/>
      <c r="D1104" s="34"/>
      <c r="E1104" s="34"/>
      <c r="F1104" s="35"/>
      <c r="G1104" s="9"/>
      <c r="H1104" s="9"/>
      <c r="I1104" s="34"/>
      <c r="J1104" s="30" t="str">
        <f aca="false">IF(F1104="","",G1104-B1104)</f>
        <v/>
      </c>
      <c r="K1104" s="31" t="str">
        <f aca="false">IF(F1104="","",IF(H1104&lt;&gt;"",H1104,MAX('Vade Sapması'!$D$3,G1104)))</f>
        <v/>
      </c>
      <c r="L1104" s="30" t="str">
        <f aca="false">IF(F1104="","",K1104-B1104)</f>
        <v/>
      </c>
      <c r="M1104" s="30" t="str">
        <f aca="false">IF(F1104="","",L1104-J1104)</f>
        <v/>
      </c>
      <c r="N1104" s="32" t="str">
        <f aca="false">IF(F1104="","",IF(H1104&lt;&gt;"","Kapandı",IF('Vade Sapması'!$D$3&gt;G1104,"Açık · vadesi geçti","Açık · vadesi gelmedi")))</f>
        <v/>
      </c>
      <c r="O1104" s="30" t="str">
        <f aca="false">IF(F1104="","",IF(AND(H1104="",'Vade Sapması'!$D$3&gt;G1104),'Vade Sapması'!$D$3-G1104,0))</f>
        <v/>
      </c>
      <c r="P1104" s="33" t="str">
        <f aca="false">IF(F1104="","",F1104*J1104)</f>
        <v/>
      </c>
      <c r="Q1104" s="33" t="str">
        <f aca="false">IF(F1104="","",F1104*L1104)</f>
        <v/>
      </c>
      <c r="R1104" s="33" t="str">
        <f aca="false">IF(F1104="","",IF(H1104="",F1104,0))</f>
        <v/>
      </c>
      <c r="S1104" s="32" t="str">
        <f aca="false">IF(F1104="","",IF(N(O1104)=0,"",IF(O1104&lt;=30,"1-30",IF(O1104&lt;=60,"31-60",IF(O1104&lt;=90,"61-90","90+")))))</f>
        <v/>
      </c>
      <c r="T1104" s="32" t="str">
        <f aca="false">IF(F1104="","",IF(E1104="","Diğer",E1104))</f>
        <v/>
      </c>
      <c r="U1104" s="32" t="str">
        <f aca="false">IF(OR(F1104="",C1104=""),"",IF(COUNTIF($C$2:C1104,C1104)=1,MAX($U$1:U1103)+1,""))</f>
        <v/>
      </c>
    </row>
    <row r="1105" customFormat="false" ht="15" hidden="false" customHeight="false" outlineLevel="0" collapsed="false">
      <c r="A1105" s="34"/>
      <c r="B1105" s="9"/>
      <c r="C1105" s="34"/>
      <c r="D1105" s="34"/>
      <c r="E1105" s="34"/>
      <c r="F1105" s="35"/>
      <c r="G1105" s="9"/>
      <c r="H1105" s="9"/>
      <c r="I1105" s="34"/>
      <c r="J1105" s="30" t="str">
        <f aca="false">IF(F1105="","",G1105-B1105)</f>
        <v/>
      </c>
      <c r="K1105" s="31" t="str">
        <f aca="false">IF(F1105="","",IF(H1105&lt;&gt;"",H1105,MAX('Vade Sapması'!$D$3,G1105)))</f>
        <v/>
      </c>
      <c r="L1105" s="30" t="str">
        <f aca="false">IF(F1105="","",K1105-B1105)</f>
        <v/>
      </c>
      <c r="M1105" s="30" t="str">
        <f aca="false">IF(F1105="","",L1105-J1105)</f>
        <v/>
      </c>
      <c r="N1105" s="32" t="str">
        <f aca="false">IF(F1105="","",IF(H1105&lt;&gt;"","Kapandı",IF('Vade Sapması'!$D$3&gt;G1105,"Açık · vadesi geçti","Açık · vadesi gelmedi")))</f>
        <v/>
      </c>
      <c r="O1105" s="30" t="str">
        <f aca="false">IF(F1105="","",IF(AND(H1105="",'Vade Sapması'!$D$3&gt;G1105),'Vade Sapması'!$D$3-G1105,0))</f>
        <v/>
      </c>
      <c r="P1105" s="33" t="str">
        <f aca="false">IF(F1105="","",F1105*J1105)</f>
        <v/>
      </c>
      <c r="Q1105" s="33" t="str">
        <f aca="false">IF(F1105="","",F1105*L1105)</f>
        <v/>
      </c>
      <c r="R1105" s="33" t="str">
        <f aca="false">IF(F1105="","",IF(H1105="",F1105,0))</f>
        <v/>
      </c>
      <c r="S1105" s="32" t="str">
        <f aca="false">IF(F1105="","",IF(N(O1105)=0,"",IF(O1105&lt;=30,"1-30",IF(O1105&lt;=60,"31-60",IF(O1105&lt;=90,"61-90","90+")))))</f>
        <v/>
      </c>
      <c r="T1105" s="32" t="str">
        <f aca="false">IF(F1105="","",IF(E1105="","Diğer",E1105))</f>
        <v/>
      </c>
      <c r="U1105" s="32" t="str">
        <f aca="false">IF(OR(F1105="",C1105=""),"",IF(COUNTIF($C$2:C1105,C1105)=1,MAX($U$1:U1104)+1,""))</f>
        <v/>
      </c>
    </row>
    <row r="1106" customFormat="false" ht="15" hidden="false" customHeight="false" outlineLevel="0" collapsed="false">
      <c r="A1106" s="34"/>
      <c r="B1106" s="9"/>
      <c r="C1106" s="34"/>
      <c r="D1106" s="34"/>
      <c r="E1106" s="34"/>
      <c r="F1106" s="35"/>
      <c r="G1106" s="9"/>
      <c r="H1106" s="9"/>
      <c r="I1106" s="34"/>
      <c r="J1106" s="30" t="str">
        <f aca="false">IF(F1106="","",G1106-B1106)</f>
        <v/>
      </c>
      <c r="K1106" s="31" t="str">
        <f aca="false">IF(F1106="","",IF(H1106&lt;&gt;"",H1106,MAX('Vade Sapması'!$D$3,G1106)))</f>
        <v/>
      </c>
      <c r="L1106" s="30" t="str">
        <f aca="false">IF(F1106="","",K1106-B1106)</f>
        <v/>
      </c>
      <c r="M1106" s="30" t="str">
        <f aca="false">IF(F1106="","",L1106-J1106)</f>
        <v/>
      </c>
      <c r="N1106" s="32" t="str">
        <f aca="false">IF(F1106="","",IF(H1106&lt;&gt;"","Kapandı",IF('Vade Sapması'!$D$3&gt;G1106,"Açık · vadesi geçti","Açık · vadesi gelmedi")))</f>
        <v/>
      </c>
      <c r="O1106" s="30" t="str">
        <f aca="false">IF(F1106="","",IF(AND(H1106="",'Vade Sapması'!$D$3&gt;G1106),'Vade Sapması'!$D$3-G1106,0))</f>
        <v/>
      </c>
      <c r="P1106" s="33" t="str">
        <f aca="false">IF(F1106="","",F1106*J1106)</f>
        <v/>
      </c>
      <c r="Q1106" s="33" t="str">
        <f aca="false">IF(F1106="","",F1106*L1106)</f>
        <v/>
      </c>
      <c r="R1106" s="33" t="str">
        <f aca="false">IF(F1106="","",IF(H1106="",F1106,0))</f>
        <v/>
      </c>
      <c r="S1106" s="32" t="str">
        <f aca="false">IF(F1106="","",IF(N(O1106)=0,"",IF(O1106&lt;=30,"1-30",IF(O1106&lt;=60,"31-60",IF(O1106&lt;=90,"61-90","90+")))))</f>
        <v/>
      </c>
      <c r="T1106" s="32" t="str">
        <f aca="false">IF(F1106="","",IF(E1106="","Diğer",E1106))</f>
        <v/>
      </c>
      <c r="U1106" s="32" t="str">
        <f aca="false">IF(OR(F1106="",C1106=""),"",IF(COUNTIF($C$2:C1106,C1106)=1,MAX($U$1:U1105)+1,""))</f>
        <v/>
      </c>
    </row>
    <row r="1107" customFormat="false" ht="15" hidden="false" customHeight="false" outlineLevel="0" collapsed="false">
      <c r="A1107" s="34"/>
      <c r="B1107" s="9"/>
      <c r="C1107" s="34"/>
      <c r="D1107" s="34"/>
      <c r="E1107" s="34"/>
      <c r="F1107" s="35"/>
      <c r="G1107" s="9"/>
      <c r="H1107" s="9"/>
      <c r="I1107" s="34"/>
      <c r="J1107" s="30" t="str">
        <f aca="false">IF(F1107="","",G1107-B1107)</f>
        <v/>
      </c>
      <c r="K1107" s="31" t="str">
        <f aca="false">IF(F1107="","",IF(H1107&lt;&gt;"",H1107,MAX('Vade Sapması'!$D$3,G1107)))</f>
        <v/>
      </c>
      <c r="L1107" s="30" t="str">
        <f aca="false">IF(F1107="","",K1107-B1107)</f>
        <v/>
      </c>
      <c r="M1107" s="30" t="str">
        <f aca="false">IF(F1107="","",L1107-J1107)</f>
        <v/>
      </c>
      <c r="N1107" s="32" t="str">
        <f aca="false">IF(F1107="","",IF(H1107&lt;&gt;"","Kapandı",IF('Vade Sapması'!$D$3&gt;G1107,"Açık · vadesi geçti","Açık · vadesi gelmedi")))</f>
        <v/>
      </c>
      <c r="O1107" s="30" t="str">
        <f aca="false">IF(F1107="","",IF(AND(H1107="",'Vade Sapması'!$D$3&gt;G1107),'Vade Sapması'!$D$3-G1107,0))</f>
        <v/>
      </c>
      <c r="P1107" s="33" t="str">
        <f aca="false">IF(F1107="","",F1107*J1107)</f>
        <v/>
      </c>
      <c r="Q1107" s="33" t="str">
        <f aca="false">IF(F1107="","",F1107*L1107)</f>
        <v/>
      </c>
      <c r="R1107" s="33" t="str">
        <f aca="false">IF(F1107="","",IF(H1107="",F1107,0))</f>
        <v/>
      </c>
      <c r="S1107" s="32" t="str">
        <f aca="false">IF(F1107="","",IF(N(O1107)=0,"",IF(O1107&lt;=30,"1-30",IF(O1107&lt;=60,"31-60",IF(O1107&lt;=90,"61-90","90+")))))</f>
        <v/>
      </c>
      <c r="T1107" s="32" t="str">
        <f aca="false">IF(F1107="","",IF(E1107="","Diğer",E1107))</f>
        <v/>
      </c>
      <c r="U1107" s="32" t="str">
        <f aca="false">IF(OR(F1107="",C1107=""),"",IF(COUNTIF($C$2:C1107,C1107)=1,MAX($U$1:U1106)+1,""))</f>
        <v/>
      </c>
    </row>
    <row r="1108" customFormat="false" ht="15" hidden="false" customHeight="false" outlineLevel="0" collapsed="false">
      <c r="A1108" s="34"/>
      <c r="B1108" s="9"/>
      <c r="C1108" s="34"/>
      <c r="D1108" s="34"/>
      <c r="E1108" s="34"/>
      <c r="F1108" s="35"/>
      <c r="G1108" s="9"/>
      <c r="H1108" s="9"/>
      <c r="I1108" s="34"/>
      <c r="J1108" s="30" t="str">
        <f aca="false">IF(F1108="","",G1108-B1108)</f>
        <v/>
      </c>
      <c r="K1108" s="31" t="str">
        <f aca="false">IF(F1108="","",IF(H1108&lt;&gt;"",H1108,MAX('Vade Sapması'!$D$3,G1108)))</f>
        <v/>
      </c>
      <c r="L1108" s="30" t="str">
        <f aca="false">IF(F1108="","",K1108-B1108)</f>
        <v/>
      </c>
      <c r="M1108" s="30" t="str">
        <f aca="false">IF(F1108="","",L1108-J1108)</f>
        <v/>
      </c>
      <c r="N1108" s="32" t="str">
        <f aca="false">IF(F1108="","",IF(H1108&lt;&gt;"","Kapandı",IF('Vade Sapması'!$D$3&gt;G1108,"Açık · vadesi geçti","Açık · vadesi gelmedi")))</f>
        <v/>
      </c>
      <c r="O1108" s="30" t="str">
        <f aca="false">IF(F1108="","",IF(AND(H1108="",'Vade Sapması'!$D$3&gt;G1108),'Vade Sapması'!$D$3-G1108,0))</f>
        <v/>
      </c>
      <c r="P1108" s="33" t="str">
        <f aca="false">IF(F1108="","",F1108*J1108)</f>
        <v/>
      </c>
      <c r="Q1108" s="33" t="str">
        <f aca="false">IF(F1108="","",F1108*L1108)</f>
        <v/>
      </c>
      <c r="R1108" s="33" t="str">
        <f aca="false">IF(F1108="","",IF(H1108="",F1108,0))</f>
        <v/>
      </c>
      <c r="S1108" s="32" t="str">
        <f aca="false">IF(F1108="","",IF(N(O1108)=0,"",IF(O1108&lt;=30,"1-30",IF(O1108&lt;=60,"31-60",IF(O1108&lt;=90,"61-90","90+")))))</f>
        <v/>
      </c>
      <c r="T1108" s="32" t="str">
        <f aca="false">IF(F1108="","",IF(E1108="","Diğer",E1108))</f>
        <v/>
      </c>
      <c r="U1108" s="32" t="str">
        <f aca="false">IF(OR(F1108="",C1108=""),"",IF(COUNTIF($C$2:C1108,C1108)=1,MAX($U$1:U1107)+1,""))</f>
        <v/>
      </c>
    </row>
    <row r="1109" customFormat="false" ht="15" hidden="false" customHeight="false" outlineLevel="0" collapsed="false">
      <c r="A1109" s="34"/>
      <c r="B1109" s="9"/>
      <c r="C1109" s="34"/>
      <c r="D1109" s="34"/>
      <c r="E1109" s="34"/>
      <c r="F1109" s="35"/>
      <c r="G1109" s="9"/>
      <c r="H1109" s="9"/>
      <c r="I1109" s="34"/>
      <c r="J1109" s="30" t="str">
        <f aca="false">IF(F1109="","",G1109-B1109)</f>
        <v/>
      </c>
      <c r="K1109" s="31" t="str">
        <f aca="false">IF(F1109="","",IF(H1109&lt;&gt;"",H1109,MAX('Vade Sapması'!$D$3,G1109)))</f>
        <v/>
      </c>
      <c r="L1109" s="30" t="str">
        <f aca="false">IF(F1109="","",K1109-B1109)</f>
        <v/>
      </c>
      <c r="M1109" s="30" t="str">
        <f aca="false">IF(F1109="","",L1109-J1109)</f>
        <v/>
      </c>
      <c r="N1109" s="32" t="str">
        <f aca="false">IF(F1109="","",IF(H1109&lt;&gt;"","Kapandı",IF('Vade Sapması'!$D$3&gt;G1109,"Açık · vadesi geçti","Açık · vadesi gelmedi")))</f>
        <v/>
      </c>
      <c r="O1109" s="30" t="str">
        <f aca="false">IF(F1109="","",IF(AND(H1109="",'Vade Sapması'!$D$3&gt;G1109),'Vade Sapması'!$D$3-G1109,0))</f>
        <v/>
      </c>
      <c r="P1109" s="33" t="str">
        <f aca="false">IF(F1109="","",F1109*J1109)</f>
        <v/>
      </c>
      <c r="Q1109" s="33" t="str">
        <f aca="false">IF(F1109="","",F1109*L1109)</f>
        <v/>
      </c>
      <c r="R1109" s="33" t="str">
        <f aca="false">IF(F1109="","",IF(H1109="",F1109,0))</f>
        <v/>
      </c>
      <c r="S1109" s="32" t="str">
        <f aca="false">IF(F1109="","",IF(N(O1109)=0,"",IF(O1109&lt;=30,"1-30",IF(O1109&lt;=60,"31-60",IF(O1109&lt;=90,"61-90","90+")))))</f>
        <v/>
      </c>
      <c r="T1109" s="32" t="str">
        <f aca="false">IF(F1109="","",IF(E1109="","Diğer",E1109))</f>
        <v/>
      </c>
      <c r="U1109" s="32" t="str">
        <f aca="false">IF(OR(F1109="",C1109=""),"",IF(COUNTIF($C$2:C1109,C1109)=1,MAX($U$1:U1108)+1,""))</f>
        <v/>
      </c>
    </row>
    <row r="1110" customFormat="false" ht="15" hidden="false" customHeight="false" outlineLevel="0" collapsed="false">
      <c r="A1110" s="34"/>
      <c r="B1110" s="9"/>
      <c r="C1110" s="34"/>
      <c r="D1110" s="34"/>
      <c r="E1110" s="34"/>
      <c r="F1110" s="35"/>
      <c r="G1110" s="9"/>
      <c r="H1110" s="9"/>
      <c r="I1110" s="34"/>
      <c r="J1110" s="30" t="str">
        <f aca="false">IF(F1110="","",G1110-B1110)</f>
        <v/>
      </c>
      <c r="K1110" s="31" t="str">
        <f aca="false">IF(F1110="","",IF(H1110&lt;&gt;"",H1110,MAX('Vade Sapması'!$D$3,G1110)))</f>
        <v/>
      </c>
      <c r="L1110" s="30" t="str">
        <f aca="false">IF(F1110="","",K1110-B1110)</f>
        <v/>
      </c>
      <c r="M1110" s="30" t="str">
        <f aca="false">IF(F1110="","",L1110-J1110)</f>
        <v/>
      </c>
      <c r="N1110" s="32" t="str">
        <f aca="false">IF(F1110="","",IF(H1110&lt;&gt;"","Kapandı",IF('Vade Sapması'!$D$3&gt;G1110,"Açık · vadesi geçti","Açık · vadesi gelmedi")))</f>
        <v/>
      </c>
      <c r="O1110" s="30" t="str">
        <f aca="false">IF(F1110="","",IF(AND(H1110="",'Vade Sapması'!$D$3&gt;G1110),'Vade Sapması'!$D$3-G1110,0))</f>
        <v/>
      </c>
      <c r="P1110" s="33" t="str">
        <f aca="false">IF(F1110="","",F1110*J1110)</f>
        <v/>
      </c>
      <c r="Q1110" s="33" t="str">
        <f aca="false">IF(F1110="","",F1110*L1110)</f>
        <v/>
      </c>
      <c r="R1110" s="33" t="str">
        <f aca="false">IF(F1110="","",IF(H1110="",F1110,0))</f>
        <v/>
      </c>
      <c r="S1110" s="32" t="str">
        <f aca="false">IF(F1110="","",IF(N(O1110)=0,"",IF(O1110&lt;=30,"1-30",IF(O1110&lt;=60,"31-60",IF(O1110&lt;=90,"61-90","90+")))))</f>
        <v/>
      </c>
      <c r="T1110" s="32" t="str">
        <f aca="false">IF(F1110="","",IF(E1110="","Diğer",E1110))</f>
        <v/>
      </c>
      <c r="U1110" s="32" t="str">
        <f aca="false">IF(OR(F1110="",C1110=""),"",IF(COUNTIF($C$2:C1110,C1110)=1,MAX($U$1:U1109)+1,""))</f>
        <v/>
      </c>
    </row>
    <row r="1111" customFormat="false" ht="15" hidden="false" customHeight="false" outlineLevel="0" collapsed="false">
      <c r="A1111" s="34"/>
      <c r="B1111" s="9"/>
      <c r="C1111" s="34"/>
      <c r="D1111" s="34"/>
      <c r="E1111" s="34"/>
      <c r="F1111" s="35"/>
      <c r="G1111" s="9"/>
      <c r="H1111" s="9"/>
      <c r="I1111" s="34"/>
      <c r="J1111" s="30" t="str">
        <f aca="false">IF(F1111="","",G1111-B1111)</f>
        <v/>
      </c>
      <c r="K1111" s="31" t="str">
        <f aca="false">IF(F1111="","",IF(H1111&lt;&gt;"",H1111,MAX('Vade Sapması'!$D$3,G1111)))</f>
        <v/>
      </c>
      <c r="L1111" s="30" t="str">
        <f aca="false">IF(F1111="","",K1111-B1111)</f>
        <v/>
      </c>
      <c r="M1111" s="30" t="str">
        <f aca="false">IF(F1111="","",L1111-J1111)</f>
        <v/>
      </c>
      <c r="N1111" s="32" t="str">
        <f aca="false">IF(F1111="","",IF(H1111&lt;&gt;"","Kapandı",IF('Vade Sapması'!$D$3&gt;G1111,"Açık · vadesi geçti","Açık · vadesi gelmedi")))</f>
        <v/>
      </c>
      <c r="O1111" s="30" t="str">
        <f aca="false">IF(F1111="","",IF(AND(H1111="",'Vade Sapması'!$D$3&gt;G1111),'Vade Sapması'!$D$3-G1111,0))</f>
        <v/>
      </c>
      <c r="P1111" s="33" t="str">
        <f aca="false">IF(F1111="","",F1111*J1111)</f>
        <v/>
      </c>
      <c r="Q1111" s="33" t="str">
        <f aca="false">IF(F1111="","",F1111*L1111)</f>
        <v/>
      </c>
      <c r="R1111" s="33" t="str">
        <f aca="false">IF(F1111="","",IF(H1111="",F1111,0))</f>
        <v/>
      </c>
      <c r="S1111" s="32" t="str">
        <f aca="false">IF(F1111="","",IF(N(O1111)=0,"",IF(O1111&lt;=30,"1-30",IF(O1111&lt;=60,"31-60",IF(O1111&lt;=90,"61-90","90+")))))</f>
        <v/>
      </c>
      <c r="T1111" s="32" t="str">
        <f aca="false">IF(F1111="","",IF(E1111="","Diğer",E1111))</f>
        <v/>
      </c>
      <c r="U1111" s="32" t="str">
        <f aca="false">IF(OR(F1111="",C1111=""),"",IF(COUNTIF($C$2:C1111,C1111)=1,MAX($U$1:U1110)+1,""))</f>
        <v/>
      </c>
    </row>
    <row r="1112" customFormat="false" ht="15" hidden="false" customHeight="false" outlineLevel="0" collapsed="false">
      <c r="A1112" s="34"/>
      <c r="B1112" s="9"/>
      <c r="C1112" s="34"/>
      <c r="D1112" s="34"/>
      <c r="E1112" s="34"/>
      <c r="F1112" s="35"/>
      <c r="G1112" s="9"/>
      <c r="H1112" s="9"/>
      <c r="I1112" s="34"/>
      <c r="J1112" s="30" t="str">
        <f aca="false">IF(F1112="","",G1112-B1112)</f>
        <v/>
      </c>
      <c r="K1112" s="31" t="str">
        <f aca="false">IF(F1112="","",IF(H1112&lt;&gt;"",H1112,MAX('Vade Sapması'!$D$3,G1112)))</f>
        <v/>
      </c>
      <c r="L1112" s="30" t="str">
        <f aca="false">IF(F1112="","",K1112-B1112)</f>
        <v/>
      </c>
      <c r="M1112" s="30" t="str">
        <f aca="false">IF(F1112="","",L1112-J1112)</f>
        <v/>
      </c>
      <c r="N1112" s="32" t="str">
        <f aca="false">IF(F1112="","",IF(H1112&lt;&gt;"","Kapandı",IF('Vade Sapması'!$D$3&gt;G1112,"Açık · vadesi geçti","Açık · vadesi gelmedi")))</f>
        <v/>
      </c>
      <c r="O1112" s="30" t="str">
        <f aca="false">IF(F1112="","",IF(AND(H1112="",'Vade Sapması'!$D$3&gt;G1112),'Vade Sapması'!$D$3-G1112,0))</f>
        <v/>
      </c>
      <c r="P1112" s="33" t="str">
        <f aca="false">IF(F1112="","",F1112*J1112)</f>
        <v/>
      </c>
      <c r="Q1112" s="33" t="str">
        <f aca="false">IF(F1112="","",F1112*L1112)</f>
        <v/>
      </c>
      <c r="R1112" s="33" t="str">
        <f aca="false">IF(F1112="","",IF(H1112="",F1112,0))</f>
        <v/>
      </c>
      <c r="S1112" s="32" t="str">
        <f aca="false">IF(F1112="","",IF(N(O1112)=0,"",IF(O1112&lt;=30,"1-30",IF(O1112&lt;=60,"31-60",IF(O1112&lt;=90,"61-90","90+")))))</f>
        <v/>
      </c>
      <c r="T1112" s="32" t="str">
        <f aca="false">IF(F1112="","",IF(E1112="","Diğer",E1112))</f>
        <v/>
      </c>
      <c r="U1112" s="32" t="str">
        <f aca="false">IF(OR(F1112="",C1112=""),"",IF(COUNTIF($C$2:C1112,C1112)=1,MAX($U$1:U1111)+1,""))</f>
        <v/>
      </c>
    </row>
    <row r="1113" customFormat="false" ht="15" hidden="false" customHeight="false" outlineLevel="0" collapsed="false">
      <c r="A1113" s="34"/>
      <c r="B1113" s="9"/>
      <c r="C1113" s="34"/>
      <c r="D1113" s="34"/>
      <c r="E1113" s="34"/>
      <c r="F1113" s="35"/>
      <c r="G1113" s="9"/>
      <c r="H1113" s="9"/>
      <c r="I1113" s="34"/>
      <c r="J1113" s="30" t="str">
        <f aca="false">IF(F1113="","",G1113-B1113)</f>
        <v/>
      </c>
      <c r="K1113" s="31" t="str">
        <f aca="false">IF(F1113="","",IF(H1113&lt;&gt;"",H1113,MAX('Vade Sapması'!$D$3,G1113)))</f>
        <v/>
      </c>
      <c r="L1113" s="30" t="str">
        <f aca="false">IF(F1113="","",K1113-B1113)</f>
        <v/>
      </c>
      <c r="M1113" s="30" t="str">
        <f aca="false">IF(F1113="","",L1113-J1113)</f>
        <v/>
      </c>
      <c r="N1113" s="32" t="str">
        <f aca="false">IF(F1113="","",IF(H1113&lt;&gt;"","Kapandı",IF('Vade Sapması'!$D$3&gt;G1113,"Açık · vadesi geçti","Açık · vadesi gelmedi")))</f>
        <v/>
      </c>
      <c r="O1113" s="30" t="str">
        <f aca="false">IF(F1113="","",IF(AND(H1113="",'Vade Sapması'!$D$3&gt;G1113),'Vade Sapması'!$D$3-G1113,0))</f>
        <v/>
      </c>
      <c r="P1113" s="33" t="str">
        <f aca="false">IF(F1113="","",F1113*J1113)</f>
        <v/>
      </c>
      <c r="Q1113" s="33" t="str">
        <f aca="false">IF(F1113="","",F1113*L1113)</f>
        <v/>
      </c>
      <c r="R1113" s="33" t="str">
        <f aca="false">IF(F1113="","",IF(H1113="",F1113,0))</f>
        <v/>
      </c>
      <c r="S1113" s="32" t="str">
        <f aca="false">IF(F1113="","",IF(N(O1113)=0,"",IF(O1113&lt;=30,"1-30",IF(O1113&lt;=60,"31-60",IF(O1113&lt;=90,"61-90","90+")))))</f>
        <v/>
      </c>
      <c r="T1113" s="32" t="str">
        <f aca="false">IF(F1113="","",IF(E1113="","Diğer",E1113))</f>
        <v/>
      </c>
      <c r="U1113" s="32" t="str">
        <f aca="false">IF(OR(F1113="",C1113=""),"",IF(COUNTIF($C$2:C1113,C1113)=1,MAX($U$1:U1112)+1,""))</f>
        <v/>
      </c>
    </row>
    <row r="1114" customFormat="false" ht="15" hidden="false" customHeight="false" outlineLevel="0" collapsed="false">
      <c r="A1114" s="34"/>
      <c r="B1114" s="9"/>
      <c r="C1114" s="34"/>
      <c r="D1114" s="34"/>
      <c r="E1114" s="34"/>
      <c r="F1114" s="35"/>
      <c r="G1114" s="9"/>
      <c r="H1114" s="9"/>
      <c r="I1114" s="34"/>
      <c r="J1114" s="30" t="str">
        <f aca="false">IF(F1114="","",G1114-B1114)</f>
        <v/>
      </c>
      <c r="K1114" s="31" t="str">
        <f aca="false">IF(F1114="","",IF(H1114&lt;&gt;"",H1114,MAX('Vade Sapması'!$D$3,G1114)))</f>
        <v/>
      </c>
      <c r="L1114" s="30" t="str">
        <f aca="false">IF(F1114="","",K1114-B1114)</f>
        <v/>
      </c>
      <c r="M1114" s="30" t="str">
        <f aca="false">IF(F1114="","",L1114-J1114)</f>
        <v/>
      </c>
      <c r="N1114" s="32" t="str">
        <f aca="false">IF(F1114="","",IF(H1114&lt;&gt;"","Kapandı",IF('Vade Sapması'!$D$3&gt;G1114,"Açık · vadesi geçti","Açık · vadesi gelmedi")))</f>
        <v/>
      </c>
      <c r="O1114" s="30" t="str">
        <f aca="false">IF(F1114="","",IF(AND(H1114="",'Vade Sapması'!$D$3&gt;G1114),'Vade Sapması'!$D$3-G1114,0))</f>
        <v/>
      </c>
      <c r="P1114" s="33" t="str">
        <f aca="false">IF(F1114="","",F1114*J1114)</f>
        <v/>
      </c>
      <c r="Q1114" s="33" t="str">
        <f aca="false">IF(F1114="","",F1114*L1114)</f>
        <v/>
      </c>
      <c r="R1114" s="33" t="str">
        <f aca="false">IF(F1114="","",IF(H1114="",F1114,0))</f>
        <v/>
      </c>
      <c r="S1114" s="32" t="str">
        <f aca="false">IF(F1114="","",IF(N(O1114)=0,"",IF(O1114&lt;=30,"1-30",IF(O1114&lt;=60,"31-60",IF(O1114&lt;=90,"61-90","90+")))))</f>
        <v/>
      </c>
      <c r="T1114" s="32" t="str">
        <f aca="false">IF(F1114="","",IF(E1114="","Diğer",E1114))</f>
        <v/>
      </c>
      <c r="U1114" s="32" t="str">
        <f aca="false">IF(OR(F1114="",C1114=""),"",IF(COUNTIF($C$2:C1114,C1114)=1,MAX($U$1:U1113)+1,""))</f>
        <v/>
      </c>
    </row>
    <row r="1115" customFormat="false" ht="15" hidden="false" customHeight="false" outlineLevel="0" collapsed="false">
      <c r="A1115" s="34"/>
      <c r="B1115" s="9"/>
      <c r="C1115" s="34"/>
      <c r="D1115" s="34"/>
      <c r="E1115" s="34"/>
      <c r="F1115" s="35"/>
      <c r="G1115" s="9"/>
      <c r="H1115" s="9"/>
      <c r="I1115" s="34"/>
      <c r="J1115" s="30" t="str">
        <f aca="false">IF(F1115="","",G1115-B1115)</f>
        <v/>
      </c>
      <c r="K1115" s="31" t="str">
        <f aca="false">IF(F1115="","",IF(H1115&lt;&gt;"",H1115,MAX('Vade Sapması'!$D$3,G1115)))</f>
        <v/>
      </c>
      <c r="L1115" s="30" t="str">
        <f aca="false">IF(F1115="","",K1115-B1115)</f>
        <v/>
      </c>
      <c r="M1115" s="30" t="str">
        <f aca="false">IF(F1115="","",L1115-J1115)</f>
        <v/>
      </c>
      <c r="N1115" s="32" t="str">
        <f aca="false">IF(F1115="","",IF(H1115&lt;&gt;"","Kapandı",IF('Vade Sapması'!$D$3&gt;G1115,"Açık · vadesi geçti","Açık · vadesi gelmedi")))</f>
        <v/>
      </c>
      <c r="O1115" s="30" t="str">
        <f aca="false">IF(F1115="","",IF(AND(H1115="",'Vade Sapması'!$D$3&gt;G1115),'Vade Sapması'!$D$3-G1115,0))</f>
        <v/>
      </c>
      <c r="P1115" s="33" t="str">
        <f aca="false">IF(F1115="","",F1115*J1115)</f>
        <v/>
      </c>
      <c r="Q1115" s="33" t="str">
        <f aca="false">IF(F1115="","",F1115*L1115)</f>
        <v/>
      </c>
      <c r="R1115" s="33" t="str">
        <f aca="false">IF(F1115="","",IF(H1115="",F1115,0))</f>
        <v/>
      </c>
      <c r="S1115" s="32" t="str">
        <f aca="false">IF(F1115="","",IF(N(O1115)=0,"",IF(O1115&lt;=30,"1-30",IF(O1115&lt;=60,"31-60",IF(O1115&lt;=90,"61-90","90+")))))</f>
        <v/>
      </c>
      <c r="T1115" s="32" t="str">
        <f aca="false">IF(F1115="","",IF(E1115="","Diğer",E1115))</f>
        <v/>
      </c>
      <c r="U1115" s="32" t="str">
        <f aca="false">IF(OR(F1115="",C1115=""),"",IF(COUNTIF($C$2:C1115,C1115)=1,MAX($U$1:U1114)+1,""))</f>
        <v/>
      </c>
    </row>
    <row r="1116" customFormat="false" ht="15" hidden="false" customHeight="false" outlineLevel="0" collapsed="false">
      <c r="A1116" s="34"/>
      <c r="B1116" s="9"/>
      <c r="C1116" s="34"/>
      <c r="D1116" s="34"/>
      <c r="E1116" s="34"/>
      <c r="F1116" s="35"/>
      <c r="G1116" s="9"/>
      <c r="H1116" s="9"/>
      <c r="I1116" s="34"/>
      <c r="J1116" s="30" t="str">
        <f aca="false">IF(F1116="","",G1116-B1116)</f>
        <v/>
      </c>
      <c r="K1116" s="31" t="str">
        <f aca="false">IF(F1116="","",IF(H1116&lt;&gt;"",H1116,MAX('Vade Sapması'!$D$3,G1116)))</f>
        <v/>
      </c>
      <c r="L1116" s="30" t="str">
        <f aca="false">IF(F1116="","",K1116-B1116)</f>
        <v/>
      </c>
      <c r="M1116" s="30" t="str">
        <f aca="false">IF(F1116="","",L1116-J1116)</f>
        <v/>
      </c>
      <c r="N1116" s="32" t="str">
        <f aca="false">IF(F1116="","",IF(H1116&lt;&gt;"","Kapandı",IF('Vade Sapması'!$D$3&gt;G1116,"Açık · vadesi geçti","Açık · vadesi gelmedi")))</f>
        <v/>
      </c>
      <c r="O1116" s="30" t="str">
        <f aca="false">IF(F1116="","",IF(AND(H1116="",'Vade Sapması'!$D$3&gt;G1116),'Vade Sapması'!$D$3-G1116,0))</f>
        <v/>
      </c>
      <c r="P1116" s="33" t="str">
        <f aca="false">IF(F1116="","",F1116*J1116)</f>
        <v/>
      </c>
      <c r="Q1116" s="33" t="str">
        <f aca="false">IF(F1116="","",F1116*L1116)</f>
        <v/>
      </c>
      <c r="R1116" s="33" t="str">
        <f aca="false">IF(F1116="","",IF(H1116="",F1116,0))</f>
        <v/>
      </c>
      <c r="S1116" s="32" t="str">
        <f aca="false">IF(F1116="","",IF(N(O1116)=0,"",IF(O1116&lt;=30,"1-30",IF(O1116&lt;=60,"31-60",IF(O1116&lt;=90,"61-90","90+")))))</f>
        <v/>
      </c>
      <c r="T1116" s="32" t="str">
        <f aca="false">IF(F1116="","",IF(E1116="","Diğer",E1116))</f>
        <v/>
      </c>
      <c r="U1116" s="32" t="str">
        <f aca="false">IF(OR(F1116="",C1116=""),"",IF(COUNTIF($C$2:C1116,C1116)=1,MAX($U$1:U1115)+1,""))</f>
        <v/>
      </c>
    </row>
    <row r="1117" customFormat="false" ht="15" hidden="false" customHeight="false" outlineLevel="0" collapsed="false">
      <c r="A1117" s="34"/>
      <c r="B1117" s="9"/>
      <c r="C1117" s="34"/>
      <c r="D1117" s="34"/>
      <c r="E1117" s="34"/>
      <c r="F1117" s="35"/>
      <c r="G1117" s="9"/>
      <c r="H1117" s="9"/>
      <c r="I1117" s="34"/>
      <c r="J1117" s="30" t="str">
        <f aca="false">IF(F1117="","",G1117-B1117)</f>
        <v/>
      </c>
      <c r="K1117" s="31" t="str">
        <f aca="false">IF(F1117="","",IF(H1117&lt;&gt;"",H1117,MAX('Vade Sapması'!$D$3,G1117)))</f>
        <v/>
      </c>
      <c r="L1117" s="30" t="str">
        <f aca="false">IF(F1117="","",K1117-B1117)</f>
        <v/>
      </c>
      <c r="M1117" s="30" t="str">
        <f aca="false">IF(F1117="","",L1117-J1117)</f>
        <v/>
      </c>
      <c r="N1117" s="32" t="str">
        <f aca="false">IF(F1117="","",IF(H1117&lt;&gt;"","Kapandı",IF('Vade Sapması'!$D$3&gt;G1117,"Açık · vadesi geçti","Açık · vadesi gelmedi")))</f>
        <v/>
      </c>
      <c r="O1117" s="30" t="str">
        <f aca="false">IF(F1117="","",IF(AND(H1117="",'Vade Sapması'!$D$3&gt;G1117),'Vade Sapması'!$D$3-G1117,0))</f>
        <v/>
      </c>
      <c r="P1117" s="33" t="str">
        <f aca="false">IF(F1117="","",F1117*J1117)</f>
        <v/>
      </c>
      <c r="Q1117" s="33" t="str">
        <f aca="false">IF(F1117="","",F1117*L1117)</f>
        <v/>
      </c>
      <c r="R1117" s="33" t="str">
        <f aca="false">IF(F1117="","",IF(H1117="",F1117,0))</f>
        <v/>
      </c>
      <c r="S1117" s="32" t="str">
        <f aca="false">IF(F1117="","",IF(N(O1117)=0,"",IF(O1117&lt;=30,"1-30",IF(O1117&lt;=60,"31-60",IF(O1117&lt;=90,"61-90","90+")))))</f>
        <v/>
      </c>
      <c r="T1117" s="32" t="str">
        <f aca="false">IF(F1117="","",IF(E1117="","Diğer",E1117))</f>
        <v/>
      </c>
      <c r="U1117" s="32" t="str">
        <f aca="false">IF(OR(F1117="",C1117=""),"",IF(COUNTIF($C$2:C1117,C1117)=1,MAX($U$1:U1116)+1,""))</f>
        <v/>
      </c>
    </row>
    <row r="1118" customFormat="false" ht="15" hidden="false" customHeight="false" outlineLevel="0" collapsed="false">
      <c r="A1118" s="34"/>
      <c r="B1118" s="9"/>
      <c r="C1118" s="34"/>
      <c r="D1118" s="34"/>
      <c r="E1118" s="34"/>
      <c r="F1118" s="35"/>
      <c r="G1118" s="9"/>
      <c r="H1118" s="9"/>
      <c r="I1118" s="34"/>
      <c r="J1118" s="30" t="str">
        <f aca="false">IF(F1118="","",G1118-B1118)</f>
        <v/>
      </c>
      <c r="K1118" s="31" t="str">
        <f aca="false">IF(F1118="","",IF(H1118&lt;&gt;"",H1118,MAX('Vade Sapması'!$D$3,G1118)))</f>
        <v/>
      </c>
      <c r="L1118" s="30" t="str">
        <f aca="false">IF(F1118="","",K1118-B1118)</f>
        <v/>
      </c>
      <c r="M1118" s="30" t="str">
        <f aca="false">IF(F1118="","",L1118-J1118)</f>
        <v/>
      </c>
      <c r="N1118" s="32" t="str">
        <f aca="false">IF(F1118="","",IF(H1118&lt;&gt;"","Kapandı",IF('Vade Sapması'!$D$3&gt;G1118,"Açık · vadesi geçti","Açık · vadesi gelmedi")))</f>
        <v/>
      </c>
      <c r="O1118" s="30" t="str">
        <f aca="false">IF(F1118="","",IF(AND(H1118="",'Vade Sapması'!$D$3&gt;G1118),'Vade Sapması'!$D$3-G1118,0))</f>
        <v/>
      </c>
      <c r="P1118" s="33" t="str">
        <f aca="false">IF(F1118="","",F1118*J1118)</f>
        <v/>
      </c>
      <c r="Q1118" s="33" t="str">
        <f aca="false">IF(F1118="","",F1118*L1118)</f>
        <v/>
      </c>
      <c r="R1118" s="33" t="str">
        <f aca="false">IF(F1118="","",IF(H1118="",F1118,0))</f>
        <v/>
      </c>
      <c r="S1118" s="32" t="str">
        <f aca="false">IF(F1118="","",IF(N(O1118)=0,"",IF(O1118&lt;=30,"1-30",IF(O1118&lt;=60,"31-60",IF(O1118&lt;=90,"61-90","90+")))))</f>
        <v/>
      </c>
      <c r="T1118" s="32" t="str">
        <f aca="false">IF(F1118="","",IF(E1118="","Diğer",E1118))</f>
        <v/>
      </c>
      <c r="U1118" s="32" t="str">
        <f aca="false">IF(OR(F1118="",C1118=""),"",IF(COUNTIF($C$2:C1118,C1118)=1,MAX($U$1:U1117)+1,""))</f>
        <v/>
      </c>
    </row>
    <row r="1119" customFormat="false" ht="15" hidden="false" customHeight="false" outlineLevel="0" collapsed="false">
      <c r="A1119" s="34"/>
      <c r="B1119" s="9"/>
      <c r="C1119" s="34"/>
      <c r="D1119" s="34"/>
      <c r="E1119" s="34"/>
      <c r="F1119" s="35"/>
      <c r="G1119" s="9"/>
      <c r="H1119" s="9"/>
      <c r="I1119" s="34"/>
      <c r="J1119" s="30" t="str">
        <f aca="false">IF(F1119="","",G1119-B1119)</f>
        <v/>
      </c>
      <c r="K1119" s="31" t="str">
        <f aca="false">IF(F1119="","",IF(H1119&lt;&gt;"",H1119,MAX('Vade Sapması'!$D$3,G1119)))</f>
        <v/>
      </c>
      <c r="L1119" s="30" t="str">
        <f aca="false">IF(F1119="","",K1119-B1119)</f>
        <v/>
      </c>
      <c r="M1119" s="30" t="str">
        <f aca="false">IF(F1119="","",L1119-J1119)</f>
        <v/>
      </c>
      <c r="N1119" s="32" t="str">
        <f aca="false">IF(F1119="","",IF(H1119&lt;&gt;"","Kapandı",IF('Vade Sapması'!$D$3&gt;G1119,"Açık · vadesi geçti","Açık · vadesi gelmedi")))</f>
        <v/>
      </c>
      <c r="O1119" s="30" t="str">
        <f aca="false">IF(F1119="","",IF(AND(H1119="",'Vade Sapması'!$D$3&gt;G1119),'Vade Sapması'!$D$3-G1119,0))</f>
        <v/>
      </c>
      <c r="P1119" s="33" t="str">
        <f aca="false">IF(F1119="","",F1119*J1119)</f>
        <v/>
      </c>
      <c r="Q1119" s="33" t="str">
        <f aca="false">IF(F1119="","",F1119*L1119)</f>
        <v/>
      </c>
      <c r="R1119" s="33" t="str">
        <f aca="false">IF(F1119="","",IF(H1119="",F1119,0))</f>
        <v/>
      </c>
      <c r="S1119" s="32" t="str">
        <f aca="false">IF(F1119="","",IF(N(O1119)=0,"",IF(O1119&lt;=30,"1-30",IF(O1119&lt;=60,"31-60",IF(O1119&lt;=90,"61-90","90+")))))</f>
        <v/>
      </c>
      <c r="T1119" s="32" t="str">
        <f aca="false">IF(F1119="","",IF(E1119="","Diğer",E1119))</f>
        <v/>
      </c>
      <c r="U1119" s="32" t="str">
        <f aca="false">IF(OR(F1119="",C1119=""),"",IF(COUNTIF($C$2:C1119,C1119)=1,MAX($U$1:U1118)+1,""))</f>
        <v/>
      </c>
    </row>
    <row r="1120" customFormat="false" ht="15" hidden="false" customHeight="false" outlineLevel="0" collapsed="false">
      <c r="A1120" s="34"/>
      <c r="B1120" s="9"/>
      <c r="C1120" s="34"/>
      <c r="D1120" s="34"/>
      <c r="E1120" s="34"/>
      <c r="F1120" s="35"/>
      <c r="G1120" s="9"/>
      <c r="H1120" s="9"/>
      <c r="I1120" s="34"/>
      <c r="J1120" s="30" t="str">
        <f aca="false">IF(F1120="","",G1120-B1120)</f>
        <v/>
      </c>
      <c r="K1120" s="31" t="str">
        <f aca="false">IF(F1120="","",IF(H1120&lt;&gt;"",H1120,MAX('Vade Sapması'!$D$3,G1120)))</f>
        <v/>
      </c>
      <c r="L1120" s="30" t="str">
        <f aca="false">IF(F1120="","",K1120-B1120)</f>
        <v/>
      </c>
      <c r="M1120" s="30" t="str">
        <f aca="false">IF(F1120="","",L1120-J1120)</f>
        <v/>
      </c>
      <c r="N1120" s="32" t="str">
        <f aca="false">IF(F1120="","",IF(H1120&lt;&gt;"","Kapandı",IF('Vade Sapması'!$D$3&gt;G1120,"Açık · vadesi geçti","Açık · vadesi gelmedi")))</f>
        <v/>
      </c>
      <c r="O1120" s="30" t="str">
        <f aca="false">IF(F1120="","",IF(AND(H1120="",'Vade Sapması'!$D$3&gt;G1120),'Vade Sapması'!$D$3-G1120,0))</f>
        <v/>
      </c>
      <c r="P1120" s="33" t="str">
        <f aca="false">IF(F1120="","",F1120*J1120)</f>
        <v/>
      </c>
      <c r="Q1120" s="33" t="str">
        <f aca="false">IF(F1120="","",F1120*L1120)</f>
        <v/>
      </c>
      <c r="R1120" s="33" t="str">
        <f aca="false">IF(F1120="","",IF(H1120="",F1120,0))</f>
        <v/>
      </c>
      <c r="S1120" s="32" t="str">
        <f aca="false">IF(F1120="","",IF(N(O1120)=0,"",IF(O1120&lt;=30,"1-30",IF(O1120&lt;=60,"31-60",IF(O1120&lt;=90,"61-90","90+")))))</f>
        <v/>
      </c>
      <c r="T1120" s="32" t="str">
        <f aca="false">IF(F1120="","",IF(E1120="","Diğer",E1120))</f>
        <v/>
      </c>
      <c r="U1120" s="32" t="str">
        <f aca="false">IF(OR(F1120="",C1120=""),"",IF(COUNTIF($C$2:C1120,C1120)=1,MAX($U$1:U1119)+1,""))</f>
        <v/>
      </c>
    </row>
    <row r="1121" customFormat="false" ht="15" hidden="false" customHeight="false" outlineLevel="0" collapsed="false">
      <c r="A1121" s="34"/>
      <c r="B1121" s="9"/>
      <c r="C1121" s="34"/>
      <c r="D1121" s="34"/>
      <c r="E1121" s="34"/>
      <c r="F1121" s="35"/>
      <c r="G1121" s="9"/>
      <c r="H1121" s="9"/>
      <c r="I1121" s="34"/>
      <c r="J1121" s="30" t="str">
        <f aca="false">IF(F1121="","",G1121-B1121)</f>
        <v/>
      </c>
      <c r="K1121" s="31" t="str">
        <f aca="false">IF(F1121="","",IF(H1121&lt;&gt;"",H1121,MAX('Vade Sapması'!$D$3,G1121)))</f>
        <v/>
      </c>
      <c r="L1121" s="30" t="str">
        <f aca="false">IF(F1121="","",K1121-B1121)</f>
        <v/>
      </c>
      <c r="M1121" s="30" t="str">
        <f aca="false">IF(F1121="","",L1121-J1121)</f>
        <v/>
      </c>
      <c r="N1121" s="32" t="str">
        <f aca="false">IF(F1121="","",IF(H1121&lt;&gt;"","Kapandı",IF('Vade Sapması'!$D$3&gt;G1121,"Açık · vadesi geçti","Açık · vadesi gelmedi")))</f>
        <v/>
      </c>
      <c r="O1121" s="30" t="str">
        <f aca="false">IF(F1121="","",IF(AND(H1121="",'Vade Sapması'!$D$3&gt;G1121),'Vade Sapması'!$D$3-G1121,0))</f>
        <v/>
      </c>
      <c r="P1121" s="33" t="str">
        <f aca="false">IF(F1121="","",F1121*J1121)</f>
        <v/>
      </c>
      <c r="Q1121" s="33" t="str">
        <f aca="false">IF(F1121="","",F1121*L1121)</f>
        <v/>
      </c>
      <c r="R1121" s="33" t="str">
        <f aca="false">IF(F1121="","",IF(H1121="",F1121,0))</f>
        <v/>
      </c>
      <c r="S1121" s="32" t="str">
        <f aca="false">IF(F1121="","",IF(N(O1121)=0,"",IF(O1121&lt;=30,"1-30",IF(O1121&lt;=60,"31-60",IF(O1121&lt;=90,"61-90","90+")))))</f>
        <v/>
      </c>
      <c r="T1121" s="32" t="str">
        <f aca="false">IF(F1121="","",IF(E1121="","Diğer",E1121))</f>
        <v/>
      </c>
      <c r="U1121" s="32" t="str">
        <f aca="false">IF(OR(F1121="",C1121=""),"",IF(COUNTIF($C$2:C1121,C1121)=1,MAX($U$1:U1120)+1,""))</f>
        <v/>
      </c>
    </row>
    <row r="1122" customFormat="false" ht="15" hidden="false" customHeight="false" outlineLevel="0" collapsed="false">
      <c r="A1122" s="34"/>
      <c r="B1122" s="9"/>
      <c r="C1122" s="34"/>
      <c r="D1122" s="34"/>
      <c r="E1122" s="34"/>
      <c r="F1122" s="35"/>
      <c r="G1122" s="9"/>
      <c r="H1122" s="9"/>
      <c r="I1122" s="34"/>
      <c r="J1122" s="30" t="str">
        <f aca="false">IF(F1122="","",G1122-B1122)</f>
        <v/>
      </c>
      <c r="K1122" s="31" t="str">
        <f aca="false">IF(F1122="","",IF(H1122&lt;&gt;"",H1122,MAX('Vade Sapması'!$D$3,G1122)))</f>
        <v/>
      </c>
      <c r="L1122" s="30" t="str">
        <f aca="false">IF(F1122="","",K1122-B1122)</f>
        <v/>
      </c>
      <c r="M1122" s="30" t="str">
        <f aca="false">IF(F1122="","",L1122-J1122)</f>
        <v/>
      </c>
      <c r="N1122" s="32" t="str">
        <f aca="false">IF(F1122="","",IF(H1122&lt;&gt;"","Kapandı",IF('Vade Sapması'!$D$3&gt;G1122,"Açık · vadesi geçti","Açık · vadesi gelmedi")))</f>
        <v/>
      </c>
      <c r="O1122" s="30" t="str">
        <f aca="false">IF(F1122="","",IF(AND(H1122="",'Vade Sapması'!$D$3&gt;G1122),'Vade Sapması'!$D$3-G1122,0))</f>
        <v/>
      </c>
      <c r="P1122" s="33" t="str">
        <f aca="false">IF(F1122="","",F1122*J1122)</f>
        <v/>
      </c>
      <c r="Q1122" s="33" t="str">
        <f aca="false">IF(F1122="","",F1122*L1122)</f>
        <v/>
      </c>
      <c r="R1122" s="33" t="str">
        <f aca="false">IF(F1122="","",IF(H1122="",F1122,0))</f>
        <v/>
      </c>
      <c r="S1122" s="32" t="str">
        <f aca="false">IF(F1122="","",IF(N(O1122)=0,"",IF(O1122&lt;=30,"1-30",IF(O1122&lt;=60,"31-60",IF(O1122&lt;=90,"61-90","90+")))))</f>
        <v/>
      </c>
      <c r="T1122" s="32" t="str">
        <f aca="false">IF(F1122="","",IF(E1122="","Diğer",E1122))</f>
        <v/>
      </c>
      <c r="U1122" s="32" t="str">
        <f aca="false">IF(OR(F1122="",C1122=""),"",IF(COUNTIF($C$2:C1122,C1122)=1,MAX($U$1:U1121)+1,""))</f>
        <v/>
      </c>
    </row>
    <row r="1123" customFormat="false" ht="15" hidden="false" customHeight="false" outlineLevel="0" collapsed="false">
      <c r="A1123" s="34"/>
      <c r="B1123" s="9"/>
      <c r="C1123" s="34"/>
      <c r="D1123" s="34"/>
      <c r="E1123" s="34"/>
      <c r="F1123" s="35"/>
      <c r="G1123" s="9"/>
      <c r="H1123" s="9"/>
      <c r="I1123" s="34"/>
      <c r="J1123" s="30" t="str">
        <f aca="false">IF(F1123="","",G1123-B1123)</f>
        <v/>
      </c>
      <c r="K1123" s="31" t="str">
        <f aca="false">IF(F1123="","",IF(H1123&lt;&gt;"",H1123,MAX('Vade Sapması'!$D$3,G1123)))</f>
        <v/>
      </c>
      <c r="L1123" s="30" t="str">
        <f aca="false">IF(F1123="","",K1123-B1123)</f>
        <v/>
      </c>
      <c r="M1123" s="30" t="str">
        <f aca="false">IF(F1123="","",L1123-J1123)</f>
        <v/>
      </c>
      <c r="N1123" s="32" t="str">
        <f aca="false">IF(F1123="","",IF(H1123&lt;&gt;"","Kapandı",IF('Vade Sapması'!$D$3&gt;G1123,"Açık · vadesi geçti","Açık · vadesi gelmedi")))</f>
        <v/>
      </c>
      <c r="O1123" s="30" t="str">
        <f aca="false">IF(F1123="","",IF(AND(H1123="",'Vade Sapması'!$D$3&gt;G1123),'Vade Sapması'!$D$3-G1123,0))</f>
        <v/>
      </c>
      <c r="P1123" s="33" t="str">
        <f aca="false">IF(F1123="","",F1123*J1123)</f>
        <v/>
      </c>
      <c r="Q1123" s="33" t="str">
        <f aca="false">IF(F1123="","",F1123*L1123)</f>
        <v/>
      </c>
      <c r="R1123" s="33" t="str">
        <f aca="false">IF(F1123="","",IF(H1123="",F1123,0))</f>
        <v/>
      </c>
      <c r="S1123" s="32" t="str">
        <f aca="false">IF(F1123="","",IF(N(O1123)=0,"",IF(O1123&lt;=30,"1-30",IF(O1123&lt;=60,"31-60",IF(O1123&lt;=90,"61-90","90+")))))</f>
        <v/>
      </c>
      <c r="T1123" s="32" t="str">
        <f aca="false">IF(F1123="","",IF(E1123="","Diğer",E1123))</f>
        <v/>
      </c>
      <c r="U1123" s="32" t="str">
        <f aca="false">IF(OR(F1123="",C1123=""),"",IF(COUNTIF($C$2:C1123,C1123)=1,MAX($U$1:U1122)+1,""))</f>
        <v/>
      </c>
    </row>
    <row r="1124" customFormat="false" ht="15" hidden="false" customHeight="false" outlineLevel="0" collapsed="false">
      <c r="A1124" s="34"/>
      <c r="B1124" s="9"/>
      <c r="C1124" s="34"/>
      <c r="D1124" s="34"/>
      <c r="E1124" s="34"/>
      <c r="F1124" s="35"/>
      <c r="G1124" s="9"/>
      <c r="H1124" s="9"/>
      <c r="I1124" s="34"/>
      <c r="J1124" s="30" t="str">
        <f aca="false">IF(F1124="","",G1124-B1124)</f>
        <v/>
      </c>
      <c r="K1124" s="31" t="str">
        <f aca="false">IF(F1124="","",IF(H1124&lt;&gt;"",H1124,MAX('Vade Sapması'!$D$3,G1124)))</f>
        <v/>
      </c>
      <c r="L1124" s="30" t="str">
        <f aca="false">IF(F1124="","",K1124-B1124)</f>
        <v/>
      </c>
      <c r="M1124" s="30" t="str">
        <f aca="false">IF(F1124="","",L1124-J1124)</f>
        <v/>
      </c>
      <c r="N1124" s="32" t="str">
        <f aca="false">IF(F1124="","",IF(H1124&lt;&gt;"","Kapandı",IF('Vade Sapması'!$D$3&gt;G1124,"Açık · vadesi geçti","Açık · vadesi gelmedi")))</f>
        <v/>
      </c>
      <c r="O1124" s="30" t="str">
        <f aca="false">IF(F1124="","",IF(AND(H1124="",'Vade Sapması'!$D$3&gt;G1124),'Vade Sapması'!$D$3-G1124,0))</f>
        <v/>
      </c>
      <c r="P1124" s="33" t="str">
        <f aca="false">IF(F1124="","",F1124*J1124)</f>
        <v/>
      </c>
      <c r="Q1124" s="33" t="str">
        <f aca="false">IF(F1124="","",F1124*L1124)</f>
        <v/>
      </c>
      <c r="R1124" s="33" t="str">
        <f aca="false">IF(F1124="","",IF(H1124="",F1124,0))</f>
        <v/>
      </c>
      <c r="S1124" s="32" t="str">
        <f aca="false">IF(F1124="","",IF(N(O1124)=0,"",IF(O1124&lt;=30,"1-30",IF(O1124&lt;=60,"31-60",IF(O1124&lt;=90,"61-90","90+")))))</f>
        <v/>
      </c>
      <c r="T1124" s="32" t="str">
        <f aca="false">IF(F1124="","",IF(E1124="","Diğer",E1124))</f>
        <v/>
      </c>
      <c r="U1124" s="32" t="str">
        <f aca="false">IF(OR(F1124="",C1124=""),"",IF(COUNTIF($C$2:C1124,C1124)=1,MAX($U$1:U1123)+1,""))</f>
        <v/>
      </c>
    </row>
    <row r="1125" customFormat="false" ht="15" hidden="false" customHeight="false" outlineLevel="0" collapsed="false">
      <c r="A1125" s="34"/>
      <c r="B1125" s="9"/>
      <c r="C1125" s="34"/>
      <c r="D1125" s="34"/>
      <c r="E1125" s="34"/>
      <c r="F1125" s="35"/>
      <c r="G1125" s="9"/>
      <c r="H1125" s="9"/>
      <c r="I1125" s="34"/>
      <c r="J1125" s="30" t="str">
        <f aca="false">IF(F1125="","",G1125-B1125)</f>
        <v/>
      </c>
      <c r="K1125" s="31" t="str">
        <f aca="false">IF(F1125="","",IF(H1125&lt;&gt;"",H1125,MAX('Vade Sapması'!$D$3,G1125)))</f>
        <v/>
      </c>
      <c r="L1125" s="30" t="str">
        <f aca="false">IF(F1125="","",K1125-B1125)</f>
        <v/>
      </c>
      <c r="M1125" s="30" t="str">
        <f aca="false">IF(F1125="","",L1125-J1125)</f>
        <v/>
      </c>
      <c r="N1125" s="32" t="str">
        <f aca="false">IF(F1125="","",IF(H1125&lt;&gt;"","Kapandı",IF('Vade Sapması'!$D$3&gt;G1125,"Açık · vadesi geçti","Açık · vadesi gelmedi")))</f>
        <v/>
      </c>
      <c r="O1125" s="30" t="str">
        <f aca="false">IF(F1125="","",IF(AND(H1125="",'Vade Sapması'!$D$3&gt;G1125),'Vade Sapması'!$D$3-G1125,0))</f>
        <v/>
      </c>
      <c r="P1125" s="33" t="str">
        <f aca="false">IF(F1125="","",F1125*J1125)</f>
        <v/>
      </c>
      <c r="Q1125" s="33" t="str">
        <f aca="false">IF(F1125="","",F1125*L1125)</f>
        <v/>
      </c>
      <c r="R1125" s="33" t="str">
        <f aca="false">IF(F1125="","",IF(H1125="",F1125,0))</f>
        <v/>
      </c>
      <c r="S1125" s="32" t="str">
        <f aca="false">IF(F1125="","",IF(N(O1125)=0,"",IF(O1125&lt;=30,"1-30",IF(O1125&lt;=60,"31-60",IF(O1125&lt;=90,"61-90","90+")))))</f>
        <v/>
      </c>
      <c r="T1125" s="32" t="str">
        <f aca="false">IF(F1125="","",IF(E1125="","Diğer",E1125))</f>
        <v/>
      </c>
      <c r="U1125" s="32" t="str">
        <f aca="false">IF(OR(F1125="",C1125=""),"",IF(COUNTIF($C$2:C1125,C1125)=1,MAX($U$1:U1124)+1,""))</f>
        <v/>
      </c>
    </row>
    <row r="1126" customFormat="false" ht="15" hidden="false" customHeight="false" outlineLevel="0" collapsed="false">
      <c r="A1126" s="34"/>
      <c r="B1126" s="9"/>
      <c r="C1126" s="34"/>
      <c r="D1126" s="34"/>
      <c r="E1126" s="34"/>
      <c r="F1126" s="35"/>
      <c r="G1126" s="9"/>
      <c r="H1126" s="9"/>
      <c r="I1126" s="34"/>
      <c r="J1126" s="30" t="str">
        <f aca="false">IF(F1126="","",G1126-B1126)</f>
        <v/>
      </c>
      <c r="K1126" s="31" t="str">
        <f aca="false">IF(F1126="","",IF(H1126&lt;&gt;"",H1126,MAX('Vade Sapması'!$D$3,G1126)))</f>
        <v/>
      </c>
      <c r="L1126" s="30" t="str">
        <f aca="false">IF(F1126="","",K1126-B1126)</f>
        <v/>
      </c>
      <c r="M1126" s="30" t="str">
        <f aca="false">IF(F1126="","",L1126-J1126)</f>
        <v/>
      </c>
      <c r="N1126" s="32" t="str">
        <f aca="false">IF(F1126="","",IF(H1126&lt;&gt;"","Kapandı",IF('Vade Sapması'!$D$3&gt;G1126,"Açık · vadesi geçti","Açık · vadesi gelmedi")))</f>
        <v/>
      </c>
      <c r="O1126" s="30" t="str">
        <f aca="false">IF(F1126="","",IF(AND(H1126="",'Vade Sapması'!$D$3&gt;G1126),'Vade Sapması'!$D$3-G1126,0))</f>
        <v/>
      </c>
      <c r="P1126" s="33" t="str">
        <f aca="false">IF(F1126="","",F1126*J1126)</f>
        <v/>
      </c>
      <c r="Q1126" s="33" t="str">
        <f aca="false">IF(F1126="","",F1126*L1126)</f>
        <v/>
      </c>
      <c r="R1126" s="33" t="str">
        <f aca="false">IF(F1126="","",IF(H1126="",F1126,0))</f>
        <v/>
      </c>
      <c r="S1126" s="32" t="str">
        <f aca="false">IF(F1126="","",IF(N(O1126)=0,"",IF(O1126&lt;=30,"1-30",IF(O1126&lt;=60,"31-60",IF(O1126&lt;=90,"61-90","90+")))))</f>
        <v/>
      </c>
      <c r="T1126" s="32" t="str">
        <f aca="false">IF(F1126="","",IF(E1126="","Diğer",E1126))</f>
        <v/>
      </c>
      <c r="U1126" s="32" t="str">
        <f aca="false">IF(OR(F1126="",C1126=""),"",IF(COUNTIF($C$2:C1126,C1126)=1,MAX($U$1:U1125)+1,""))</f>
        <v/>
      </c>
    </row>
    <row r="1127" customFormat="false" ht="15" hidden="false" customHeight="false" outlineLevel="0" collapsed="false">
      <c r="A1127" s="34"/>
      <c r="B1127" s="9"/>
      <c r="C1127" s="34"/>
      <c r="D1127" s="34"/>
      <c r="E1127" s="34"/>
      <c r="F1127" s="35"/>
      <c r="G1127" s="9"/>
      <c r="H1127" s="9"/>
      <c r="I1127" s="34"/>
      <c r="J1127" s="30" t="str">
        <f aca="false">IF(F1127="","",G1127-B1127)</f>
        <v/>
      </c>
      <c r="K1127" s="31" t="str">
        <f aca="false">IF(F1127="","",IF(H1127&lt;&gt;"",H1127,MAX('Vade Sapması'!$D$3,G1127)))</f>
        <v/>
      </c>
      <c r="L1127" s="30" t="str">
        <f aca="false">IF(F1127="","",K1127-B1127)</f>
        <v/>
      </c>
      <c r="M1127" s="30" t="str">
        <f aca="false">IF(F1127="","",L1127-J1127)</f>
        <v/>
      </c>
      <c r="N1127" s="32" t="str">
        <f aca="false">IF(F1127="","",IF(H1127&lt;&gt;"","Kapandı",IF('Vade Sapması'!$D$3&gt;G1127,"Açık · vadesi geçti","Açık · vadesi gelmedi")))</f>
        <v/>
      </c>
      <c r="O1127" s="30" t="str">
        <f aca="false">IF(F1127="","",IF(AND(H1127="",'Vade Sapması'!$D$3&gt;G1127),'Vade Sapması'!$D$3-G1127,0))</f>
        <v/>
      </c>
      <c r="P1127" s="33" t="str">
        <f aca="false">IF(F1127="","",F1127*J1127)</f>
        <v/>
      </c>
      <c r="Q1127" s="33" t="str">
        <f aca="false">IF(F1127="","",F1127*L1127)</f>
        <v/>
      </c>
      <c r="R1127" s="33" t="str">
        <f aca="false">IF(F1127="","",IF(H1127="",F1127,0))</f>
        <v/>
      </c>
      <c r="S1127" s="32" t="str">
        <f aca="false">IF(F1127="","",IF(N(O1127)=0,"",IF(O1127&lt;=30,"1-30",IF(O1127&lt;=60,"31-60",IF(O1127&lt;=90,"61-90","90+")))))</f>
        <v/>
      </c>
      <c r="T1127" s="32" t="str">
        <f aca="false">IF(F1127="","",IF(E1127="","Diğer",E1127))</f>
        <v/>
      </c>
      <c r="U1127" s="32" t="str">
        <f aca="false">IF(OR(F1127="",C1127=""),"",IF(COUNTIF($C$2:C1127,C1127)=1,MAX($U$1:U1126)+1,""))</f>
        <v/>
      </c>
    </row>
    <row r="1128" customFormat="false" ht="15" hidden="false" customHeight="false" outlineLevel="0" collapsed="false">
      <c r="A1128" s="34"/>
      <c r="B1128" s="9"/>
      <c r="C1128" s="34"/>
      <c r="D1128" s="34"/>
      <c r="E1128" s="34"/>
      <c r="F1128" s="35"/>
      <c r="G1128" s="9"/>
      <c r="H1128" s="9"/>
      <c r="I1128" s="34"/>
      <c r="J1128" s="30" t="str">
        <f aca="false">IF(F1128="","",G1128-B1128)</f>
        <v/>
      </c>
      <c r="K1128" s="31" t="str">
        <f aca="false">IF(F1128="","",IF(H1128&lt;&gt;"",H1128,MAX('Vade Sapması'!$D$3,G1128)))</f>
        <v/>
      </c>
      <c r="L1128" s="30" t="str">
        <f aca="false">IF(F1128="","",K1128-B1128)</f>
        <v/>
      </c>
      <c r="M1128" s="30" t="str">
        <f aca="false">IF(F1128="","",L1128-J1128)</f>
        <v/>
      </c>
      <c r="N1128" s="32" t="str">
        <f aca="false">IF(F1128="","",IF(H1128&lt;&gt;"","Kapandı",IF('Vade Sapması'!$D$3&gt;G1128,"Açık · vadesi geçti","Açık · vadesi gelmedi")))</f>
        <v/>
      </c>
      <c r="O1128" s="30" t="str">
        <f aca="false">IF(F1128="","",IF(AND(H1128="",'Vade Sapması'!$D$3&gt;G1128),'Vade Sapması'!$D$3-G1128,0))</f>
        <v/>
      </c>
      <c r="P1128" s="33" t="str">
        <f aca="false">IF(F1128="","",F1128*J1128)</f>
        <v/>
      </c>
      <c r="Q1128" s="33" t="str">
        <f aca="false">IF(F1128="","",F1128*L1128)</f>
        <v/>
      </c>
      <c r="R1128" s="33" t="str">
        <f aca="false">IF(F1128="","",IF(H1128="",F1128,0))</f>
        <v/>
      </c>
      <c r="S1128" s="32" t="str">
        <f aca="false">IF(F1128="","",IF(N(O1128)=0,"",IF(O1128&lt;=30,"1-30",IF(O1128&lt;=60,"31-60",IF(O1128&lt;=90,"61-90","90+")))))</f>
        <v/>
      </c>
      <c r="T1128" s="32" t="str">
        <f aca="false">IF(F1128="","",IF(E1128="","Diğer",E1128))</f>
        <v/>
      </c>
      <c r="U1128" s="32" t="str">
        <f aca="false">IF(OR(F1128="",C1128=""),"",IF(COUNTIF($C$2:C1128,C1128)=1,MAX($U$1:U1127)+1,""))</f>
        <v/>
      </c>
    </row>
    <row r="1129" customFormat="false" ht="15" hidden="false" customHeight="false" outlineLevel="0" collapsed="false">
      <c r="A1129" s="34"/>
      <c r="B1129" s="9"/>
      <c r="C1129" s="34"/>
      <c r="D1129" s="34"/>
      <c r="E1129" s="34"/>
      <c r="F1129" s="35"/>
      <c r="G1129" s="9"/>
      <c r="H1129" s="9"/>
      <c r="I1129" s="34"/>
      <c r="J1129" s="30" t="str">
        <f aca="false">IF(F1129="","",G1129-B1129)</f>
        <v/>
      </c>
      <c r="K1129" s="31" t="str">
        <f aca="false">IF(F1129="","",IF(H1129&lt;&gt;"",H1129,MAX('Vade Sapması'!$D$3,G1129)))</f>
        <v/>
      </c>
      <c r="L1129" s="30" t="str">
        <f aca="false">IF(F1129="","",K1129-B1129)</f>
        <v/>
      </c>
      <c r="M1129" s="30" t="str">
        <f aca="false">IF(F1129="","",L1129-J1129)</f>
        <v/>
      </c>
      <c r="N1129" s="32" t="str">
        <f aca="false">IF(F1129="","",IF(H1129&lt;&gt;"","Kapandı",IF('Vade Sapması'!$D$3&gt;G1129,"Açık · vadesi geçti","Açık · vadesi gelmedi")))</f>
        <v/>
      </c>
      <c r="O1129" s="30" t="str">
        <f aca="false">IF(F1129="","",IF(AND(H1129="",'Vade Sapması'!$D$3&gt;G1129),'Vade Sapması'!$D$3-G1129,0))</f>
        <v/>
      </c>
      <c r="P1129" s="33" t="str">
        <f aca="false">IF(F1129="","",F1129*J1129)</f>
        <v/>
      </c>
      <c r="Q1129" s="33" t="str">
        <f aca="false">IF(F1129="","",F1129*L1129)</f>
        <v/>
      </c>
      <c r="R1129" s="33" t="str">
        <f aca="false">IF(F1129="","",IF(H1129="",F1129,0))</f>
        <v/>
      </c>
      <c r="S1129" s="32" t="str">
        <f aca="false">IF(F1129="","",IF(N(O1129)=0,"",IF(O1129&lt;=30,"1-30",IF(O1129&lt;=60,"31-60",IF(O1129&lt;=90,"61-90","90+")))))</f>
        <v/>
      </c>
      <c r="T1129" s="32" t="str">
        <f aca="false">IF(F1129="","",IF(E1129="","Diğer",E1129))</f>
        <v/>
      </c>
      <c r="U1129" s="32" t="str">
        <f aca="false">IF(OR(F1129="",C1129=""),"",IF(COUNTIF($C$2:C1129,C1129)=1,MAX($U$1:U1128)+1,""))</f>
        <v/>
      </c>
    </row>
    <row r="1130" customFormat="false" ht="15" hidden="false" customHeight="false" outlineLevel="0" collapsed="false">
      <c r="A1130" s="34"/>
      <c r="B1130" s="9"/>
      <c r="C1130" s="34"/>
      <c r="D1130" s="34"/>
      <c r="E1130" s="34"/>
      <c r="F1130" s="35"/>
      <c r="G1130" s="9"/>
      <c r="H1130" s="9"/>
      <c r="I1130" s="34"/>
      <c r="J1130" s="30" t="str">
        <f aca="false">IF(F1130="","",G1130-B1130)</f>
        <v/>
      </c>
      <c r="K1130" s="31" t="str">
        <f aca="false">IF(F1130="","",IF(H1130&lt;&gt;"",H1130,MAX('Vade Sapması'!$D$3,G1130)))</f>
        <v/>
      </c>
      <c r="L1130" s="30" t="str">
        <f aca="false">IF(F1130="","",K1130-B1130)</f>
        <v/>
      </c>
      <c r="M1130" s="30" t="str">
        <f aca="false">IF(F1130="","",L1130-J1130)</f>
        <v/>
      </c>
      <c r="N1130" s="32" t="str">
        <f aca="false">IF(F1130="","",IF(H1130&lt;&gt;"","Kapandı",IF('Vade Sapması'!$D$3&gt;G1130,"Açık · vadesi geçti","Açık · vadesi gelmedi")))</f>
        <v/>
      </c>
      <c r="O1130" s="30" t="str">
        <f aca="false">IF(F1130="","",IF(AND(H1130="",'Vade Sapması'!$D$3&gt;G1130),'Vade Sapması'!$D$3-G1130,0))</f>
        <v/>
      </c>
      <c r="P1130" s="33" t="str">
        <f aca="false">IF(F1130="","",F1130*J1130)</f>
        <v/>
      </c>
      <c r="Q1130" s="33" t="str">
        <f aca="false">IF(F1130="","",F1130*L1130)</f>
        <v/>
      </c>
      <c r="R1130" s="33" t="str">
        <f aca="false">IF(F1130="","",IF(H1130="",F1130,0))</f>
        <v/>
      </c>
      <c r="S1130" s="32" t="str">
        <f aca="false">IF(F1130="","",IF(N(O1130)=0,"",IF(O1130&lt;=30,"1-30",IF(O1130&lt;=60,"31-60",IF(O1130&lt;=90,"61-90","90+")))))</f>
        <v/>
      </c>
      <c r="T1130" s="32" t="str">
        <f aca="false">IF(F1130="","",IF(E1130="","Diğer",E1130))</f>
        <v/>
      </c>
      <c r="U1130" s="32" t="str">
        <f aca="false">IF(OR(F1130="",C1130=""),"",IF(COUNTIF($C$2:C1130,C1130)=1,MAX($U$1:U1129)+1,""))</f>
        <v/>
      </c>
    </row>
    <row r="1131" customFormat="false" ht="15" hidden="false" customHeight="false" outlineLevel="0" collapsed="false">
      <c r="A1131" s="34"/>
      <c r="B1131" s="9"/>
      <c r="C1131" s="34"/>
      <c r="D1131" s="34"/>
      <c r="E1131" s="34"/>
      <c r="F1131" s="35"/>
      <c r="G1131" s="9"/>
      <c r="H1131" s="9"/>
      <c r="I1131" s="34"/>
      <c r="J1131" s="30" t="str">
        <f aca="false">IF(F1131="","",G1131-B1131)</f>
        <v/>
      </c>
      <c r="K1131" s="31" t="str">
        <f aca="false">IF(F1131="","",IF(H1131&lt;&gt;"",H1131,MAX('Vade Sapması'!$D$3,G1131)))</f>
        <v/>
      </c>
      <c r="L1131" s="30" t="str">
        <f aca="false">IF(F1131="","",K1131-B1131)</f>
        <v/>
      </c>
      <c r="M1131" s="30" t="str">
        <f aca="false">IF(F1131="","",L1131-J1131)</f>
        <v/>
      </c>
      <c r="N1131" s="32" t="str">
        <f aca="false">IF(F1131="","",IF(H1131&lt;&gt;"","Kapandı",IF('Vade Sapması'!$D$3&gt;G1131,"Açık · vadesi geçti","Açık · vadesi gelmedi")))</f>
        <v/>
      </c>
      <c r="O1131" s="30" t="str">
        <f aca="false">IF(F1131="","",IF(AND(H1131="",'Vade Sapması'!$D$3&gt;G1131),'Vade Sapması'!$D$3-G1131,0))</f>
        <v/>
      </c>
      <c r="P1131" s="33" t="str">
        <f aca="false">IF(F1131="","",F1131*J1131)</f>
        <v/>
      </c>
      <c r="Q1131" s="33" t="str">
        <f aca="false">IF(F1131="","",F1131*L1131)</f>
        <v/>
      </c>
      <c r="R1131" s="33" t="str">
        <f aca="false">IF(F1131="","",IF(H1131="",F1131,0))</f>
        <v/>
      </c>
      <c r="S1131" s="32" t="str">
        <f aca="false">IF(F1131="","",IF(N(O1131)=0,"",IF(O1131&lt;=30,"1-30",IF(O1131&lt;=60,"31-60",IF(O1131&lt;=90,"61-90","90+")))))</f>
        <v/>
      </c>
      <c r="T1131" s="32" t="str">
        <f aca="false">IF(F1131="","",IF(E1131="","Diğer",E1131))</f>
        <v/>
      </c>
      <c r="U1131" s="32" t="str">
        <f aca="false">IF(OR(F1131="",C1131=""),"",IF(COUNTIF($C$2:C1131,C1131)=1,MAX($U$1:U1130)+1,""))</f>
        <v/>
      </c>
    </row>
    <row r="1132" customFormat="false" ht="15" hidden="false" customHeight="false" outlineLevel="0" collapsed="false">
      <c r="A1132" s="34"/>
      <c r="B1132" s="9"/>
      <c r="C1132" s="34"/>
      <c r="D1132" s="34"/>
      <c r="E1132" s="34"/>
      <c r="F1132" s="35"/>
      <c r="G1132" s="9"/>
      <c r="H1132" s="9"/>
      <c r="I1132" s="34"/>
      <c r="J1132" s="30" t="str">
        <f aca="false">IF(F1132="","",G1132-B1132)</f>
        <v/>
      </c>
      <c r="K1132" s="31" t="str">
        <f aca="false">IF(F1132="","",IF(H1132&lt;&gt;"",H1132,MAX('Vade Sapması'!$D$3,G1132)))</f>
        <v/>
      </c>
      <c r="L1132" s="30" t="str">
        <f aca="false">IF(F1132="","",K1132-B1132)</f>
        <v/>
      </c>
      <c r="M1132" s="30" t="str">
        <f aca="false">IF(F1132="","",L1132-J1132)</f>
        <v/>
      </c>
      <c r="N1132" s="32" t="str">
        <f aca="false">IF(F1132="","",IF(H1132&lt;&gt;"","Kapandı",IF('Vade Sapması'!$D$3&gt;G1132,"Açık · vadesi geçti","Açık · vadesi gelmedi")))</f>
        <v/>
      </c>
      <c r="O1132" s="30" t="str">
        <f aca="false">IF(F1132="","",IF(AND(H1132="",'Vade Sapması'!$D$3&gt;G1132),'Vade Sapması'!$D$3-G1132,0))</f>
        <v/>
      </c>
      <c r="P1132" s="33" t="str">
        <f aca="false">IF(F1132="","",F1132*J1132)</f>
        <v/>
      </c>
      <c r="Q1132" s="33" t="str">
        <f aca="false">IF(F1132="","",F1132*L1132)</f>
        <v/>
      </c>
      <c r="R1132" s="33" t="str">
        <f aca="false">IF(F1132="","",IF(H1132="",F1132,0))</f>
        <v/>
      </c>
      <c r="S1132" s="32" t="str">
        <f aca="false">IF(F1132="","",IF(N(O1132)=0,"",IF(O1132&lt;=30,"1-30",IF(O1132&lt;=60,"31-60",IF(O1132&lt;=90,"61-90","90+")))))</f>
        <v/>
      </c>
      <c r="T1132" s="32" t="str">
        <f aca="false">IF(F1132="","",IF(E1132="","Diğer",E1132))</f>
        <v/>
      </c>
      <c r="U1132" s="32" t="str">
        <f aca="false">IF(OR(F1132="",C1132=""),"",IF(COUNTIF($C$2:C1132,C1132)=1,MAX($U$1:U1131)+1,""))</f>
        <v/>
      </c>
    </row>
    <row r="1133" customFormat="false" ht="15" hidden="false" customHeight="false" outlineLevel="0" collapsed="false">
      <c r="A1133" s="34"/>
      <c r="B1133" s="9"/>
      <c r="C1133" s="34"/>
      <c r="D1133" s="34"/>
      <c r="E1133" s="34"/>
      <c r="F1133" s="35"/>
      <c r="G1133" s="9"/>
      <c r="H1133" s="9"/>
      <c r="I1133" s="34"/>
      <c r="J1133" s="30" t="str">
        <f aca="false">IF(F1133="","",G1133-B1133)</f>
        <v/>
      </c>
      <c r="K1133" s="31" t="str">
        <f aca="false">IF(F1133="","",IF(H1133&lt;&gt;"",H1133,MAX('Vade Sapması'!$D$3,G1133)))</f>
        <v/>
      </c>
      <c r="L1133" s="30" t="str">
        <f aca="false">IF(F1133="","",K1133-B1133)</f>
        <v/>
      </c>
      <c r="M1133" s="30" t="str">
        <f aca="false">IF(F1133="","",L1133-J1133)</f>
        <v/>
      </c>
      <c r="N1133" s="32" t="str">
        <f aca="false">IF(F1133="","",IF(H1133&lt;&gt;"","Kapandı",IF('Vade Sapması'!$D$3&gt;G1133,"Açık · vadesi geçti","Açık · vadesi gelmedi")))</f>
        <v/>
      </c>
      <c r="O1133" s="30" t="str">
        <f aca="false">IF(F1133="","",IF(AND(H1133="",'Vade Sapması'!$D$3&gt;G1133),'Vade Sapması'!$D$3-G1133,0))</f>
        <v/>
      </c>
      <c r="P1133" s="33" t="str">
        <f aca="false">IF(F1133="","",F1133*J1133)</f>
        <v/>
      </c>
      <c r="Q1133" s="33" t="str">
        <f aca="false">IF(F1133="","",F1133*L1133)</f>
        <v/>
      </c>
      <c r="R1133" s="33" t="str">
        <f aca="false">IF(F1133="","",IF(H1133="",F1133,0))</f>
        <v/>
      </c>
      <c r="S1133" s="32" t="str">
        <f aca="false">IF(F1133="","",IF(N(O1133)=0,"",IF(O1133&lt;=30,"1-30",IF(O1133&lt;=60,"31-60",IF(O1133&lt;=90,"61-90","90+")))))</f>
        <v/>
      </c>
      <c r="T1133" s="32" t="str">
        <f aca="false">IF(F1133="","",IF(E1133="","Diğer",E1133))</f>
        <v/>
      </c>
      <c r="U1133" s="32" t="str">
        <f aca="false">IF(OR(F1133="",C1133=""),"",IF(COUNTIF($C$2:C1133,C1133)=1,MAX($U$1:U1132)+1,""))</f>
        <v/>
      </c>
    </row>
    <row r="1134" customFormat="false" ht="15" hidden="false" customHeight="false" outlineLevel="0" collapsed="false">
      <c r="A1134" s="34"/>
      <c r="B1134" s="9"/>
      <c r="C1134" s="34"/>
      <c r="D1134" s="34"/>
      <c r="E1134" s="34"/>
      <c r="F1134" s="35"/>
      <c r="G1134" s="9"/>
      <c r="H1134" s="9"/>
      <c r="I1134" s="34"/>
      <c r="J1134" s="30" t="str">
        <f aca="false">IF(F1134="","",G1134-B1134)</f>
        <v/>
      </c>
      <c r="K1134" s="31" t="str">
        <f aca="false">IF(F1134="","",IF(H1134&lt;&gt;"",H1134,MAX('Vade Sapması'!$D$3,G1134)))</f>
        <v/>
      </c>
      <c r="L1134" s="30" t="str">
        <f aca="false">IF(F1134="","",K1134-B1134)</f>
        <v/>
      </c>
      <c r="M1134" s="30" t="str">
        <f aca="false">IF(F1134="","",L1134-J1134)</f>
        <v/>
      </c>
      <c r="N1134" s="32" t="str">
        <f aca="false">IF(F1134="","",IF(H1134&lt;&gt;"","Kapandı",IF('Vade Sapması'!$D$3&gt;G1134,"Açık · vadesi geçti","Açık · vadesi gelmedi")))</f>
        <v/>
      </c>
      <c r="O1134" s="30" t="str">
        <f aca="false">IF(F1134="","",IF(AND(H1134="",'Vade Sapması'!$D$3&gt;G1134),'Vade Sapması'!$D$3-G1134,0))</f>
        <v/>
      </c>
      <c r="P1134" s="33" t="str">
        <f aca="false">IF(F1134="","",F1134*J1134)</f>
        <v/>
      </c>
      <c r="Q1134" s="33" t="str">
        <f aca="false">IF(F1134="","",F1134*L1134)</f>
        <v/>
      </c>
      <c r="R1134" s="33" t="str">
        <f aca="false">IF(F1134="","",IF(H1134="",F1134,0))</f>
        <v/>
      </c>
      <c r="S1134" s="32" t="str">
        <f aca="false">IF(F1134="","",IF(N(O1134)=0,"",IF(O1134&lt;=30,"1-30",IF(O1134&lt;=60,"31-60",IF(O1134&lt;=90,"61-90","90+")))))</f>
        <v/>
      </c>
      <c r="T1134" s="32" t="str">
        <f aca="false">IF(F1134="","",IF(E1134="","Diğer",E1134))</f>
        <v/>
      </c>
      <c r="U1134" s="32" t="str">
        <f aca="false">IF(OR(F1134="",C1134=""),"",IF(COUNTIF($C$2:C1134,C1134)=1,MAX($U$1:U1133)+1,""))</f>
        <v/>
      </c>
    </row>
    <row r="1135" customFormat="false" ht="15" hidden="false" customHeight="false" outlineLevel="0" collapsed="false">
      <c r="A1135" s="34"/>
      <c r="B1135" s="9"/>
      <c r="C1135" s="34"/>
      <c r="D1135" s="34"/>
      <c r="E1135" s="34"/>
      <c r="F1135" s="35"/>
      <c r="G1135" s="9"/>
      <c r="H1135" s="9"/>
      <c r="I1135" s="34"/>
      <c r="J1135" s="30" t="str">
        <f aca="false">IF(F1135="","",G1135-B1135)</f>
        <v/>
      </c>
      <c r="K1135" s="31" t="str">
        <f aca="false">IF(F1135="","",IF(H1135&lt;&gt;"",H1135,MAX('Vade Sapması'!$D$3,G1135)))</f>
        <v/>
      </c>
      <c r="L1135" s="30" t="str">
        <f aca="false">IF(F1135="","",K1135-B1135)</f>
        <v/>
      </c>
      <c r="M1135" s="30" t="str">
        <f aca="false">IF(F1135="","",L1135-J1135)</f>
        <v/>
      </c>
      <c r="N1135" s="32" t="str">
        <f aca="false">IF(F1135="","",IF(H1135&lt;&gt;"","Kapandı",IF('Vade Sapması'!$D$3&gt;G1135,"Açık · vadesi geçti","Açık · vadesi gelmedi")))</f>
        <v/>
      </c>
      <c r="O1135" s="30" t="str">
        <f aca="false">IF(F1135="","",IF(AND(H1135="",'Vade Sapması'!$D$3&gt;G1135),'Vade Sapması'!$D$3-G1135,0))</f>
        <v/>
      </c>
      <c r="P1135" s="33" t="str">
        <f aca="false">IF(F1135="","",F1135*J1135)</f>
        <v/>
      </c>
      <c r="Q1135" s="33" t="str">
        <f aca="false">IF(F1135="","",F1135*L1135)</f>
        <v/>
      </c>
      <c r="R1135" s="33" t="str">
        <f aca="false">IF(F1135="","",IF(H1135="",F1135,0))</f>
        <v/>
      </c>
      <c r="S1135" s="32" t="str">
        <f aca="false">IF(F1135="","",IF(N(O1135)=0,"",IF(O1135&lt;=30,"1-30",IF(O1135&lt;=60,"31-60",IF(O1135&lt;=90,"61-90","90+")))))</f>
        <v/>
      </c>
      <c r="T1135" s="32" t="str">
        <f aca="false">IF(F1135="","",IF(E1135="","Diğer",E1135))</f>
        <v/>
      </c>
      <c r="U1135" s="32" t="str">
        <f aca="false">IF(OR(F1135="",C1135=""),"",IF(COUNTIF($C$2:C1135,C1135)=1,MAX($U$1:U1134)+1,""))</f>
        <v/>
      </c>
    </row>
    <row r="1136" customFormat="false" ht="15" hidden="false" customHeight="false" outlineLevel="0" collapsed="false">
      <c r="A1136" s="34"/>
      <c r="B1136" s="9"/>
      <c r="C1136" s="34"/>
      <c r="D1136" s="34"/>
      <c r="E1136" s="34"/>
      <c r="F1136" s="35"/>
      <c r="G1136" s="9"/>
      <c r="H1136" s="9"/>
      <c r="I1136" s="34"/>
      <c r="J1136" s="30" t="str">
        <f aca="false">IF(F1136="","",G1136-B1136)</f>
        <v/>
      </c>
      <c r="K1136" s="31" t="str">
        <f aca="false">IF(F1136="","",IF(H1136&lt;&gt;"",H1136,MAX('Vade Sapması'!$D$3,G1136)))</f>
        <v/>
      </c>
      <c r="L1136" s="30" t="str">
        <f aca="false">IF(F1136="","",K1136-B1136)</f>
        <v/>
      </c>
      <c r="M1136" s="30" t="str">
        <f aca="false">IF(F1136="","",L1136-J1136)</f>
        <v/>
      </c>
      <c r="N1136" s="32" t="str">
        <f aca="false">IF(F1136="","",IF(H1136&lt;&gt;"","Kapandı",IF('Vade Sapması'!$D$3&gt;G1136,"Açık · vadesi geçti","Açık · vadesi gelmedi")))</f>
        <v/>
      </c>
      <c r="O1136" s="30" t="str">
        <f aca="false">IF(F1136="","",IF(AND(H1136="",'Vade Sapması'!$D$3&gt;G1136),'Vade Sapması'!$D$3-G1136,0))</f>
        <v/>
      </c>
      <c r="P1136" s="33" t="str">
        <f aca="false">IF(F1136="","",F1136*J1136)</f>
        <v/>
      </c>
      <c r="Q1136" s="33" t="str">
        <f aca="false">IF(F1136="","",F1136*L1136)</f>
        <v/>
      </c>
      <c r="R1136" s="33" t="str">
        <f aca="false">IF(F1136="","",IF(H1136="",F1136,0))</f>
        <v/>
      </c>
      <c r="S1136" s="32" t="str">
        <f aca="false">IF(F1136="","",IF(N(O1136)=0,"",IF(O1136&lt;=30,"1-30",IF(O1136&lt;=60,"31-60",IF(O1136&lt;=90,"61-90","90+")))))</f>
        <v/>
      </c>
      <c r="T1136" s="32" t="str">
        <f aca="false">IF(F1136="","",IF(E1136="","Diğer",E1136))</f>
        <v/>
      </c>
      <c r="U1136" s="32" t="str">
        <f aca="false">IF(OR(F1136="",C1136=""),"",IF(COUNTIF($C$2:C1136,C1136)=1,MAX($U$1:U1135)+1,""))</f>
        <v/>
      </c>
    </row>
    <row r="1137" customFormat="false" ht="15" hidden="false" customHeight="false" outlineLevel="0" collapsed="false">
      <c r="A1137" s="34"/>
      <c r="B1137" s="9"/>
      <c r="C1137" s="34"/>
      <c r="D1137" s="34"/>
      <c r="E1137" s="34"/>
      <c r="F1137" s="35"/>
      <c r="G1137" s="9"/>
      <c r="H1137" s="9"/>
      <c r="I1137" s="34"/>
      <c r="J1137" s="30" t="str">
        <f aca="false">IF(F1137="","",G1137-B1137)</f>
        <v/>
      </c>
      <c r="K1137" s="31" t="str">
        <f aca="false">IF(F1137="","",IF(H1137&lt;&gt;"",H1137,MAX('Vade Sapması'!$D$3,G1137)))</f>
        <v/>
      </c>
      <c r="L1137" s="30" t="str">
        <f aca="false">IF(F1137="","",K1137-B1137)</f>
        <v/>
      </c>
      <c r="M1137" s="30" t="str">
        <f aca="false">IF(F1137="","",L1137-J1137)</f>
        <v/>
      </c>
      <c r="N1137" s="32" t="str">
        <f aca="false">IF(F1137="","",IF(H1137&lt;&gt;"","Kapandı",IF('Vade Sapması'!$D$3&gt;G1137,"Açık · vadesi geçti","Açık · vadesi gelmedi")))</f>
        <v/>
      </c>
      <c r="O1137" s="30" t="str">
        <f aca="false">IF(F1137="","",IF(AND(H1137="",'Vade Sapması'!$D$3&gt;G1137),'Vade Sapması'!$D$3-G1137,0))</f>
        <v/>
      </c>
      <c r="P1137" s="33" t="str">
        <f aca="false">IF(F1137="","",F1137*J1137)</f>
        <v/>
      </c>
      <c r="Q1137" s="33" t="str">
        <f aca="false">IF(F1137="","",F1137*L1137)</f>
        <v/>
      </c>
      <c r="R1137" s="33" t="str">
        <f aca="false">IF(F1137="","",IF(H1137="",F1137,0))</f>
        <v/>
      </c>
      <c r="S1137" s="32" t="str">
        <f aca="false">IF(F1137="","",IF(N(O1137)=0,"",IF(O1137&lt;=30,"1-30",IF(O1137&lt;=60,"31-60",IF(O1137&lt;=90,"61-90","90+")))))</f>
        <v/>
      </c>
      <c r="T1137" s="32" t="str">
        <f aca="false">IF(F1137="","",IF(E1137="","Diğer",E1137))</f>
        <v/>
      </c>
      <c r="U1137" s="32" t="str">
        <f aca="false">IF(OR(F1137="",C1137=""),"",IF(COUNTIF($C$2:C1137,C1137)=1,MAX($U$1:U1136)+1,""))</f>
        <v/>
      </c>
    </row>
    <row r="1138" customFormat="false" ht="15" hidden="false" customHeight="false" outlineLevel="0" collapsed="false">
      <c r="A1138" s="34"/>
      <c r="B1138" s="9"/>
      <c r="C1138" s="34"/>
      <c r="D1138" s="34"/>
      <c r="E1138" s="34"/>
      <c r="F1138" s="35"/>
      <c r="G1138" s="9"/>
      <c r="H1138" s="9"/>
      <c r="I1138" s="34"/>
      <c r="J1138" s="30" t="str">
        <f aca="false">IF(F1138="","",G1138-B1138)</f>
        <v/>
      </c>
      <c r="K1138" s="31" t="str">
        <f aca="false">IF(F1138="","",IF(H1138&lt;&gt;"",H1138,MAX('Vade Sapması'!$D$3,G1138)))</f>
        <v/>
      </c>
      <c r="L1138" s="30" t="str">
        <f aca="false">IF(F1138="","",K1138-B1138)</f>
        <v/>
      </c>
      <c r="M1138" s="30" t="str">
        <f aca="false">IF(F1138="","",L1138-J1138)</f>
        <v/>
      </c>
      <c r="N1138" s="32" t="str">
        <f aca="false">IF(F1138="","",IF(H1138&lt;&gt;"","Kapandı",IF('Vade Sapması'!$D$3&gt;G1138,"Açık · vadesi geçti","Açık · vadesi gelmedi")))</f>
        <v/>
      </c>
      <c r="O1138" s="30" t="str">
        <f aca="false">IF(F1138="","",IF(AND(H1138="",'Vade Sapması'!$D$3&gt;G1138),'Vade Sapması'!$D$3-G1138,0))</f>
        <v/>
      </c>
      <c r="P1138" s="33" t="str">
        <f aca="false">IF(F1138="","",F1138*J1138)</f>
        <v/>
      </c>
      <c r="Q1138" s="33" t="str">
        <f aca="false">IF(F1138="","",F1138*L1138)</f>
        <v/>
      </c>
      <c r="R1138" s="33" t="str">
        <f aca="false">IF(F1138="","",IF(H1138="",F1138,0))</f>
        <v/>
      </c>
      <c r="S1138" s="32" t="str">
        <f aca="false">IF(F1138="","",IF(N(O1138)=0,"",IF(O1138&lt;=30,"1-30",IF(O1138&lt;=60,"31-60",IF(O1138&lt;=90,"61-90","90+")))))</f>
        <v/>
      </c>
      <c r="T1138" s="32" t="str">
        <f aca="false">IF(F1138="","",IF(E1138="","Diğer",E1138))</f>
        <v/>
      </c>
      <c r="U1138" s="32" t="str">
        <f aca="false">IF(OR(F1138="",C1138=""),"",IF(COUNTIF($C$2:C1138,C1138)=1,MAX($U$1:U1137)+1,""))</f>
        <v/>
      </c>
    </row>
    <row r="1139" customFormat="false" ht="15" hidden="false" customHeight="false" outlineLevel="0" collapsed="false">
      <c r="A1139" s="34"/>
      <c r="B1139" s="9"/>
      <c r="C1139" s="34"/>
      <c r="D1139" s="34"/>
      <c r="E1139" s="34"/>
      <c r="F1139" s="35"/>
      <c r="G1139" s="9"/>
      <c r="H1139" s="9"/>
      <c r="I1139" s="34"/>
      <c r="J1139" s="30" t="str">
        <f aca="false">IF(F1139="","",G1139-B1139)</f>
        <v/>
      </c>
      <c r="K1139" s="31" t="str">
        <f aca="false">IF(F1139="","",IF(H1139&lt;&gt;"",H1139,MAX('Vade Sapması'!$D$3,G1139)))</f>
        <v/>
      </c>
      <c r="L1139" s="30" t="str">
        <f aca="false">IF(F1139="","",K1139-B1139)</f>
        <v/>
      </c>
      <c r="M1139" s="30" t="str">
        <f aca="false">IF(F1139="","",L1139-J1139)</f>
        <v/>
      </c>
      <c r="N1139" s="32" t="str">
        <f aca="false">IF(F1139="","",IF(H1139&lt;&gt;"","Kapandı",IF('Vade Sapması'!$D$3&gt;G1139,"Açık · vadesi geçti","Açık · vadesi gelmedi")))</f>
        <v/>
      </c>
      <c r="O1139" s="30" t="str">
        <f aca="false">IF(F1139="","",IF(AND(H1139="",'Vade Sapması'!$D$3&gt;G1139),'Vade Sapması'!$D$3-G1139,0))</f>
        <v/>
      </c>
      <c r="P1139" s="33" t="str">
        <f aca="false">IF(F1139="","",F1139*J1139)</f>
        <v/>
      </c>
      <c r="Q1139" s="33" t="str">
        <f aca="false">IF(F1139="","",F1139*L1139)</f>
        <v/>
      </c>
      <c r="R1139" s="33" t="str">
        <f aca="false">IF(F1139="","",IF(H1139="",F1139,0))</f>
        <v/>
      </c>
      <c r="S1139" s="32" t="str">
        <f aca="false">IF(F1139="","",IF(N(O1139)=0,"",IF(O1139&lt;=30,"1-30",IF(O1139&lt;=60,"31-60",IF(O1139&lt;=90,"61-90","90+")))))</f>
        <v/>
      </c>
      <c r="T1139" s="32" t="str">
        <f aca="false">IF(F1139="","",IF(E1139="","Diğer",E1139))</f>
        <v/>
      </c>
      <c r="U1139" s="32" t="str">
        <f aca="false">IF(OR(F1139="",C1139=""),"",IF(COUNTIF($C$2:C1139,C1139)=1,MAX($U$1:U1138)+1,""))</f>
        <v/>
      </c>
    </row>
    <row r="1140" customFormat="false" ht="15" hidden="false" customHeight="false" outlineLevel="0" collapsed="false">
      <c r="A1140" s="34"/>
      <c r="B1140" s="9"/>
      <c r="C1140" s="34"/>
      <c r="D1140" s="34"/>
      <c r="E1140" s="34"/>
      <c r="F1140" s="35"/>
      <c r="G1140" s="9"/>
      <c r="H1140" s="9"/>
      <c r="I1140" s="34"/>
      <c r="J1140" s="30" t="str">
        <f aca="false">IF(F1140="","",G1140-B1140)</f>
        <v/>
      </c>
      <c r="K1140" s="31" t="str">
        <f aca="false">IF(F1140="","",IF(H1140&lt;&gt;"",H1140,MAX('Vade Sapması'!$D$3,G1140)))</f>
        <v/>
      </c>
      <c r="L1140" s="30" t="str">
        <f aca="false">IF(F1140="","",K1140-B1140)</f>
        <v/>
      </c>
      <c r="M1140" s="30" t="str">
        <f aca="false">IF(F1140="","",L1140-J1140)</f>
        <v/>
      </c>
      <c r="N1140" s="32" t="str">
        <f aca="false">IF(F1140="","",IF(H1140&lt;&gt;"","Kapandı",IF('Vade Sapması'!$D$3&gt;G1140,"Açık · vadesi geçti","Açık · vadesi gelmedi")))</f>
        <v/>
      </c>
      <c r="O1140" s="30" t="str">
        <f aca="false">IF(F1140="","",IF(AND(H1140="",'Vade Sapması'!$D$3&gt;G1140),'Vade Sapması'!$D$3-G1140,0))</f>
        <v/>
      </c>
      <c r="P1140" s="33" t="str">
        <f aca="false">IF(F1140="","",F1140*J1140)</f>
        <v/>
      </c>
      <c r="Q1140" s="33" t="str">
        <f aca="false">IF(F1140="","",F1140*L1140)</f>
        <v/>
      </c>
      <c r="R1140" s="33" t="str">
        <f aca="false">IF(F1140="","",IF(H1140="",F1140,0))</f>
        <v/>
      </c>
      <c r="S1140" s="32" t="str">
        <f aca="false">IF(F1140="","",IF(N(O1140)=0,"",IF(O1140&lt;=30,"1-30",IF(O1140&lt;=60,"31-60",IF(O1140&lt;=90,"61-90","90+")))))</f>
        <v/>
      </c>
      <c r="T1140" s="32" t="str">
        <f aca="false">IF(F1140="","",IF(E1140="","Diğer",E1140))</f>
        <v/>
      </c>
      <c r="U1140" s="32" t="str">
        <f aca="false">IF(OR(F1140="",C1140=""),"",IF(COUNTIF($C$2:C1140,C1140)=1,MAX($U$1:U1139)+1,""))</f>
        <v/>
      </c>
    </row>
    <row r="1141" customFormat="false" ht="15" hidden="false" customHeight="false" outlineLevel="0" collapsed="false">
      <c r="A1141" s="34"/>
      <c r="B1141" s="9"/>
      <c r="C1141" s="34"/>
      <c r="D1141" s="34"/>
      <c r="E1141" s="34"/>
      <c r="F1141" s="35"/>
      <c r="G1141" s="9"/>
      <c r="H1141" s="9"/>
      <c r="I1141" s="34"/>
      <c r="J1141" s="30" t="str">
        <f aca="false">IF(F1141="","",G1141-B1141)</f>
        <v/>
      </c>
      <c r="K1141" s="31" t="str">
        <f aca="false">IF(F1141="","",IF(H1141&lt;&gt;"",H1141,MAX('Vade Sapması'!$D$3,G1141)))</f>
        <v/>
      </c>
      <c r="L1141" s="30" t="str">
        <f aca="false">IF(F1141="","",K1141-B1141)</f>
        <v/>
      </c>
      <c r="M1141" s="30" t="str">
        <f aca="false">IF(F1141="","",L1141-J1141)</f>
        <v/>
      </c>
      <c r="N1141" s="32" t="str">
        <f aca="false">IF(F1141="","",IF(H1141&lt;&gt;"","Kapandı",IF('Vade Sapması'!$D$3&gt;G1141,"Açık · vadesi geçti","Açık · vadesi gelmedi")))</f>
        <v/>
      </c>
      <c r="O1141" s="30" t="str">
        <f aca="false">IF(F1141="","",IF(AND(H1141="",'Vade Sapması'!$D$3&gt;G1141),'Vade Sapması'!$D$3-G1141,0))</f>
        <v/>
      </c>
      <c r="P1141" s="33" t="str">
        <f aca="false">IF(F1141="","",F1141*J1141)</f>
        <v/>
      </c>
      <c r="Q1141" s="33" t="str">
        <f aca="false">IF(F1141="","",F1141*L1141)</f>
        <v/>
      </c>
      <c r="R1141" s="33" t="str">
        <f aca="false">IF(F1141="","",IF(H1141="",F1141,0))</f>
        <v/>
      </c>
      <c r="S1141" s="32" t="str">
        <f aca="false">IF(F1141="","",IF(N(O1141)=0,"",IF(O1141&lt;=30,"1-30",IF(O1141&lt;=60,"31-60",IF(O1141&lt;=90,"61-90","90+")))))</f>
        <v/>
      </c>
      <c r="T1141" s="32" t="str">
        <f aca="false">IF(F1141="","",IF(E1141="","Diğer",E1141))</f>
        <v/>
      </c>
      <c r="U1141" s="32" t="str">
        <f aca="false">IF(OR(F1141="",C1141=""),"",IF(COUNTIF($C$2:C1141,C1141)=1,MAX($U$1:U1140)+1,""))</f>
        <v/>
      </c>
    </row>
    <row r="1142" customFormat="false" ht="15" hidden="false" customHeight="false" outlineLevel="0" collapsed="false">
      <c r="A1142" s="34"/>
      <c r="B1142" s="9"/>
      <c r="C1142" s="34"/>
      <c r="D1142" s="34"/>
      <c r="E1142" s="34"/>
      <c r="F1142" s="35"/>
      <c r="G1142" s="9"/>
      <c r="H1142" s="9"/>
      <c r="I1142" s="34"/>
      <c r="J1142" s="30" t="str">
        <f aca="false">IF(F1142="","",G1142-B1142)</f>
        <v/>
      </c>
      <c r="K1142" s="31" t="str">
        <f aca="false">IF(F1142="","",IF(H1142&lt;&gt;"",H1142,MAX('Vade Sapması'!$D$3,G1142)))</f>
        <v/>
      </c>
      <c r="L1142" s="30" t="str">
        <f aca="false">IF(F1142="","",K1142-B1142)</f>
        <v/>
      </c>
      <c r="M1142" s="30" t="str">
        <f aca="false">IF(F1142="","",L1142-J1142)</f>
        <v/>
      </c>
      <c r="N1142" s="32" t="str">
        <f aca="false">IF(F1142="","",IF(H1142&lt;&gt;"","Kapandı",IF('Vade Sapması'!$D$3&gt;G1142,"Açık · vadesi geçti","Açık · vadesi gelmedi")))</f>
        <v/>
      </c>
      <c r="O1142" s="30" t="str">
        <f aca="false">IF(F1142="","",IF(AND(H1142="",'Vade Sapması'!$D$3&gt;G1142),'Vade Sapması'!$D$3-G1142,0))</f>
        <v/>
      </c>
      <c r="P1142" s="33" t="str">
        <f aca="false">IF(F1142="","",F1142*J1142)</f>
        <v/>
      </c>
      <c r="Q1142" s="33" t="str">
        <f aca="false">IF(F1142="","",F1142*L1142)</f>
        <v/>
      </c>
      <c r="R1142" s="33" t="str">
        <f aca="false">IF(F1142="","",IF(H1142="",F1142,0))</f>
        <v/>
      </c>
      <c r="S1142" s="32" t="str">
        <f aca="false">IF(F1142="","",IF(N(O1142)=0,"",IF(O1142&lt;=30,"1-30",IF(O1142&lt;=60,"31-60",IF(O1142&lt;=90,"61-90","90+")))))</f>
        <v/>
      </c>
      <c r="T1142" s="32" t="str">
        <f aca="false">IF(F1142="","",IF(E1142="","Diğer",E1142))</f>
        <v/>
      </c>
      <c r="U1142" s="32" t="str">
        <f aca="false">IF(OR(F1142="",C1142=""),"",IF(COUNTIF($C$2:C1142,C1142)=1,MAX($U$1:U1141)+1,""))</f>
        <v/>
      </c>
    </row>
    <row r="1143" customFormat="false" ht="15" hidden="false" customHeight="false" outlineLevel="0" collapsed="false">
      <c r="A1143" s="34"/>
      <c r="B1143" s="9"/>
      <c r="C1143" s="34"/>
      <c r="D1143" s="34"/>
      <c r="E1143" s="34"/>
      <c r="F1143" s="35"/>
      <c r="G1143" s="9"/>
      <c r="H1143" s="9"/>
      <c r="I1143" s="34"/>
      <c r="J1143" s="30" t="str">
        <f aca="false">IF(F1143="","",G1143-B1143)</f>
        <v/>
      </c>
      <c r="K1143" s="31" t="str">
        <f aca="false">IF(F1143="","",IF(H1143&lt;&gt;"",H1143,MAX('Vade Sapması'!$D$3,G1143)))</f>
        <v/>
      </c>
      <c r="L1143" s="30" t="str">
        <f aca="false">IF(F1143="","",K1143-B1143)</f>
        <v/>
      </c>
      <c r="M1143" s="30" t="str">
        <f aca="false">IF(F1143="","",L1143-J1143)</f>
        <v/>
      </c>
      <c r="N1143" s="32" t="str">
        <f aca="false">IF(F1143="","",IF(H1143&lt;&gt;"","Kapandı",IF('Vade Sapması'!$D$3&gt;G1143,"Açık · vadesi geçti","Açık · vadesi gelmedi")))</f>
        <v/>
      </c>
      <c r="O1143" s="30" t="str">
        <f aca="false">IF(F1143="","",IF(AND(H1143="",'Vade Sapması'!$D$3&gt;G1143),'Vade Sapması'!$D$3-G1143,0))</f>
        <v/>
      </c>
      <c r="P1143" s="33" t="str">
        <f aca="false">IF(F1143="","",F1143*J1143)</f>
        <v/>
      </c>
      <c r="Q1143" s="33" t="str">
        <f aca="false">IF(F1143="","",F1143*L1143)</f>
        <v/>
      </c>
      <c r="R1143" s="33" t="str">
        <f aca="false">IF(F1143="","",IF(H1143="",F1143,0))</f>
        <v/>
      </c>
      <c r="S1143" s="32" t="str">
        <f aca="false">IF(F1143="","",IF(N(O1143)=0,"",IF(O1143&lt;=30,"1-30",IF(O1143&lt;=60,"31-60",IF(O1143&lt;=90,"61-90","90+")))))</f>
        <v/>
      </c>
      <c r="T1143" s="32" t="str">
        <f aca="false">IF(F1143="","",IF(E1143="","Diğer",E1143))</f>
        <v/>
      </c>
      <c r="U1143" s="32" t="str">
        <f aca="false">IF(OR(F1143="",C1143=""),"",IF(COUNTIF($C$2:C1143,C1143)=1,MAX($U$1:U1142)+1,""))</f>
        <v/>
      </c>
    </row>
    <row r="1144" customFormat="false" ht="15" hidden="false" customHeight="false" outlineLevel="0" collapsed="false">
      <c r="A1144" s="34"/>
      <c r="B1144" s="9"/>
      <c r="C1144" s="34"/>
      <c r="D1144" s="34"/>
      <c r="E1144" s="34"/>
      <c r="F1144" s="35"/>
      <c r="G1144" s="9"/>
      <c r="H1144" s="9"/>
      <c r="I1144" s="34"/>
      <c r="J1144" s="30" t="str">
        <f aca="false">IF(F1144="","",G1144-B1144)</f>
        <v/>
      </c>
      <c r="K1144" s="31" t="str">
        <f aca="false">IF(F1144="","",IF(H1144&lt;&gt;"",H1144,MAX('Vade Sapması'!$D$3,G1144)))</f>
        <v/>
      </c>
      <c r="L1144" s="30" t="str">
        <f aca="false">IF(F1144="","",K1144-B1144)</f>
        <v/>
      </c>
      <c r="M1144" s="30" t="str">
        <f aca="false">IF(F1144="","",L1144-J1144)</f>
        <v/>
      </c>
      <c r="N1144" s="32" t="str">
        <f aca="false">IF(F1144="","",IF(H1144&lt;&gt;"","Kapandı",IF('Vade Sapması'!$D$3&gt;G1144,"Açık · vadesi geçti","Açık · vadesi gelmedi")))</f>
        <v/>
      </c>
      <c r="O1144" s="30" t="str">
        <f aca="false">IF(F1144="","",IF(AND(H1144="",'Vade Sapması'!$D$3&gt;G1144),'Vade Sapması'!$D$3-G1144,0))</f>
        <v/>
      </c>
      <c r="P1144" s="33" t="str">
        <f aca="false">IF(F1144="","",F1144*J1144)</f>
        <v/>
      </c>
      <c r="Q1144" s="33" t="str">
        <f aca="false">IF(F1144="","",F1144*L1144)</f>
        <v/>
      </c>
      <c r="R1144" s="33" t="str">
        <f aca="false">IF(F1144="","",IF(H1144="",F1144,0))</f>
        <v/>
      </c>
      <c r="S1144" s="32" t="str">
        <f aca="false">IF(F1144="","",IF(N(O1144)=0,"",IF(O1144&lt;=30,"1-30",IF(O1144&lt;=60,"31-60",IF(O1144&lt;=90,"61-90","90+")))))</f>
        <v/>
      </c>
      <c r="T1144" s="32" t="str">
        <f aca="false">IF(F1144="","",IF(E1144="","Diğer",E1144))</f>
        <v/>
      </c>
      <c r="U1144" s="32" t="str">
        <f aca="false">IF(OR(F1144="",C1144=""),"",IF(COUNTIF($C$2:C1144,C1144)=1,MAX($U$1:U1143)+1,""))</f>
        <v/>
      </c>
    </row>
    <row r="1145" customFormat="false" ht="15" hidden="false" customHeight="false" outlineLevel="0" collapsed="false">
      <c r="A1145" s="34"/>
      <c r="B1145" s="9"/>
      <c r="C1145" s="34"/>
      <c r="D1145" s="34"/>
      <c r="E1145" s="34"/>
      <c r="F1145" s="35"/>
      <c r="G1145" s="9"/>
      <c r="H1145" s="9"/>
      <c r="I1145" s="34"/>
      <c r="J1145" s="30" t="str">
        <f aca="false">IF(F1145="","",G1145-B1145)</f>
        <v/>
      </c>
      <c r="K1145" s="31" t="str">
        <f aca="false">IF(F1145="","",IF(H1145&lt;&gt;"",H1145,MAX('Vade Sapması'!$D$3,G1145)))</f>
        <v/>
      </c>
      <c r="L1145" s="30" t="str">
        <f aca="false">IF(F1145="","",K1145-B1145)</f>
        <v/>
      </c>
      <c r="M1145" s="30" t="str">
        <f aca="false">IF(F1145="","",L1145-J1145)</f>
        <v/>
      </c>
      <c r="N1145" s="32" t="str">
        <f aca="false">IF(F1145="","",IF(H1145&lt;&gt;"","Kapandı",IF('Vade Sapması'!$D$3&gt;G1145,"Açık · vadesi geçti","Açık · vadesi gelmedi")))</f>
        <v/>
      </c>
      <c r="O1145" s="30" t="str">
        <f aca="false">IF(F1145="","",IF(AND(H1145="",'Vade Sapması'!$D$3&gt;G1145),'Vade Sapması'!$D$3-G1145,0))</f>
        <v/>
      </c>
      <c r="P1145" s="33" t="str">
        <f aca="false">IF(F1145="","",F1145*J1145)</f>
        <v/>
      </c>
      <c r="Q1145" s="33" t="str">
        <f aca="false">IF(F1145="","",F1145*L1145)</f>
        <v/>
      </c>
      <c r="R1145" s="33" t="str">
        <f aca="false">IF(F1145="","",IF(H1145="",F1145,0))</f>
        <v/>
      </c>
      <c r="S1145" s="32" t="str">
        <f aca="false">IF(F1145="","",IF(N(O1145)=0,"",IF(O1145&lt;=30,"1-30",IF(O1145&lt;=60,"31-60",IF(O1145&lt;=90,"61-90","90+")))))</f>
        <v/>
      </c>
      <c r="T1145" s="32" t="str">
        <f aca="false">IF(F1145="","",IF(E1145="","Diğer",E1145))</f>
        <v/>
      </c>
      <c r="U1145" s="32" t="str">
        <f aca="false">IF(OR(F1145="",C1145=""),"",IF(COUNTIF($C$2:C1145,C1145)=1,MAX($U$1:U1144)+1,""))</f>
        <v/>
      </c>
    </row>
    <row r="1146" customFormat="false" ht="15" hidden="false" customHeight="false" outlineLevel="0" collapsed="false">
      <c r="A1146" s="34"/>
      <c r="B1146" s="9"/>
      <c r="C1146" s="34"/>
      <c r="D1146" s="34"/>
      <c r="E1146" s="34"/>
      <c r="F1146" s="35"/>
      <c r="G1146" s="9"/>
      <c r="H1146" s="9"/>
      <c r="I1146" s="34"/>
      <c r="J1146" s="30" t="str">
        <f aca="false">IF(F1146="","",G1146-B1146)</f>
        <v/>
      </c>
      <c r="K1146" s="31" t="str">
        <f aca="false">IF(F1146="","",IF(H1146&lt;&gt;"",H1146,MAX('Vade Sapması'!$D$3,G1146)))</f>
        <v/>
      </c>
      <c r="L1146" s="30" t="str">
        <f aca="false">IF(F1146="","",K1146-B1146)</f>
        <v/>
      </c>
      <c r="M1146" s="30" t="str">
        <f aca="false">IF(F1146="","",L1146-J1146)</f>
        <v/>
      </c>
      <c r="N1146" s="32" t="str">
        <f aca="false">IF(F1146="","",IF(H1146&lt;&gt;"","Kapandı",IF('Vade Sapması'!$D$3&gt;G1146,"Açık · vadesi geçti","Açık · vadesi gelmedi")))</f>
        <v/>
      </c>
      <c r="O1146" s="30" t="str">
        <f aca="false">IF(F1146="","",IF(AND(H1146="",'Vade Sapması'!$D$3&gt;G1146),'Vade Sapması'!$D$3-G1146,0))</f>
        <v/>
      </c>
      <c r="P1146" s="33" t="str">
        <f aca="false">IF(F1146="","",F1146*J1146)</f>
        <v/>
      </c>
      <c r="Q1146" s="33" t="str">
        <f aca="false">IF(F1146="","",F1146*L1146)</f>
        <v/>
      </c>
      <c r="R1146" s="33" t="str">
        <f aca="false">IF(F1146="","",IF(H1146="",F1146,0))</f>
        <v/>
      </c>
      <c r="S1146" s="32" t="str">
        <f aca="false">IF(F1146="","",IF(N(O1146)=0,"",IF(O1146&lt;=30,"1-30",IF(O1146&lt;=60,"31-60",IF(O1146&lt;=90,"61-90","90+")))))</f>
        <v/>
      </c>
      <c r="T1146" s="32" t="str">
        <f aca="false">IF(F1146="","",IF(E1146="","Diğer",E1146))</f>
        <v/>
      </c>
      <c r="U1146" s="32" t="str">
        <f aca="false">IF(OR(F1146="",C1146=""),"",IF(COUNTIF($C$2:C1146,C1146)=1,MAX($U$1:U1145)+1,""))</f>
        <v/>
      </c>
    </row>
    <row r="1147" customFormat="false" ht="15" hidden="false" customHeight="false" outlineLevel="0" collapsed="false">
      <c r="A1147" s="34"/>
      <c r="B1147" s="9"/>
      <c r="C1147" s="34"/>
      <c r="D1147" s="34"/>
      <c r="E1147" s="34"/>
      <c r="F1147" s="35"/>
      <c r="G1147" s="9"/>
      <c r="H1147" s="9"/>
      <c r="I1147" s="34"/>
      <c r="J1147" s="30" t="str">
        <f aca="false">IF(F1147="","",G1147-B1147)</f>
        <v/>
      </c>
      <c r="K1147" s="31" t="str">
        <f aca="false">IF(F1147="","",IF(H1147&lt;&gt;"",H1147,MAX('Vade Sapması'!$D$3,G1147)))</f>
        <v/>
      </c>
      <c r="L1147" s="30" t="str">
        <f aca="false">IF(F1147="","",K1147-B1147)</f>
        <v/>
      </c>
      <c r="M1147" s="30" t="str">
        <f aca="false">IF(F1147="","",L1147-J1147)</f>
        <v/>
      </c>
      <c r="N1147" s="32" t="str">
        <f aca="false">IF(F1147="","",IF(H1147&lt;&gt;"","Kapandı",IF('Vade Sapması'!$D$3&gt;G1147,"Açık · vadesi geçti","Açık · vadesi gelmedi")))</f>
        <v/>
      </c>
      <c r="O1147" s="30" t="str">
        <f aca="false">IF(F1147="","",IF(AND(H1147="",'Vade Sapması'!$D$3&gt;G1147),'Vade Sapması'!$D$3-G1147,0))</f>
        <v/>
      </c>
      <c r="P1147" s="33" t="str">
        <f aca="false">IF(F1147="","",F1147*J1147)</f>
        <v/>
      </c>
      <c r="Q1147" s="33" t="str">
        <f aca="false">IF(F1147="","",F1147*L1147)</f>
        <v/>
      </c>
      <c r="R1147" s="33" t="str">
        <f aca="false">IF(F1147="","",IF(H1147="",F1147,0))</f>
        <v/>
      </c>
      <c r="S1147" s="32" t="str">
        <f aca="false">IF(F1147="","",IF(N(O1147)=0,"",IF(O1147&lt;=30,"1-30",IF(O1147&lt;=60,"31-60",IF(O1147&lt;=90,"61-90","90+")))))</f>
        <v/>
      </c>
      <c r="T1147" s="32" t="str">
        <f aca="false">IF(F1147="","",IF(E1147="","Diğer",E1147))</f>
        <v/>
      </c>
      <c r="U1147" s="32" t="str">
        <f aca="false">IF(OR(F1147="",C1147=""),"",IF(COUNTIF($C$2:C1147,C1147)=1,MAX($U$1:U1146)+1,""))</f>
        <v/>
      </c>
    </row>
    <row r="1148" customFormat="false" ht="15" hidden="false" customHeight="false" outlineLevel="0" collapsed="false">
      <c r="A1148" s="34"/>
      <c r="B1148" s="9"/>
      <c r="C1148" s="34"/>
      <c r="D1148" s="34"/>
      <c r="E1148" s="34"/>
      <c r="F1148" s="35"/>
      <c r="G1148" s="9"/>
      <c r="H1148" s="9"/>
      <c r="I1148" s="34"/>
      <c r="J1148" s="30" t="str">
        <f aca="false">IF(F1148="","",G1148-B1148)</f>
        <v/>
      </c>
      <c r="K1148" s="31" t="str">
        <f aca="false">IF(F1148="","",IF(H1148&lt;&gt;"",H1148,MAX('Vade Sapması'!$D$3,G1148)))</f>
        <v/>
      </c>
      <c r="L1148" s="30" t="str">
        <f aca="false">IF(F1148="","",K1148-B1148)</f>
        <v/>
      </c>
      <c r="M1148" s="30" t="str">
        <f aca="false">IF(F1148="","",L1148-J1148)</f>
        <v/>
      </c>
      <c r="N1148" s="32" t="str">
        <f aca="false">IF(F1148="","",IF(H1148&lt;&gt;"","Kapandı",IF('Vade Sapması'!$D$3&gt;G1148,"Açık · vadesi geçti","Açık · vadesi gelmedi")))</f>
        <v/>
      </c>
      <c r="O1148" s="30" t="str">
        <f aca="false">IF(F1148="","",IF(AND(H1148="",'Vade Sapması'!$D$3&gt;G1148),'Vade Sapması'!$D$3-G1148,0))</f>
        <v/>
      </c>
      <c r="P1148" s="33" t="str">
        <f aca="false">IF(F1148="","",F1148*J1148)</f>
        <v/>
      </c>
      <c r="Q1148" s="33" t="str">
        <f aca="false">IF(F1148="","",F1148*L1148)</f>
        <v/>
      </c>
      <c r="R1148" s="33" t="str">
        <f aca="false">IF(F1148="","",IF(H1148="",F1148,0))</f>
        <v/>
      </c>
      <c r="S1148" s="32" t="str">
        <f aca="false">IF(F1148="","",IF(N(O1148)=0,"",IF(O1148&lt;=30,"1-30",IF(O1148&lt;=60,"31-60",IF(O1148&lt;=90,"61-90","90+")))))</f>
        <v/>
      </c>
      <c r="T1148" s="32" t="str">
        <f aca="false">IF(F1148="","",IF(E1148="","Diğer",E1148))</f>
        <v/>
      </c>
      <c r="U1148" s="32" t="str">
        <f aca="false">IF(OR(F1148="",C1148=""),"",IF(COUNTIF($C$2:C1148,C1148)=1,MAX($U$1:U1147)+1,""))</f>
        <v/>
      </c>
    </row>
    <row r="1149" customFormat="false" ht="15" hidden="false" customHeight="false" outlineLevel="0" collapsed="false">
      <c r="A1149" s="34"/>
      <c r="B1149" s="9"/>
      <c r="C1149" s="34"/>
      <c r="D1149" s="34"/>
      <c r="E1149" s="34"/>
      <c r="F1149" s="35"/>
      <c r="G1149" s="9"/>
      <c r="H1149" s="9"/>
      <c r="I1149" s="34"/>
      <c r="J1149" s="30" t="str">
        <f aca="false">IF(F1149="","",G1149-B1149)</f>
        <v/>
      </c>
      <c r="K1149" s="31" t="str">
        <f aca="false">IF(F1149="","",IF(H1149&lt;&gt;"",H1149,MAX('Vade Sapması'!$D$3,G1149)))</f>
        <v/>
      </c>
      <c r="L1149" s="30" t="str">
        <f aca="false">IF(F1149="","",K1149-B1149)</f>
        <v/>
      </c>
      <c r="M1149" s="30" t="str">
        <f aca="false">IF(F1149="","",L1149-J1149)</f>
        <v/>
      </c>
      <c r="N1149" s="32" t="str">
        <f aca="false">IF(F1149="","",IF(H1149&lt;&gt;"","Kapandı",IF('Vade Sapması'!$D$3&gt;G1149,"Açık · vadesi geçti","Açık · vadesi gelmedi")))</f>
        <v/>
      </c>
      <c r="O1149" s="30" t="str">
        <f aca="false">IF(F1149="","",IF(AND(H1149="",'Vade Sapması'!$D$3&gt;G1149),'Vade Sapması'!$D$3-G1149,0))</f>
        <v/>
      </c>
      <c r="P1149" s="33" t="str">
        <f aca="false">IF(F1149="","",F1149*J1149)</f>
        <v/>
      </c>
      <c r="Q1149" s="33" t="str">
        <f aca="false">IF(F1149="","",F1149*L1149)</f>
        <v/>
      </c>
      <c r="R1149" s="33" t="str">
        <f aca="false">IF(F1149="","",IF(H1149="",F1149,0))</f>
        <v/>
      </c>
      <c r="S1149" s="32" t="str">
        <f aca="false">IF(F1149="","",IF(N(O1149)=0,"",IF(O1149&lt;=30,"1-30",IF(O1149&lt;=60,"31-60",IF(O1149&lt;=90,"61-90","90+")))))</f>
        <v/>
      </c>
      <c r="T1149" s="32" t="str">
        <f aca="false">IF(F1149="","",IF(E1149="","Diğer",E1149))</f>
        <v/>
      </c>
      <c r="U1149" s="32" t="str">
        <f aca="false">IF(OR(F1149="",C1149=""),"",IF(COUNTIF($C$2:C1149,C1149)=1,MAX($U$1:U1148)+1,""))</f>
        <v/>
      </c>
    </row>
    <row r="1150" customFormat="false" ht="15" hidden="false" customHeight="false" outlineLevel="0" collapsed="false">
      <c r="A1150" s="34"/>
      <c r="B1150" s="9"/>
      <c r="C1150" s="34"/>
      <c r="D1150" s="34"/>
      <c r="E1150" s="34"/>
      <c r="F1150" s="35"/>
      <c r="G1150" s="9"/>
      <c r="H1150" s="9"/>
      <c r="I1150" s="34"/>
      <c r="J1150" s="30" t="str">
        <f aca="false">IF(F1150="","",G1150-B1150)</f>
        <v/>
      </c>
      <c r="K1150" s="31" t="str">
        <f aca="false">IF(F1150="","",IF(H1150&lt;&gt;"",H1150,MAX('Vade Sapması'!$D$3,G1150)))</f>
        <v/>
      </c>
      <c r="L1150" s="30" t="str">
        <f aca="false">IF(F1150="","",K1150-B1150)</f>
        <v/>
      </c>
      <c r="M1150" s="30" t="str">
        <f aca="false">IF(F1150="","",L1150-J1150)</f>
        <v/>
      </c>
      <c r="N1150" s="32" t="str">
        <f aca="false">IF(F1150="","",IF(H1150&lt;&gt;"","Kapandı",IF('Vade Sapması'!$D$3&gt;G1150,"Açık · vadesi geçti","Açık · vadesi gelmedi")))</f>
        <v/>
      </c>
      <c r="O1150" s="30" t="str">
        <f aca="false">IF(F1150="","",IF(AND(H1150="",'Vade Sapması'!$D$3&gt;G1150),'Vade Sapması'!$D$3-G1150,0))</f>
        <v/>
      </c>
      <c r="P1150" s="33" t="str">
        <f aca="false">IF(F1150="","",F1150*J1150)</f>
        <v/>
      </c>
      <c r="Q1150" s="33" t="str">
        <f aca="false">IF(F1150="","",F1150*L1150)</f>
        <v/>
      </c>
      <c r="R1150" s="33" t="str">
        <f aca="false">IF(F1150="","",IF(H1150="",F1150,0))</f>
        <v/>
      </c>
      <c r="S1150" s="32" t="str">
        <f aca="false">IF(F1150="","",IF(N(O1150)=0,"",IF(O1150&lt;=30,"1-30",IF(O1150&lt;=60,"31-60",IF(O1150&lt;=90,"61-90","90+")))))</f>
        <v/>
      </c>
      <c r="T1150" s="32" t="str">
        <f aca="false">IF(F1150="","",IF(E1150="","Diğer",E1150))</f>
        <v/>
      </c>
      <c r="U1150" s="32" t="str">
        <f aca="false">IF(OR(F1150="",C1150=""),"",IF(COUNTIF($C$2:C1150,C1150)=1,MAX($U$1:U1149)+1,""))</f>
        <v/>
      </c>
    </row>
    <row r="1151" customFormat="false" ht="15" hidden="false" customHeight="false" outlineLevel="0" collapsed="false">
      <c r="A1151" s="34"/>
      <c r="B1151" s="9"/>
      <c r="C1151" s="34"/>
      <c r="D1151" s="34"/>
      <c r="E1151" s="34"/>
      <c r="F1151" s="35"/>
      <c r="G1151" s="9"/>
      <c r="H1151" s="9"/>
      <c r="I1151" s="34"/>
      <c r="J1151" s="30" t="str">
        <f aca="false">IF(F1151="","",G1151-B1151)</f>
        <v/>
      </c>
      <c r="K1151" s="31" t="str">
        <f aca="false">IF(F1151="","",IF(H1151&lt;&gt;"",H1151,MAX('Vade Sapması'!$D$3,G1151)))</f>
        <v/>
      </c>
      <c r="L1151" s="30" t="str">
        <f aca="false">IF(F1151="","",K1151-B1151)</f>
        <v/>
      </c>
      <c r="M1151" s="30" t="str">
        <f aca="false">IF(F1151="","",L1151-J1151)</f>
        <v/>
      </c>
      <c r="N1151" s="32" t="str">
        <f aca="false">IF(F1151="","",IF(H1151&lt;&gt;"","Kapandı",IF('Vade Sapması'!$D$3&gt;G1151,"Açık · vadesi geçti","Açık · vadesi gelmedi")))</f>
        <v/>
      </c>
      <c r="O1151" s="30" t="str">
        <f aca="false">IF(F1151="","",IF(AND(H1151="",'Vade Sapması'!$D$3&gt;G1151),'Vade Sapması'!$D$3-G1151,0))</f>
        <v/>
      </c>
      <c r="P1151" s="33" t="str">
        <f aca="false">IF(F1151="","",F1151*J1151)</f>
        <v/>
      </c>
      <c r="Q1151" s="33" t="str">
        <f aca="false">IF(F1151="","",F1151*L1151)</f>
        <v/>
      </c>
      <c r="R1151" s="33" t="str">
        <f aca="false">IF(F1151="","",IF(H1151="",F1151,0))</f>
        <v/>
      </c>
      <c r="S1151" s="32" t="str">
        <f aca="false">IF(F1151="","",IF(N(O1151)=0,"",IF(O1151&lt;=30,"1-30",IF(O1151&lt;=60,"31-60",IF(O1151&lt;=90,"61-90","90+")))))</f>
        <v/>
      </c>
      <c r="T1151" s="32" t="str">
        <f aca="false">IF(F1151="","",IF(E1151="","Diğer",E1151))</f>
        <v/>
      </c>
      <c r="U1151" s="32" t="str">
        <f aca="false">IF(OR(F1151="",C1151=""),"",IF(COUNTIF($C$2:C1151,C1151)=1,MAX($U$1:U1150)+1,""))</f>
        <v/>
      </c>
    </row>
    <row r="1152" customFormat="false" ht="15" hidden="false" customHeight="false" outlineLevel="0" collapsed="false">
      <c r="A1152" s="34"/>
      <c r="B1152" s="9"/>
      <c r="C1152" s="34"/>
      <c r="D1152" s="34"/>
      <c r="E1152" s="34"/>
      <c r="F1152" s="35"/>
      <c r="G1152" s="9"/>
      <c r="H1152" s="9"/>
      <c r="I1152" s="34"/>
      <c r="J1152" s="30" t="str">
        <f aca="false">IF(F1152="","",G1152-B1152)</f>
        <v/>
      </c>
      <c r="K1152" s="31" t="str">
        <f aca="false">IF(F1152="","",IF(H1152&lt;&gt;"",H1152,MAX('Vade Sapması'!$D$3,G1152)))</f>
        <v/>
      </c>
      <c r="L1152" s="30" t="str">
        <f aca="false">IF(F1152="","",K1152-B1152)</f>
        <v/>
      </c>
      <c r="M1152" s="30" t="str">
        <f aca="false">IF(F1152="","",L1152-J1152)</f>
        <v/>
      </c>
      <c r="N1152" s="32" t="str">
        <f aca="false">IF(F1152="","",IF(H1152&lt;&gt;"","Kapandı",IF('Vade Sapması'!$D$3&gt;G1152,"Açık · vadesi geçti","Açık · vadesi gelmedi")))</f>
        <v/>
      </c>
      <c r="O1152" s="30" t="str">
        <f aca="false">IF(F1152="","",IF(AND(H1152="",'Vade Sapması'!$D$3&gt;G1152),'Vade Sapması'!$D$3-G1152,0))</f>
        <v/>
      </c>
      <c r="P1152" s="33" t="str">
        <f aca="false">IF(F1152="","",F1152*J1152)</f>
        <v/>
      </c>
      <c r="Q1152" s="33" t="str">
        <f aca="false">IF(F1152="","",F1152*L1152)</f>
        <v/>
      </c>
      <c r="R1152" s="33" t="str">
        <f aca="false">IF(F1152="","",IF(H1152="",F1152,0))</f>
        <v/>
      </c>
      <c r="S1152" s="32" t="str">
        <f aca="false">IF(F1152="","",IF(N(O1152)=0,"",IF(O1152&lt;=30,"1-30",IF(O1152&lt;=60,"31-60",IF(O1152&lt;=90,"61-90","90+")))))</f>
        <v/>
      </c>
      <c r="T1152" s="32" t="str">
        <f aca="false">IF(F1152="","",IF(E1152="","Diğer",E1152))</f>
        <v/>
      </c>
      <c r="U1152" s="32" t="str">
        <f aca="false">IF(OR(F1152="",C1152=""),"",IF(COUNTIF($C$2:C1152,C1152)=1,MAX($U$1:U1151)+1,""))</f>
        <v/>
      </c>
    </row>
    <row r="1153" customFormat="false" ht="15" hidden="false" customHeight="false" outlineLevel="0" collapsed="false">
      <c r="A1153" s="34"/>
      <c r="B1153" s="9"/>
      <c r="C1153" s="34"/>
      <c r="D1153" s="34"/>
      <c r="E1153" s="34"/>
      <c r="F1153" s="35"/>
      <c r="G1153" s="9"/>
      <c r="H1153" s="9"/>
      <c r="I1153" s="34"/>
      <c r="J1153" s="30" t="str">
        <f aca="false">IF(F1153="","",G1153-B1153)</f>
        <v/>
      </c>
      <c r="K1153" s="31" t="str">
        <f aca="false">IF(F1153="","",IF(H1153&lt;&gt;"",H1153,MAX('Vade Sapması'!$D$3,G1153)))</f>
        <v/>
      </c>
      <c r="L1153" s="30" t="str">
        <f aca="false">IF(F1153="","",K1153-B1153)</f>
        <v/>
      </c>
      <c r="M1153" s="30" t="str">
        <f aca="false">IF(F1153="","",L1153-J1153)</f>
        <v/>
      </c>
      <c r="N1153" s="32" t="str">
        <f aca="false">IF(F1153="","",IF(H1153&lt;&gt;"","Kapandı",IF('Vade Sapması'!$D$3&gt;G1153,"Açık · vadesi geçti","Açık · vadesi gelmedi")))</f>
        <v/>
      </c>
      <c r="O1153" s="30" t="str">
        <f aca="false">IF(F1153="","",IF(AND(H1153="",'Vade Sapması'!$D$3&gt;G1153),'Vade Sapması'!$D$3-G1153,0))</f>
        <v/>
      </c>
      <c r="P1153" s="33" t="str">
        <f aca="false">IF(F1153="","",F1153*J1153)</f>
        <v/>
      </c>
      <c r="Q1153" s="33" t="str">
        <f aca="false">IF(F1153="","",F1153*L1153)</f>
        <v/>
      </c>
      <c r="R1153" s="33" t="str">
        <f aca="false">IF(F1153="","",IF(H1153="",F1153,0))</f>
        <v/>
      </c>
      <c r="S1153" s="32" t="str">
        <f aca="false">IF(F1153="","",IF(N(O1153)=0,"",IF(O1153&lt;=30,"1-30",IF(O1153&lt;=60,"31-60",IF(O1153&lt;=90,"61-90","90+")))))</f>
        <v/>
      </c>
      <c r="T1153" s="32" t="str">
        <f aca="false">IF(F1153="","",IF(E1153="","Diğer",E1153))</f>
        <v/>
      </c>
      <c r="U1153" s="32" t="str">
        <f aca="false">IF(OR(F1153="",C1153=""),"",IF(COUNTIF($C$2:C1153,C1153)=1,MAX($U$1:U1152)+1,""))</f>
        <v/>
      </c>
    </row>
    <row r="1154" customFormat="false" ht="15" hidden="false" customHeight="false" outlineLevel="0" collapsed="false">
      <c r="A1154" s="34"/>
      <c r="B1154" s="9"/>
      <c r="C1154" s="34"/>
      <c r="D1154" s="34"/>
      <c r="E1154" s="34"/>
      <c r="F1154" s="35"/>
      <c r="G1154" s="9"/>
      <c r="H1154" s="9"/>
      <c r="I1154" s="34"/>
      <c r="J1154" s="30" t="str">
        <f aca="false">IF(F1154="","",G1154-B1154)</f>
        <v/>
      </c>
      <c r="K1154" s="31" t="str">
        <f aca="false">IF(F1154="","",IF(H1154&lt;&gt;"",H1154,MAX('Vade Sapması'!$D$3,G1154)))</f>
        <v/>
      </c>
      <c r="L1154" s="30" t="str">
        <f aca="false">IF(F1154="","",K1154-B1154)</f>
        <v/>
      </c>
      <c r="M1154" s="30" t="str">
        <f aca="false">IF(F1154="","",L1154-J1154)</f>
        <v/>
      </c>
      <c r="N1154" s="32" t="str">
        <f aca="false">IF(F1154="","",IF(H1154&lt;&gt;"","Kapandı",IF('Vade Sapması'!$D$3&gt;G1154,"Açık · vadesi geçti","Açık · vadesi gelmedi")))</f>
        <v/>
      </c>
      <c r="O1154" s="30" t="str">
        <f aca="false">IF(F1154="","",IF(AND(H1154="",'Vade Sapması'!$D$3&gt;G1154),'Vade Sapması'!$D$3-G1154,0))</f>
        <v/>
      </c>
      <c r="P1154" s="33" t="str">
        <f aca="false">IF(F1154="","",F1154*J1154)</f>
        <v/>
      </c>
      <c r="Q1154" s="33" t="str">
        <f aca="false">IF(F1154="","",F1154*L1154)</f>
        <v/>
      </c>
      <c r="R1154" s="33" t="str">
        <f aca="false">IF(F1154="","",IF(H1154="",F1154,0))</f>
        <v/>
      </c>
      <c r="S1154" s="32" t="str">
        <f aca="false">IF(F1154="","",IF(N(O1154)=0,"",IF(O1154&lt;=30,"1-30",IF(O1154&lt;=60,"31-60",IF(O1154&lt;=90,"61-90","90+")))))</f>
        <v/>
      </c>
      <c r="T1154" s="32" t="str">
        <f aca="false">IF(F1154="","",IF(E1154="","Diğer",E1154))</f>
        <v/>
      </c>
      <c r="U1154" s="32" t="str">
        <f aca="false">IF(OR(F1154="",C1154=""),"",IF(COUNTIF($C$2:C1154,C1154)=1,MAX($U$1:U1153)+1,""))</f>
        <v/>
      </c>
    </row>
    <row r="1155" customFormat="false" ht="15" hidden="false" customHeight="false" outlineLevel="0" collapsed="false">
      <c r="A1155" s="34"/>
      <c r="B1155" s="9"/>
      <c r="C1155" s="34"/>
      <c r="D1155" s="34"/>
      <c r="E1155" s="34"/>
      <c r="F1155" s="35"/>
      <c r="G1155" s="9"/>
      <c r="H1155" s="9"/>
      <c r="I1155" s="34"/>
      <c r="J1155" s="30" t="str">
        <f aca="false">IF(F1155="","",G1155-B1155)</f>
        <v/>
      </c>
      <c r="K1155" s="31" t="str">
        <f aca="false">IF(F1155="","",IF(H1155&lt;&gt;"",H1155,MAX('Vade Sapması'!$D$3,G1155)))</f>
        <v/>
      </c>
      <c r="L1155" s="30" t="str">
        <f aca="false">IF(F1155="","",K1155-B1155)</f>
        <v/>
      </c>
      <c r="M1155" s="30" t="str">
        <f aca="false">IF(F1155="","",L1155-J1155)</f>
        <v/>
      </c>
      <c r="N1155" s="32" t="str">
        <f aca="false">IF(F1155="","",IF(H1155&lt;&gt;"","Kapandı",IF('Vade Sapması'!$D$3&gt;G1155,"Açık · vadesi geçti","Açık · vadesi gelmedi")))</f>
        <v/>
      </c>
      <c r="O1155" s="30" t="str">
        <f aca="false">IF(F1155="","",IF(AND(H1155="",'Vade Sapması'!$D$3&gt;G1155),'Vade Sapması'!$D$3-G1155,0))</f>
        <v/>
      </c>
      <c r="P1155" s="33" t="str">
        <f aca="false">IF(F1155="","",F1155*J1155)</f>
        <v/>
      </c>
      <c r="Q1155" s="33" t="str">
        <f aca="false">IF(F1155="","",F1155*L1155)</f>
        <v/>
      </c>
      <c r="R1155" s="33" t="str">
        <f aca="false">IF(F1155="","",IF(H1155="",F1155,0))</f>
        <v/>
      </c>
      <c r="S1155" s="32" t="str">
        <f aca="false">IF(F1155="","",IF(N(O1155)=0,"",IF(O1155&lt;=30,"1-30",IF(O1155&lt;=60,"31-60",IF(O1155&lt;=90,"61-90","90+")))))</f>
        <v/>
      </c>
      <c r="T1155" s="32" t="str">
        <f aca="false">IF(F1155="","",IF(E1155="","Diğer",E1155))</f>
        <v/>
      </c>
      <c r="U1155" s="32" t="str">
        <f aca="false">IF(OR(F1155="",C1155=""),"",IF(COUNTIF($C$2:C1155,C1155)=1,MAX($U$1:U1154)+1,""))</f>
        <v/>
      </c>
    </row>
    <row r="1156" customFormat="false" ht="15" hidden="false" customHeight="false" outlineLevel="0" collapsed="false">
      <c r="A1156" s="34"/>
      <c r="B1156" s="9"/>
      <c r="C1156" s="34"/>
      <c r="D1156" s="34"/>
      <c r="E1156" s="34"/>
      <c r="F1156" s="35"/>
      <c r="G1156" s="9"/>
      <c r="H1156" s="9"/>
      <c r="I1156" s="34"/>
      <c r="J1156" s="30" t="str">
        <f aca="false">IF(F1156="","",G1156-B1156)</f>
        <v/>
      </c>
      <c r="K1156" s="31" t="str">
        <f aca="false">IF(F1156="","",IF(H1156&lt;&gt;"",H1156,MAX('Vade Sapması'!$D$3,G1156)))</f>
        <v/>
      </c>
      <c r="L1156" s="30" t="str">
        <f aca="false">IF(F1156="","",K1156-B1156)</f>
        <v/>
      </c>
      <c r="M1156" s="30" t="str">
        <f aca="false">IF(F1156="","",L1156-J1156)</f>
        <v/>
      </c>
      <c r="N1156" s="32" t="str">
        <f aca="false">IF(F1156="","",IF(H1156&lt;&gt;"","Kapandı",IF('Vade Sapması'!$D$3&gt;G1156,"Açık · vadesi geçti","Açık · vadesi gelmedi")))</f>
        <v/>
      </c>
      <c r="O1156" s="30" t="str">
        <f aca="false">IF(F1156="","",IF(AND(H1156="",'Vade Sapması'!$D$3&gt;G1156),'Vade Sapması'!$D$3-G1156,0))</f>
        <v/>
      </c>
      <c r="P1156" s="33" t="str">
        <f aca="false">IF(F1156="","",F1156*J1156)</f>
        <v/>
      </c>
      <c r="Q1156" s="33" t="str">
        <f aca="false">IF(F1156="","",F1156*L1156)</f>
        <v/>
      </c>
      <c r="R1156" s="33" t="str">
        <f aca="false">IF(F1156="","",IF(H1156="",F1156,0))</f>
        <v/>
      </c>
      <c r="S1156" s="32" t="str">
        <f aca="false">IF(F1156="","",IF(N(O1156)=0,"",IF(O1156&lt;=30,"1-30",IF(O1156&lt;=60,"31-60",IF(O1156&lt;=90,"61-90","90+")))))</f>
        <v/>
      </c>
      <c r="T1156" s="32" t="str">
        <f aca="false">IF(F1156="","",IF(E1156="","Diğer",E1156))</f>
        <v/>
      </c>
      <c r="U1156" s="32" t="str">
        <f aca="false">IF(OR(F1156="",C1156=""),"",IF(COUNTIF($C$2:C1156,C1156)=1,MAX($U$1:U1155)+1,""))</f>
        <v/>
      </c>
    </row>
    <row r="1157" customFormat="false" ht="15" hidden="false" customHeight="false" outlineLevel="0" collapsed="false">
      <c r="A1157" s="34"/>
      <c r="B1157" s="9"/>
      <c r="C1157" s="34"/>
      <c r="D1157" s="34"/>
      <c r="E1157" s="34"/>
      <c r="F1157" s="35"/>
      <c r="G1157" s="9"/>
      <c r="H1157" s="9"/>
      <c r="I1157" s="34"/>
      <c r="J1157" s="30" t="str">
        <f aca="false">IF(F1157="","",G1157-B1157)</f>
        <v/>
      </c>
      <c r="K1157" s="31" t="str">
        <f aca="false">IF(F1157="","",IF(H1157&lt;&gt;"",H1157,MAX('Vade Sapması'!$D$3,G1157)))</f>
        <v/>
      </c>
      <c r="L1157" s="30" t="str">
        <f aca="false">IF(F1157="","",K1157-B1157)</f>
        <v/>
      </c>
      <c r="M1157" s="30" t="str">
        <f aca="false">IF(F1157="","",L1157-J1157)</f>
        <v/>
      </c>
      <c r="N1157" s="32" t="str">
        <f aca="false">IF(F1157="","",IF(H1157&lt;&gt;"","Kapandı",IF('Vade Sapması'!$D$3&gt;G1157,"Açık · vadesi geçti","Açık · vadesi gelmedi")))</f>
        <v/>
      </c>
      <c r="O1157" s="30" t="str">
        <f aca="false">IF(F1157="","",IF(AND(H1157="",'Vade Sapması'!$D$3&gt;G1157),'Vade Sapması'!$D$3-G1157,0))</f>
        <v/>
      </c>
      <c r="P1157" s="33" t="str">
        <f aca="false">IF(F1157="","",F1157*J1157)</f>
        <v/>
      </c>
      <c r="Q1157" s="33" t="str">
        <f aca="false">IF(F1157="","",F1157*L1157)</f>
        <v/>
      </c>
      <c r="R1157" s="33" t="str">
        <f aca="false">IF(F1157="","",IF(H1157="",F1157,0))</f>
        <v/>
      </c>
      <c r="S1157" s="32" t="str">
        <f aca="false">IF(F1157="","",IF(N(O1157)=0,"",IF(O1157&lt;=30,"1-30",IF(O1157&lt;=60,"31-60",IF(O1157&lt;=90,"61-90","90+")))))</f>
        <v/>
      </c>
      <c r="T1157" s="32" t="str">
        <f aca="false">IF(F1157="","",IF(E1157="","Diğer",E1157))</f>
        <v/>
      </c>
      <c r="U1157" s="32" t="str">
        <f aca="false">IF(OR(F1157="",C1157=""),"",IF(COUNTIF($C$2:C1157,C1157)=1,MAX($U$1:U1156)+1,""))</f>
        <v/>
      </c>
    </row>
    <row r="1158" customFormat="false" ht="15" hidden="false" customHeight="false" outlineLevel="0" collapsed="false">
      <c r="A1158" s="34"/>
      <c r="B1158" s="9"/>
      <c r="C1158" s="34"/>
      <c r="D1158" s="34"/>
      <c r="E1158" s="34"/>
      <c r="F1158" s="35"/>
      <c r="G1158" s="9"/>
      <c r="H1158" s="9"/>
      <c r="I1158" s="34"/>
      <c r="J1158" s="30" t="str">
        <f aca="false">IF(F1158="","",G1158-B1158)</f>
        <v/>
      </c>
      <c r="K1158" s="31" t="str">
        <f aca="false">IF(F1158="","",IF(H1158&lt;&gt;"",H1158,MAX('Vade Sapması'!$D$3,G1158)))</f>
        <v/>
      </c>
      <c r="L1158" s="30" t="str">
        <f aca="false">IF(F1158="","",K1158-B1158)</f>
        <v/>
      </c>
      <c r="M1158" s="30" t="str">
        <f aca="false">IF(F1158="","",L1158-J1158)</f>
        <v/>
      </c>
      <c r="N1158" s="32" t="str">
        <f aca="false">IF(F1158="","",IF(H1158&lt;&gt;"","Kapandı",IF('Vade Sapması'!$D$3&gt;G1158,"Açık · vadesi geçti","Açık · vadesi gelmedi")))</f>
        <v/>
      </c>
      <c r="O1158" s="30" t="str">
        <f aca="false">IF(F1158="","",IF(AND(H1158="",'Vade Sapması'!$D$3&gt;G1158),'Vade Sapması'!$D$3-G1158,0))</f>
        <v/>
      </c>
      <c r="P1158" s="33" t="str">
        <f aca="false">IF(F1158="","",F1158*J1158)</f>
        <v/>
      </c>
      <c r="Q1158" s="33" t="str">
        <f aca="false">IF(F1158="","",F1158*L1158)</f>
        <v/>
      </c>
      <c r="R1158" s="33" t="str">
        <f aca="false">IF(F1158="","",IF(H1158="",F1158,0))</f>
        <v/>
      </c>
      <c r="S1158" s="32" t="str">
        <f aca="false">IF(F1158="","",IF(N(O1158)=0,"",IF(O1158&lt;=30,"1-30",IF(O1158&lt;=60,"31-60",IF(O1158&lt;=90,"61-90","90+")))))</f>
        <v/>
      </c>
      <c r="T1158" s="32" t="str">
        <f aca="false">IF(F1158="","",IF(E1158="","Diğer",E1158))</f>
        <v/>
      </c>
      <c r="U1158" s="32" t="str">
        <f aca="false">IF(OR(F1158="",C1158=""),"",IF(COUNTIF($C$2:C1158,C1158)=1,MAX($U$1:U1157)+1,""))</f>
        <v/>
      </c>
    </row>
    <row r="1159" customFormat="false" ht="15" hidden="false" customHeight="false" outlineLevel="0" collapsed="false">
      <c r="A1159" s="34"/>
      <c r="B1159" s="9"/>
      <c r="C1159" s="34"/>
      <c r="D1159" s="34"/>
      <c r="E1159" s="34"/>
      <c r="F1159" s="35"/>
      <c r="G1159" s="9"/>
      <c r="H1159" s="9"/>
      <c r="I1159" s="34"/>
      <c r="J1159" s="30" t="str">
        <f aca="false">IF(F1159="","",G1159-B1159)</f>
        <v/>
      </c>
      <c r="K1159" s="31" t="str">
        <f aca="false">IF(F1159="","",IF(H1159&lt;&gt;"",H1159,MAX('Vade Sapması'!$D$3,G1159)))</f>
        <v/>
      </c>
      <c r="L1159" s="30" t="str">
        <f aca="false">IF(F1159="","",K1159-B1159)</f>
        <v/>
      </c>
      <c r="M1159" s="30" t="str">
        <f aca="false">IF(F1159="","",L1159-J1159)</f>
        <v/>
      </c>
      <c r="N1159" s="32" t="str">
        <f aca="false">IF(F1159="","",IF(H1159&lt;&gt;"","Kapandı",IF('Vade Sapması'!$D$3&gt;G1159,"Açık · vadesi geçti","Açık · vadesi gelmedi")))</f>
        <v/>
      </c>
      <c r="O1159" s="30" t="str">
        <f aca="false">IF(F1159="","",IF(AND(H1159="",'Vade Sapması'!$D$3&gt;G1159),'Vade Sapması'!$D$3-G1159,0))</f>
        <v/>
      </c>
      <c r="P1159" s="33" t="str">
        <f aca="false">IF(F1159="","",F1159*J1159)</f>
        <v/>
      </c>
      <c r="Q1159" s="33" t="str">
        <f aca="false">IF(F1159="","",F1159*L1159)</f>
        <v/>
      </c>
      <c r="R1159" s="33" t="str">
        <f aca="false">IF(F1159="","",IF(H1159="",F1159,0))</f>
        <v/>
      </c>
      <c r="S1159" s="32" t="str">
        <f aca="false">IF(F1159="","",IF(N(O1159)=0,"",IF(O1159&lt;=30,"1-30",IF(O1159&lt;=60,"31-60",IF(O1159&lt;=90,"61-90","90+")))))</f>
        <v/>
      </c>
      <c r="T1159" s="32" t="str">
        <f aca="false">IF(F1159="","",IF(E1159="","Diğer",E1159))</f>
        <v/>
      </c>
      <c r="U1159" s="32" t="str">
        <f aca="false">IF(OR(F1159="",C1159=""),"",IF(COUNTIF($C$2:C1159,C1159)=1,MAX($U$1:U1158)+1,""))</f>
        <v/>
      </c>
    </row>
    <row r="1160" customFormat="false" ht="15" hidden="false" customHeight="false" outlineLevel="0" collapsed="false">
      <c r="A1160" s="34"/>
      <c r="B1160" s="9"/>
      <c r="C1160" s="34"/>
      <c r="D1160" s="34"/>
      <c r="E1160" s="34"/>
      <c r="F1160" s="35"/>
      <c r="G1160" s="9"/>
      <c r="H1160" s="9"/>
      <c r="I1160" s="34"/>
      <c r="J1160" s="30" t="str">
        <f aca="false">IF(F1160="","",G1160-B1160)</f>
        <v/>
      </c>
      <c r="K1160" s="31" t="str">
        <f aca="false">IF(F1160="","",IF(H1160&lt;&gt;"",H1160,MAX('Vade Sapması'!$D$3,G1160)))</f>
        <v/>
      </c>
      <c r="L1160" s="30" t="str">
        <f aca="false">IF(F1160="","",K1160-B1160)</f>
        <v/>
      </c>
      <c r="M1160" s="30" t="str">
        <f aca="false">IF(F1160="","",L1160-J1160)</f>
        <v/>
      </c>
      <c r="N1160" s="32" t="str">
        <f aca="false">IF(F1160="","",IF(H1160&lt;&gt;"","Kapandı",IF('Vade Sapması'!$D$3&gt;G1160,"Açık · vadesi geçti","Açık · vadesi gelmedi")))</f>
        <v/>
      </c>
      <c r="O1160" s="30" t="str">
        <f aca="false">IF(F1160="","",IF(AND(H1160="",'Vade Sapması'!$D$3&gt;G1160),'Vade Sapması'!$D$3-G1160,0))</f>
        <v/>
      </c>
      <c r="P1160" s="33" t="str">
        <f aca="false">IF(F1160="","",F1160*J1160)</f>
        <v/>
      </c>
      <c r="Q1160" s="33" t="str">
        <f aca="false">IF(F1160="","",F1160*L1160)</f>
        <v/>
      </c>
      <c r="R1160" s="33" t="str">
        <f aca="false">IF(F1160="","",IF(H1160="",F1160,0))</f>
        <v/>
      </c>
      <c r="S1160" s="32" t="str">
        <f aca="false">IF(F1160="","",IF(N(O1160)=0,"",IF(O1160&lt;=30,"1-30",IF(O1160&lt;=60,"31-60",IF(O1160&lt;=90,"61-90","90+")))))</f>
        <v/>
      </c>
      <c r="T1160" s="32" t="str">
        <f aca="false">IF(F1160="","",IF(E1160="","Diğer",E1160))</f>
        <v/>
      </c>
      <c r="U1160" s="32" t="str">
        <f aca="false">IF(OR(F1160="",C1160=""),"",IF(COUNTIF($C$2:C1160,C1160)=1,MAX($U$1:U1159)+1,""))</f>
        <v/>
      </c>
    </row>
    <row r="1161" customFormat="false" ht="15" hidden="false" customHeight="false" outlineLevel="0" collapsed="false">
      <c r="A1161" s="34"/>
      <c r="B1161" s="9"/>
      <c r="C1161" s="34"/>
      <c r="D1161" s="34"/>
      <c r="E1161" s="34"/>
      <c r="F1161" s="35"/>
      <c r="G1161" s="9"/>
      <c r="H1161" s="9"/>
      <c r="I1161" s="34"/>
      <c r="J1161" s="30" t="str">
        <f aca="false">IF(F1161="","",G1161-B1161)</f>
        <v/>
      </c>
      <c r="K1161" s="31" t="str">
        <f aca="false">IF(F1161="","",IF(H1161&lt;&gt;"",H1161,MAX('Vade Sapması'!$D$3,G1161)))</f>
        <v/>
      </c>
      <c r="L1161" s="30" t="str">
        <f aca="false">IF(F1161="","",K1161-B1161)</f>
        <v/>
      </c>
      <c r="M1161" s="30" t="str">
        <f aca="false">IF(F1161="","",L1161-J1161)</f>
        <v/>
      </c>
      <c r="N1161" s="32" t="str">
        <f aca="false">IF(F1161="","",IF(H1161&lt;&gt;"","Kapandı",IF('Vade Sapması'!$D$3&gt;G1161,"Açık · vadesi geçti","Açık · vadesi gelmedi")))</f>
        <v/>
      </c>
      <c r="O1161" s="30" t="str">
        <f aca="false">IF(F1161="","",IF(AND(H1161="",'Vade Sapması'!$D$3&gt;G1161),'Vade Sapması'!$D$3-G1161,0))</f>
        <v/>
      </c>
      <c r="P1161" s="33" t="str">
        <f aca="false">IF(F1161="","",F1161*J1161)</f>
        <v/>
      </c>
      <c r="Q1161" s="33" t="str">
        <f aca="false">IF(F1161="","",F1161*L1161)</f>
        <v/>
      </c>
      <c r="R1161" s="33" t="str">
        <f aca="false">IF(F1161="","",IF(H1161="",F1161,0))</f>
        <v/>
      </c>
      <c r="S1161" s="32" t="str">
        <f aca="false">IF(F1161="","",IF(N(O1161)=0,"",IF(O1161&lt;=30,"1-30",IF(O1161&lt;=60,"31-60",IF(O1161&lt;=90,"61-90","90+")))))</f>
        <v/>
      </c>
      <c r="T1161" s="32" t="str">
        <f aca="false">IF(F1161="","",IF(E1161="","Diğer",E1161))</f>
        <v/>
      </c>
      <c r="U1161" s="32" t="str">
        <f aca="false">IF(OR(F1161="",C1161=""),"",IF(COUNTIF($C$2:C1161,C1161)=1,MAX($U$1:U1160)+1,""))</f>
        <v/>
      </c>
    </row>
    <row r="1162" customFormat="false" ht="15" hidden="false" customHeight="false" outlineLevel="0" collapsed="false">
      <c r="A1162" s="34"/>
      <c r="B1162" s="9"/>
      <c r="C1162" s="34"/>
      <c r="D1162" s="34"/>
      <c r="E1162" s="34"/>
      <c r="F1162" s="35"/>
      <c r="G1162" s="9"/>
      <c r="H1162" s="9"/>
      <c r="I1162" s="34"/>
      <c r="J1162" s="30" t="str">
        <f aca="false">IF(F1162="","",G1162-B1162)</f>
        <v/>
      </c>
      <c r="K1162" s="31" t="str">
        <f aca="false">IF(F1162="","",IF(H1162&lt;&gt;"",H1162,MAX('Vade Sapması'!$D$3,G1162)))</f>
        <v/>
      </c>
      <c r="L1162" s="30" t="str">
        <f aca="false">IF(F1162="","",K1162-B1162)</f>
        <v/>
      </c>
      <c r="M1162" s="30" t="str">
        <f aca="false">IF(F1162="","",L1162-J1162)</f>
        <v/>
      </c>
      <c r="N1162" s="32" t="str">
        <f aca="false">IF(F1162="","",IF(H1162&lt;&gt;"","Kapandı",IF('Vade Sapması'!$D$3&gt;G1162,"Açık · vadesi geçti","Açık · vadesi gelmedi")))</f>
        <v/>
      </c>
      <c r="O1162" s="30" t="str">
        <f aca="false">IF(F1162="","",IF(AND(H1162="",'Vade Sapması'!$D$3&gt;G1162),'Vade Sapması'!$D$3-G1162,0))</f>
        <v/>
      </c>
      <c r="P1162" s="33" t="str">
        <f aca="false">IF(F1162="","",F1162*J1162)</f>
        <v/>
      </c>
      <c r="Q1162" s="33" t="str">
        <f aca="false">IF(F1162="","",F1162*L1162)</f>
        <v/>
      </c>
      <c r="R1162" s="33" t="str">
        <f aca="false">IF(F1162="","",IF(H1162="",F1162,0))</f>
        <v/>
      </c>
      <c r="S1162" s="32" t="str">
        <f aca="false">IF(F1162="","",IF(N(O1162)=0,"",IF(O1162&lt;=30,"1-30",IF(O1162&lt;=60,"31-60",IF(O1162&lt;=90,"61-90","90+")))))</f>
        <v/>
      </c>
      <c r="T1162" s="32" t="str">
        <f aca="false">IF(F1162="","",IF(E1162="","Diğer",E1162))</f>
        <v/>
      </c>
      <c r="U1162" s="32" t="str">
        <f aca="false">IF(OR(F1162="",C1162=""),"",IF(COUNTIF($C$2:C1162,C1162)=1,MAX($U$1:U1161)+1,""))</f>
        <v/>
      </c>
    </row>
    <row r="1163" customFormat="false" ht="15" hidden="false" customHeight="false" outlineLevel="0" collapsed="false">
      <c r="A1163" s="34"/>
      <c r="B1163" s="9"/>
      <c r="C1163" s="34"/>
      <c r="D1163" s="34"/>
      <c r="E1163" s="34"/>
      <c r="F1163" s="35"/>
      <c r="G1163" s="9"/>
      <c r="H1163" s="9"/>
      <c r="I1163" s="34"/>
      <c r="J1163" s="30" t="str">
        <f aca="false">IF(F1163="","",G1163-B1163)</f>
        <v/>
      </c>
      <c r="K1163" s="31" t="str">
        <f aca="false">IF(F1163="","",IF(H1163&lt;&gt;"",H1163,MAX('Vade Sapması'!$D$3,G1163)))</f>
        <v/>
      </c>
      <c r="L1163" s="30" t="str">
        <f aca="false">IF(F1163="","",K1163-B1163)</f>
        <v/>
      </c>
      <c r="M1163" s="30" t="str">
        <f aca="false">IF(F1163="","",L1163-J1163)</f>
        <v/>
      </c>
      <c r="N1163" s="32" t="str">
        <f aca="false">IF(F1163="","",IF(H1163&lt;&gt;"","Kapandı",IF('Vade Sapması'!$D$3&gt;G1163,"Açık · vadesi geçti","Açık · vadesi gelmedi")))</f>
        <v/>
      </c>
      <c r="O1163" s="30" t="str">
        <f aca="false">IF(F1163="","",IF(AND(H1163="",'Vade Sapması'!$D$3&gt;G1163),'Vade Sapması'!$D$3-G1163,0))</f>
        <v/>
      </c>
      <c r="P1163" s="33" t="str">
        <f aca="false">IF(F1163="","",F1163*J1163)</f>
        <v/>
      </c>
      <c r="Q1163" s="33" t="str">
        <f aca="false">IF(F1163="","",F1163*L1163)</f>
        <v/>
      </c>
      <c r="R1163" s="33" t="str">
        <f aca="false">IF(F1163="","",IF(H1163="",F1163,0))</f>
        <v/>
      </c>
      <c r="S1163" s="32" t="str">
        <f aca="false">IF(F1163="","",IF(N(O1163)=0,"",IF(O1163&lt;=30,"1-30",IF(O1163&lt;=60,"31-60",IF(O1163&lt;=90,"61-90","90+")))))</f>
        <v/>
      </c>
      <c r="T1163" s="32" t="str">
        <f aca="false">IF(F1163="","",IF(E1163="","Diğer",E1163))</f>
        <v/>
      </c>
      <c r="U1163" s="32" t="str">
        <f aca="false">IF(OR(F1163="",C1163=""),"",IF(COUNTIF($C$2:C1163,C1163)=1,MAX($U$1:U1162)+1,""))</f>
        <v/>
      </c>
    </row>
    <row r="1164" customFormat="false" ht="15" hidden="false" customHeight="false" outlineLevel="0" collapsed="false">
      <c r="A1164" s="34"/>
      <c r="B1164" s="9"/>
      <c r="C1164" s="34"/>
      <c r="D1164" s="34"/>
      <c r="E1164" s="34"/>
      <c r="F1164" s="35"/>
      <c r="G1164" s="9"/>
      <c r="H1164" s="9"/>
      <c r="I1164" s="34"/>
      <c r="J1164" s="30" t="str">
        <f aca="false">IF(F1164="","",G1164-B1164)</f>
        <v/>
      </c>
      <c r="K1164" s="31" t="str">
        <f aca="false">IF(F1164="","",IF(H1164&lt;&gt;"",H1164,MAX('Vade Sapması'!$D$3,G1164)))</f>
        <v/>
      </c>
      <c r="L1164" s="30" t="str">
        <f aca="false">IF(F1164="","",K1164-B1164)</f>
        <v/>
      </c>
      <c r="M1164" s="30" t="str">
        <f aca="false">IF(F1164="","",L1164-J1164)</f>
        <v/>
      </c>
      <c r="N1164" s="32" t="str">
        <f aca="false">IF(F1164="","",IF(H1164&lt;&gt;"","Kapandı",IF('Vade Sapması'!$D$3&gt;G1164,"Açık · vadesi geçti","Açık · vadesi gelmedi")))</f>
        <v/>
      </c>
      <c r="O1164" s="30" t="str">
        <f aca="false">IF(F1164="","",IF(AND(H1164="",'Vade Sapması'!$D$3&gt;G1164),'Vade Sapması'!$D$3-G1164,0))</f>
        <v/>
      </c>
      <c r="P1164" s="33" t="str">
        <f aca="false">IF(F1164="","",F1164*J1164)</f>
        <v/>
      </c>
      <c r="Q1164" s="33" t="str">
        <f aca="false">IF(F1164="","",F1164*L1164)</f>
        <v/>
      </c>
      <c r="R1164" s="33" t="str">
        <f aca="false">IF(F1164="","",IF(H1164="",F1164,0))</f>
        <v/>
      </c>
      <c r="S1164" s="32" t="str">
        <f aca="false">IF(F1164="","",IF(N(O1164)=0,"",IF(O1164&lt;=30,"1-30",IF(O1164&lt;=60,"31-60",IF(O1164&lt;=90,"61-90","90+")))))</f>
        <v/>
      </c>
      <c r="T1164" s="32" t="str">
        <f aca="false">IF(F1164="","",IF(E1164="","Diğer",E1164))</f>
        <v/>
      </c>
      <c r="U1164" s="32" t="str">
        <f aca="false">IF(OR(F1164="",C1164=""),"",IF(COUNTIF($C$2:C1164,C1164)=1,MAX($U$1:U1163)+1,""))</f>
        <v/>
      </c>
    </row>
    <row r="1165" customFormat="false" ht="15" hidden="false" customHeight="false" outlineLevel="0" collapsed="false">
      <c r="A1165" s="34"/>
      <c r="B1165" s="9"/>
      <c r="C1165" s="34"/>
      <c r="D1165" s="34"/>
      <c r="E1165" s="34"/>
      <c r="F1165" s="35"/>
      <c r="G1165" s="9"/>
      <c r="H1165" s="9"/>
      <c r="I1165" s="34"/>
      <c r="J1165" s="30" t="str">
        <f aca="false">IF(F1165="","",G1165-B1165)</f>
        <v/>
      </c>
      <c r="K1165" s="31" t="str">
        <f aca="false">IF(F1165="","",IF(H1165&lt;&gt;"",H1165,MAX('Vade Sapması'!$D$3,G1165)))</f>
        <v/>
      </c>
      <c r="L1165" s="30" t="str">
        <f aca="false">IF(F1165="","",K1165-B1165)</f>
        <v/>
      </c>
      <c r="M1165" s="30" t="str">
        <f aca="false">IF(F1165="","",L1165-J1165)</f>
        <v/>
      </c>
      <c r="N1165" s="32" t="str">
        <f aca="false">IF(F1165="","",IF(H1165&lt;&gt;"","Kapandı",IF('Vade Sapması'!$D$3&gt;G1165,"Açık · vadesi geçti","Açık · vadesi gelmedi")))</f>
        <v/>
      </c>
      <c r="O1165" s="30" t="str">
        <f aca="false">IF(F1165="","",IF(AND(H1165="",'Vade Sapması'!$D$3&gt;G1165),'Vade Sapması'!$D$3-G1165,0))</f>
        <v/>
      </c>
      <c r="P1165" s="33" t="str">
        <f aca="false">IF(F1165="","",F1165*J1165)</f>
        <v/>
      </c>
      <c r="Q1165" s="33" t="str">
        <f aca="false">IF(F1165="","",F1165*L1165)</f>
        <v/>
      </c>
      <c r="R1165" s="33" t="str">
        <f aca="false">IF(F1165="","",IF(H1165="",F1165,0))</f>
        <v/>
      </c>
      <c r="S1165" s="32" t="str">
        <f aca="false">IF(F1165="","",IF(N(O1165)=0,"",IF(O1165&lt;=30,"1-30",IF(O1165&lt;=60,"31-60",IF(O1165&lt;=90,"61-90","90+")))))</f>
        <v/>
      </c>
      <c r="T1165" s="32" t="str">
        <f aca="false">IF(F1165="","",IF(E1165="","Diğer",E1165))</f>
        <v/>
      </c>
      <c r="U1165" s="32" t="str">
        <f aca="false">IF(OR(F1165="",C1165=""),"",IF(COUNTIF($C$2:C1165,C1165)=1,MAX($U$1:U1164)+1,""))</f>
        <v/>
      </c>
    </row>
    <row r="1166" customFormat="false" ht="15" hidden="false" customHeight="false" outlineLevel="0" collapsed="false">
      <c r="A1166" s="34"/>
      <c r="B1166" s="9"/>
      <c r="C1166" s="34"/>
      <c r="D1166" s="34"/>
      <c r="E1166" s="34"/>
      <c r="F1166" s="35"/>
      <c r="G1166" s="9"/>
      <c r="H1166" s="9"/>
      <c r="I1166" s="34"/>
      <c r="J1166" s="30" t="str">
        <f aca="false">IF(F1166="","",G1166-B1166)</f>
        <v/>
      </c>
      <c r="K1166" s="31" t="str">
        <f aca="false">IF(F1166="","",IF(H1166&lt;&gt;"",H1166,MAX('Vade Sapması'!$D$3,G1166)))</f>
        <v/>
      </c>
      <c r="L1166" s="30" t="str">
        <f aca="false">IF(F1166="","",K1166-B1166)</f>
        <v/>
      </c>
      <c r="M1166" s="30" t="str">
        <f aca="false">IF(F1166="","",L1166-J1166)</f>
        <v/>
      </c>
      <c r="N1166" s="32" t="str">
        <f aca="false">IF(F1166="","",IF(H1166&lt;&gt;"","Kapandı",IF('Vade Sapması'!$D$3&gt;G1166,"Açık · vadesi geçti","Açık · vadesi gelmedi")))</f>
        <v/>
      </c>
      <c r="O1166" s="30" t="str">
        <f aca="false">IF(F1166="","",IF(AND(H1166="",'Vade Sapması'!$D$3&gt;G1166),'Vade Sapması'!$D$3-G1166,0))</f>
        <v/>
      </c>
      <c r="P1166" s="33" t="str">
        <f aca="false">IF(F1166="","",F1166*J1166)</f>
        <v/>
      </c>
      <c r="Q1166" s="33" t="str">
        <f aca="false">IF(F1166="","",F1166*L1166)</f>
        <v/>
      </c>
      <c r="R1166" s="33" t="str">
        <f aca="false">IF(F1166="","",IF(H1166="",F1166,0))</f>
        <v/>
      </c>
      <c r="S1166" s="32" t="str">
        <f aca="false">IF(F1166="","",IF(N(O1166)=0,"",IF(O1166&lt;=30,"1-30",IF(O1166&lt;=60,"31-60",IF(O1166&lt;=90,"61-90","90+")))))</f>
        <v/>
      </c>
      <c r="T1166" s="32" t="str">
        <f aca="false">IF(F1166="","",IF(E1166="","Diğer",E1166))</f>
        <v/>
      </c>
      <c r="U1166" s="32" t="str">
        <f aca="false">IF(OR(F1166="",C1166=""),"",IF(COUNTIF($C$2:C1166,C1166)=1,MAX($U$1:U1165)+1,""))</f>
        <v/>
      </c>
    </row>
    <row r="1167" customFormat="false" ht="15" hidden="false" customHeight="false" outlineLevel="0" collapsed="false">
      <c r="A1167" s="34"/>
      <c r="B1167" s="9"/>
      <c r="C1167" s="34"/>
      <c r="D1167" s="34"/>
      <c r="E1167" s="34"/>
      <c r="F1167" s="35"/>
      <c r="G1167" s="9"/>
      <c r="H1167" s="9"/>
      <c r="I1167" s="34"/>
      <c r="J1167" s="30" t="str">
        <f aca="false">IF(F1167="","",G1167-B1167)</f>
        <v/>
      </c>
      <c r="K1167" s="31" t="str">
        <f aca="false">IF(F1167="","",IF(H1167&lt;&gt;"",H1167,MAX('Vade Sapması'!$D$3,G1167)))</f>
        <v/>
      </c>
      <c r="L1167" s="30" t="str">
        <f aca="false">IF(F1167="","",K1167-B1167)</f>
        <v/>
      </c>
      <c r="M1167" s="30" t="str">
        <f aca="false">IF(F1167="","",L1167-J1167)</f>
        <v/>
      </c>
      <c r="N1167" s="32" t="str">
        <f aca="false">IF(F1167="","",IF(H1167&lt;&gt;"","Kapandı",IF('Vade Sapması'!$D$3&gt;G1167,"Açık · vadesi geçti","Açık · vadesi gelmedi")))</f>
        <v/>
      </c>
      <c r="O1167" s="30" t="str">
        <f aca="false">IF(F1167="","",IF(AND(H1167="",'Vade Sapması'!$D$3&gt;G1167),'Vade Sapması'!$D$3-G1167,0))</f>
        <v/>
      </c>
      <c r="P1167" s="33" t="str">
        <f aca="false">IF(F1167="","",F1167*J1167)</f>
        <v/>
      </c>
      <c r="Q1167" s="33" t="str">
        <f aca="false">IF(F1167="","",F1167*L1167)</f>
        <v/>
      </c>
      <c r="R1167" s="33" t="str">
        <f aca="false">IF(F1167="","",IF(H1167="",F1167,0))</f>
        <v/>
      </c>
      <c r="S1167" s="32" t="str">
        <f aca="false">IF(F1167="","",IF(N(O1167)=0,"",IF(O1167&lt;=30,"1-30",IF(O1167&lt;=60,"31-60",IF(O1167&lt;=90,"61-90","90+")))))</f>
        <v/>
      </c>
      <c r="T1167" s="32" t="str">
        <f aca="false">IF(F1167="","",IF(E1167="","Diğer",E1167))</f>
        <v/>
      </c>
      <c r="U1167" s="32" t="str">
        <f aca="false">IF(OR(F1167="",C1167=""),"",IF(COUNTIF($C$2:C1167,C1167)=1,MAX($U$1:U1166)+1,""))</f>
        <v/>
      </c>
    </row>
    <row r="1168" customFormat="false" ht="15" hidden="false" customHeight="false" outlineLevel="0" collapsed="false">
      <c r="A1168" s="34"/>
      <c r="B1168" s="9"/>
      <c r="C1168" s="34"/>
      <c r="D1168" s="34"/>
      <c r="E1168" s="34"/>
      <c r="F1168" s="35"/>
      <c r="G1168" s="9"/>
      <c r="H1168" s="9"/>
      <c r="I1168" s="34"/>
      <c r="J1168" s="30" t="str">
        <f aca="false">IF(F1168="","",G1168-B1168)</f>
        <v/>
      </c>
      <c r="K1168" s="31" t="str">
        <f aca="false">IF(F1168="","",IF(H1168&lt;&gt;"",H1168,MAX('Vade Sapması'!$D$3,G1168)))</f>
        <v/>
      </c>
      <c r="L1168" s="30" t="str">
        <f aca="false">IF(F1168="","",K1168-B1168)</f>
        <v/>
      </c>
      <c r="M1168" s="30" t="str">
        <f aca="false">IF(F1168="","",L1168-J1168)</f>
        <v/>
      </c>
      <c r="N1168" s="32" t="str">
        <f aca="false">IF(F1168="","",IF(H1168&lt;&gt;"","Kapandı",IF('Vade Sapması'!$D$3&gt;G1168,"Açık · vadesi geçti","Açık · vadesi gelmedi")))</f>
        <v/>
      </c>
      <c r="O1168" s="30" t="str">
        <f aca="false">IF(F1168="","",IF(AND(H1168="",'Vade Sapması'!$D$3&gt;G1168),'Vade Sapması'!$D$3-G1168,0))</f>
        <v/>
      </c>
      <c r="P1168" s="33" t="str">
        <f aca="false">IF(F1168="","",F1168*J1168)</f>
        <v/>
      </c>
      <c r="Q1168" s="33" t="str">
        <f aca="false">IF(F1168="","",F1168*L1168)</f>
        <v/>
      </c>
      <c r="R1168" s="33" t="str">
        <f aca="false">IF(F1168="","",IF(H1168="",F1168,0))</f>
        <v/>
      </c>
      <c r="S1168" s="32" t="str">
        <f aca="false">IF(F1168="","",IF(N(O1168)=0,"",IF(O1168&lt;=30,"1-30",IF(O1168&lt;=60,"31-60",IF(O1168&lt;=90,"61-90","90+")))))</f>
        <v/>
      </c>
      <c r="T1168" s="32" t="str">
        <f aca="false">IF(F1168="","",IF(E1168="","Diğer",E1168))</f>
        <v/>
      </c>
      <c r="U1168" s="32" t="str">
        <f aca="false">IF(OR(F1168="",C1168=""),"",IF(COUNTIF($C$2:C1168,C1168)=1,MAX($U$1:U1167)+1,""))</f>
        <v/>
      </c>
    </row>
    <row r="1169" customFormat="false" ht="15" hidden="false" customHeight="false" outlineLevel="0" collapsed="false">
      <c r="A1169" s="34"/>
      <c r="B1169" s="9"/>
      <c r="C1169" s="34"/>
      <c r="D1169" s="34"/>
      <c r="E1169" s="34"/>
      <c r="F1169" s="35"/>
      <c r="G1169" s="9"/>
      <c r="H1169" s="9"/>
      <c r="I1169" s="34"/>
      <c r="J1169" s="30" t="str">
        <f aca="false">IF(F1169="","",G1169-B1169)</f>
        <v/>
      </c>
      <c r="K1169" s="31" t="str">
        <f aca="false">IF(F1169="","",IF(H1169&lt;&gt;"",H1169,MAX('Vade Sapması'!$D$3,G1169)))</f>
        <v/>
      </c>
      <c r="L1169" s="30" t="str">
        <f aca="false">IF(F1169="","",K1169-B1169)</f>
        <v/>
      </c>
      <c r="M1169" s="30" t="str">
        <f aca="false">IF(F1169="","",L1169-J1169)</f>
        <v/>
      </c>
      <c r="N1169" s="32" t="str">
        <f aca="false">IF(F1169="","",IF(H1169&lt;&gt;"","Kapandı",IF('Vade Sapması'!$D$3&gt;G1169,"Açık · vadesi geçti","Açık · vadesi gelmedi")))</f>
        <v/>
      </c>
      <c r="O1169" s="30" t="str">
        <f aca="false">IF(F1169="","",IF(AND(H1169="",'Vade Sapması'!$D$3&gt;G1169),'Vade Sapması'!$D$3-G1169,0))</f>
        <v/>
      </c>
      <c r="P1169" s="33" t="str">
        <f aca="false">IF(F1169="","",F1169*J1169)</f>
        <v/>
      </c>
      <c r="Q1169" s="33" t="str">
        <f aca="false">IF(F1169="","",F1169*L1169)</f>
        <v/>
      </c>
      <c r="R1169" s="33" t="str">
        <f aca="false">IF(F1169="","",IF(H1169="",F1169,0))</f>
        <v/>
      </c>
      <c r="S1169" s="32" t="str">
        <f aca="false">IF(F1169="","",IF(N(O1169)=0,"",IF(O1169&lt;=30,"1-30",IF(O1169&lt;=60,"31-60",IF(O1169&lt;=90,"61-90","90+")))))</f>
        <v/>
      </c>
      <c r="T1169" s="32" t="str">
        <f aca="false">IF(F1169="","",IF(E1169="","Diğer",E1169))</f>
        <v/>
      </c>
      <c r="U1169" s="32" t="str">
        <f aca="false">IF(OR(F1169="",C1169=""),"",IF(COUNTIF($C$2:C1169,C1169)=1,MAX($U$1:U1168)+1,""))</f>
        <v/>
      </c>
    </row>
    <row r="1170" customFormat="false" ht="15" hidden="false" customHeight="false" outlineLevel="0" collapsed="false">
      <c r="A1170" s="34"/>
      <c r="B1170" s="9"/>
      <c r="C1170" s="34"/>
      <c r="D1170" s="34"/>
      <c r="E1170" s="34"/>
      <c r="F1170" s="35"/>
      <c r="G1170" s="9"/>
      <c r="H1170" s="9"/>
      <c r="I1170" s="34"/>
      <c r="J1170" s="30" t="str">
        <f aca="false">IF(F1170="","",G1170-B1170)</f>
        <v/>
      </c>
      <c r="K1170" s="31" t="str">
        <f aca="false">IF(F1170="","",IF(H1170&lt;&gt;"",H1170,MAX('Vade Sapması'!$D$3,G1170)))</f>
        <v/>
      </c>
      <c r="L1170" s="30" t="str">
        <f aca="false">IF(F1170="","",K1170-B1170)</f>
        <v/>
      </c>
      <c r="M1170" s="30" t="str">
        <f aca="false">IF(F1170="","",L1170-J1170)</f>
        <v/>
      </c>
      <c r="N1170" s="32" t="str">
        <f aca="false">IF(F1170="","",IF(H1170&lt;&gt;"","Kapandı",IF('Vade Sapması'!$D$3&gt;G1170,"Açık · vadesi geçti","Açık · vadesi gelmedi")))</f>
        <v/>
      </c>
      <c r="O1170" s="30" t="str">
        <f aca="false">IF(F1170="","",IF(AND(H1170="",'Vade Sapması'!$D$3&gt;G1170),'Vade Sapması'!$D$3-G1170,0))</f>
        <v/>
      </c>
      <c r="P1170" s="33" t="str">
        <f aca="false">IF(F1170="","",F1170*J1170)</f>
        <v/>
      </c>
      <c r="Q1170" s="33" t="str">
        <f aca="false">IF(F1170="","",F1170*L1170)</f>
        <v/>
      </c>
      <c r="R1170" s="33" t="str">
        <f aca="false">IF(F1170="","",IF(H1170="",F1170,0))</f>
        <v/>
      </c>
      <c r="S1170" s="32" t="str">
        <f aca="false">IF(F1170="","",IF(N(O1170)=0,"",IF(O1170&lt;=30,"1-30",IF(O1170&lt;=60,"31-60",IF(O1170&lt;=90,"61-90","90+")))))</f>
        <v/>
      </c>
      <c r="T1170" s="32" t="str">
        <f aca="false">IF(F1170="","",IF(E1170="","Diğer",E1170))</f>
        <v/>
      </c>
      <c r="U1170" s="32" t="str">
        <f aca="false">IF(OR(F1170="",C1170=""),"",IF(COUNTIF($C$2:C1170,C1170)=1,MAX($U$1:U1169)+1,""))</f>
        <v/>
      </c>
    </row>
    <row r="1171" customFormat="false" ht="15" hidden="false" customHeight="false" outlineLevel="0" collapsed="false">
      <c r="A1171" s="34"/>
      <c r="B1171" s="9"/>
      <c r="C1171" s="34"/>
      <c r="D1171" s="34"/>
      <c r="E1171" s="34"/>
      <c r="F1171" s="35"/>
      <c r="G1171" s="9"/>
      <c r="H1171" s="9"/>
      <c r="I1171" s="34"/>
      <c r="J1171" s="30" t="str">
        <f aca="false">IF(F1171="","",G1171-B1171)</f>
        <v/>
      </c>
      <c r="K1171" s="31" t="str">
        <f aca="false">IF(F1171="","",IF(H1171&lt;&gt;"",H1171,MAX('Vade Sapması'!$D$3,G1171)))</f>
        <v/>
      </c>
      <c r="L1171" s="30" t="str">
        <f aca="false">IF(F1171="","",K1171-B1171)</f>
        <v/>
      </c>
      <c r="M1171" s="30" t="str">
        <f aca="false">IF(F1171="","",L1171-J1171)</f>
        <v/>
      </c>
      <c r="N1171" s="32" t="str">
        <f aca="false">IF(F1171="","",IF(H1171&lt;&gt;"","Kapandı",IF('Vade Sapması'!$D$3&gt;G1171,"Açık · vadesi geçti","Açık · vadesi gelmedi")))</f>
        <v/>
      </c>
      <c r="O1171" s="30" t="str">
        <f aca="false">IF(F1171="","",IF(AND(H1171="",'Vade Sapması'!$D$3&gt;G1171),'Vade Sapması'!$D$3-G1171,0))</f>
        <v/>
      </c>
      <c r="P1171" s="33" t="str">
        <f aca="false">IF(F1171="","",F1171*J1171)</f>
        <v/>
      </c>
      <c r="Q1171" s="33" t="str">
        <f aca="false">IF(F1171="","",F1171*L1171)</f>
        <v/>
      </c>
      <c r="R1171" s="33" t="str">
        <f aca="false">IF(F1171="","",IF(H1171="",F1171,0))</f>
        <v/>
      </c>
      <c r="S1171" s="32" t="str">
        <f aca="false">IF(F1171="","",IF(N(O1171)=0,"",IF(O1171&lt;=30,"1-30",IF(O1171&lt;=60,"31-60",IF(O1171&lt;=90,"61-90","90+")))))</f>
        <v/>
      </c>
      <c r="T1171" s="32" t="str">
        <f aca="false">IF(F1171="","",IF(E1171="","Diğer",E1171))</f>
        <v/>
      </c>
      <c r="U1171" s="32" t="str">
        <f aca="false">IF(OR(F1171="",C1171=""),"",IF(COUNTIF($C$2:C1171,C1171)=1,MAX($U$1:U1170)+1,""))</f>
        <v/>
      </c>
    </row>
    <row r="1172" customFormat="false" ht="15" hidden="false" customHeight="false" outlineLevel="0" collapsed="false">
      <c r="A1172" s="34"/>
      <c r="B1172" s="9"/>
      <c r="C1172" s="34"/>
      <c r="D1172" s="34"/>
      <c r="E1172" s="34"/>
      <c r="F1172" s="35"/>
      <c r="G1172" s="9"/>
      <c r="H1172" s="9"/>
      <c r="I1172" s="34"/>
      <c r="J1172" s="30" t="str">
        <f aca="false">IF(F1172="","",G1172-B1172)</f>
        <v/>
      </c>
      <c r="K1172" s="31" t="str">
        <f aca="false">IF(F1172="","",IF(H1172&lt;&gt;"",H1172,MAX('Vade Sapması'!$D$3,G1172)))</f>
        <v/>
      </c>
      <c r="L1172" s="30" t="str">
        <f aca="false">IF(F1172="","",K1172-B1172)</f>
        <v/>
      </c>
      <c r="M1172" s="30" t="str">
        <f aca="false">IF(F1172="","",L1172-J1172)</f>
        <v/>
      </c>
      <c r="N1172" s="32" t="str">
        <f aca="false">IF(F1172="","",IF(H1172&lt;&gt;"","Kapandı",IF('Vade Sapması'!$D$3&gt;G1172,"Açık · vadesi geçti","Açık · vadesi gelmedi")))</f>
        <v/>
      </c>
      <c r="O1172" s="30" t="str">
        <f aca="false">IF(F1172="","",IF(AND(H1172="",'Vade Sapması'!$D$3&gt;G1172),'Vade Sapması'!$D$3-G1172,0))</f>
        <v/>
      </c>
      <c r="P1172" s="33" t="str">
        <f aca="false">IF(F1172="","",F1172*J1172)</f>
        <v/>
      </c>
      <c r="Q1172" s="33" t="str">
        <f aca="false">IF(F1172="","",F1172*L1172)</f>
        <v/>
      </c>
      <c r="R1172" s="33" t="str">
        <f aca="false">IF(F1172="","",IF(H1172="",F1172,0))</f>
        <v/>
      </c>
      <c r="S1172" s="32" t="str">
        <f aca="false">IF(F1172="","",IF(N(O1172)=0,"",IF(O1172&lt;=30,"1-30",IF(O1172&lt;=60,"31-60",IF(O1172&lt;=90,"61-90","90+")))))</f>
        <v/>
      </c>
      <c r="T1172" s="32" t="str">
        <f aca="false">IF(F1172="","",IF(E1172="","Diğer",E1172))</f>
        <v/>
      </c>
      <c r="U1172" s="32" t="str">
        <f aca="false">IF(OR(F1172="",C1172=""),"",IF(COUNTIF($C$2:C1172,C1172)=1,MAX($U$1:U1171)+1,""))</f>
        <v/>
      </c>
    </row>
    <row r="1173" customFormat="false" ht="15" hidden="false" customHeight="false" outlineLevel="0" collapsed="false">
      <c r="A1173" s="34"/>
      <c r="B1173" s="9"/>
      <c r="C1173" s="34"/>
      <c r="D1173" s="34"/>
      <c r="E1173" s="34"/>
      <c r="F1173" s="35"/>
      <c r="G1173" s="9"/>
      <c r="H1173" s="9"/>
      <c r="I1173" s="34"/>
      <c r="J1173" s="30" t="str">
        <f aca="false">IF(F1173="","",G1173-B1173)</f>
        <v/>
      </c>
      <c r="K1173" s="31" t="str">
        <f aca="false">IF(F1173="","",IF(H1173&lt;&gt;"",H1173,MAX('Vade Sapması'!$D$3,G1173)))</f>
        <v/>
      </c>
      <c r="L1173" s="30" t="str">
        <f aca="false">IF(F1173="","",K1173-B1173)</f>
        <v/>
      </c>
      <c r="M1173" s="30" t="str">
        <f aca="false">IF(F1173="","",L1173-J1173)</f>
        <v/>
      </c>
      <c r="N1173" s="32" t="str">
        <f aca="false">IF(F1173="","",IF(H1173&lt;&gt;"","Kapandı",IF('Vade Sapması'!$D$3&gt;G1173,"Açık · vadesi geçti","Açık · vadesi gelmedi")))</f>
        <v/>
      </c>
      <c r="O1173" s="30" t="str">
        <f aca="false">IF(F1173="","",IF(AND(H1173="",'Vade Sapması'!$D$3&gt;G1173),'Vade Sapması'!$D$3-G1173,0))</f>
        <v/>
      </c>
      <c r="P1173" s="33" t="str">
        <f aca="false">IF(F1173="","",F1173*J1173)</f>
        <v/>
      </c>
      <c r="Q1173" s="33" t="str">
        <f aca="false">IF(F1173="","",F1173*L1173)</f>
        <v/>
      </c>
      <c r="R1173" s="33" t="str">
        <f aca="false">IF(F1173="","",IF(H1173="",F1173,0))</f>
        <v/>
      </c>
      <c r="S1173" s="32" t="str">
        <f aca="false">IF(F1173="","",IF(N(O1173)=0,"",IF(O1173&lt;=30,"1-30",IF(O1173&lt;=60,"31-60",IF(O1173&lt;=90,"61-90","90+")))))</f>
        <v/>
      </c>
      <c r="T1173" s="32" t="str">
        <f aca="false">IF(F1173="","",IF(E1173="","Diğer",E1173))</f>
        <v/>
      </c>
      <c r="U1173" s="32" t="str">
        <f aca="false">IF(OR(F1173="",C1173=""),"",IF(COUNTIF($C$2:C1173,C1173)=1,MAX($U$1:U1172)+1,""))</f>
        <v/>
      </c>
    </row>
    <row r="1174" customFormat="false" ht="15" hidden="false" customHeight="false" outlineLevel="0" collapsed="false">
      <c r="A1174" s="34"/>
      <c r="B1174" s="9"/>
      <c r="C1174" s="34"/>
      <c r="D1174" s="34"/>
      <c r="E1174" s="34"/>
      <c r="F1174" s="35"/>
      <c r="G1174" s="9"/>
      <c r="H1174" s="9"/>
      <c r="I1174" s="34"/>
      <c r="J1174" s="30" t="str">
        <f aca="false">IF(F1174="","",G1174-B1174)</f>
        <v/>
      </c>
      <c r="K1174" s="31" t="str">
        <f aca="false">IF(F1174="","",IF(H1174&lt;&gt;"",H1174,MAX('Vade Sapması'!$D$3,G1174)))</f>
        <v/>
      </c>
      <c r="L1174" s="30" t="str">
        <f aca="false">IF(F1174="","",K1174-B1174)</f>
        <v/>
      </c>
      <c r="M1174" s="30" t="str">
        <f aca="false">IF(F1174="","",L1174-J1174)</f>
        <v/>
      </c>
      <c r="N1174" s="32" t="str">
        <f aca="false">IF(F1174="","",IF(H1174&lt;&gt;"","Kapandı",IF('Vade Sapması'!$D$3&gt;G1174,"Açık · vadesi geçti","Açık · vadesi gelmedi")))</f>
        <v/>
      </c>
      <c r="O1174" s="30" t="str">
        <f aca="false">IF(F1174="","",IF(AND(H1174="",'Vade Sapması'!$D$3&gt;G1174),'Vade Sapması'!$D$3-G1174,0))</f>
        <v/>
      </c>
      <c r="P1174" s="33" t="str">
        <f aca="false">IF(F1174="","",F1174*J1174)</f>
        <v/>
      </c>
      <c r="Q1174" s="33" t="str">
        <f aca="false">IF(F1174="","",F1174*L1174)</f>
        <v/>
      </c>
      <c r="R1174" s="33" t="str">
        <f aca="false">IF(F1174="","",IF(H1174="",F1174,0))</f>
        <v/>
      </c>
      <c r="S1174" s="32" t="str">
        <f aca="false">IF(F1174="","",IF(N(O1174)=0,"",IF(O1174&lt;=30,"1-30",IF(O1174&lt;=60,"31-60",IF(O1174&lt;=90,"61-90","90+")))))</f>
        <v/>
      </c>
      <c r="T1174" s="32" t="str">
        <f aca="false">IF(F1174="","",IF(E1174="","Diğer",E1174))</f>
        <v/>
      </c>
      <c r="U1174" s="32" t="str">
        <f aca="false">IF(OR(F1174="",C1174=""),"",IF(COUNTIF($C$2:C1174,C1174)=1,MAX($U$1:U1173)+1,""))</f>
        <v/>
      </c>
    </row>
    <row r="1175" customFormat="false" ht="15" hidden="false" customHeight="false" outlineLevel="0" collapsed="false">
      <c r="A1175" s="34"/>
      <c r="B1175" s="9"/>
      <c r="C1175" s="34"/>
      <c r="D1175" s="34"/>
      <c r="E1175" s="34"/>
      <c r="F1175" s="35"/>
      <c r="G1175" s="9"/>
      <c r="H1175" s="9"/>
      <c r="I1175" s="34"/>
      <c r="J1175" s="30" t="str">
        <f aca="false">IF(F1175="","",G1175-B1175)</f>
        <v/>
      </c>
      <c r="K1175" s="31" t="str">
        <f aca="false">IF(F1175="","",IF(H1175&lt;&gt;"",H1175,MAX('Vade Sapması'!$D$3,G1175)))</f>
        <v/>
      </c>
      <c r="L1175" s="30" t="str">
        <f aca="false">IF(F1175="","",K1175-B1175)</f>
        <v/>
      </c>
      <c r="M1175" s="30" t="str">
        <f aca="false">IF(F1175="","",L1175-J1175)</f>
        <v/>
      </c>
      <c r="N1175" s="32" t="str">
        <f aca="false">IF(F1175="","",IF(H1175&lt;&gt;"","Kapandı",IF('Vade Sapması'!$D$3&gt;G1175,"Açık · vadesi geçti","Açık · vadesi gelmedi")))</f>
        <v/>
      </c>
      <c r="O1175" s="30" t="str">
        <f aca="false">IF(F1175="","",IF(AND(H1175="",'Vade Sapması'!$D$3&gt;G1175),'Vade Sapması'!$D$3-G1175,0))</f>
        <v/>
      </c>
      <c r="P1175" s="33" t="str">
        <f aca="false">IF(F1175="","",F1175*J1175)</f>
        <v/>
      </c>
      <c r="Q1175" s="33" t="str">
        <f aca="false">IF(F1175="","",F1175*L1175)</f>
        <v/>
      </c>
      <c r="R1175" s="33" t="str">
        <f aca="false">IF(F1175="","",IF(H1175="",F1175,0))</f>
        <v/>
      </c>
      <c r="S1175" s="32" t="str">
        <f aca="false">IF(F1175="","",IF(N(O1175)=0,"",IF(O1175&lt;=30,"1-30",IF(O1175&lt;=60,"31-60",IF(O1175&lt;=90,"61-90","90+")))))</f>
        <v/>
      </c>
      <c r="T1175" s="32" t="str">
        <f aca="false">IF(F1175="","",IF(E1175="","Diğer",E1175))</f>
        <v/>
      </c>
      <c r="U1175" s="32" t="str">
        <f aca="false">IF(OR(F1175="",C1175=""),"",IF(COUNTIF($C$2:C1175,C1175)=1,MAX($U$1:U1174)+1,""))</f>
        <v/>
      </c>
    </row>
    <row r="1176" customFormat="false" ht="15" hidden="false" customHeight="false" outlineLevel="0" collapsed="false">
      <c r="A1176" s="34"/>
      <c r="B1176" s="9"/>
      <c r="C1176" s="34"/>
      <c r="D1176" s="34"/>
      <c r="E1176" s="34"/>
      <c r="F1176" s="35"/>
      <c r="G1176" s="9"/>
      <c r="H1176" s="9"/>
      <c r="I1176" s="34"/>
      <c r="J1176" s="30" t="str">
        <f aca="false">IF(F1176="","",G1176-B1176)</f>
        <v/>
      </c>
      <c r="K1176" s="31" t="str">
        <f aca="false">IF(F1176="","",IF(H1176&lt;&gt;"",H1176,MAX('Vade Sapması'!$D$3,G1176)))</f>
        <v/>
      </c>
      <c r="L1176" s="30" t="str">
        <f aca="false">IF(F1176="","",K1176-B1176)</f>
        <v/>
      </c>
      <c r="M1176" s="30" t="str">
        <f aca="false">IF(F1176="","",L1176-J1176)</f>
        <v/>
      </c>
      <c r="N1176" s="32" t="str">
        <f aca="false">IF(F1176="","",IF(H1176&lt;&gt;"","Kapandı",IF('Vade Sapması'!$D$3&gt;G1176,"Açık · vadesi geçti","Açık · vadesi gelmedi")))</f>
        <v/>
      </c>
      <c r="O1176" s="30" t="str">
        <f aca="false">IF(F1176="","",IF(AND(H1176="",'Vade Sapması'!$D$3&gt;G1176),'Vade Sapması'!$D$3-G1176,0))</f>
        <v/>
      </c>
      <c r="P1176" s="33" t="str">
        <f aca="false">IF(F1176="","",F1176*J1176)</f>
        <v/>
      </c>
      <c r="Q1176" s="33" t="str">
        <f aca="false">IF(F1176="","",F1176*L1176)</f>
        <v/>
      </c>
      <c r="R1176" s="33" t="str">
        <f aca="false">IF(F1176="","",IF(H1176="",F1176,0))</f>
        <v/>
      </c>
      <c r="S1176" s="32" t="str">
        <f aca="false">IF(F1176="","",IF(N(O1176)=0,"",IF(O1176&lt;=30,"1-30",IF(O1176&lt;=60,"31-60",IF(O1176&lt;=90,"61-90","90+")))))</f>
        <v/>
      </c>
      <c r="T1176" s="32" t="str">
        <f aca="false">IF(F1176="","",IF(E1176="","Diğer",E1176))</f>
        <v/>
      </c>
      <c r="U1176" s="32" t="str">
        <f aca="false">IF(OR(F1176="",C1176=""),"",IF(COUNTIF($C$2:C1176,C1176)=1,MAX($U$1:U1175)+1,""))</f>
        <v/>
      </c>
    </row>
    <row r="1177" customFormat="false" ht="15" hidden="false" customHeight="false" outlineLevel="0" collapsed="false">
      <c r="A1177" s="34"/>
      <c r="B1177" s="9"/>
      <c r="C1177" s="34"/>
      <c r="D1177" s="34"/>
      <c r="E1177" s="34"/>
      <c r="F1177" s="35"/>
      <c r="G1177" s="9"/>
      <c r="H1177" s="9"/>
      <c r="I1177" s="34"/>
      <c r="J1177" s="30" t="str">
        <f aca="false">IF(F1177="","",G1177-B1177)</f>
        <v/>
      </c>
      <c r="K1177" s="31" t="str">
        <f aca="false">IF(F1177="","",IF(H1177&lt;&gt;"",H1177,MAX('Vade Sapması'!$D$3,G1177)))</f>
        <v/>
      </c>
      <c r="L1177" s="30" t="str">
        <f aca="false">IF(F1177="","",K1177-B1177)</f>
        <v/>
      </c>
      <c r="M1177" s="30" t="str">
        <f aca="false">IF(F1177="","",L1177-J1177)</f>
        <v/>
      </c>
      <c r="N1177" s="32" t="str">
        <f aca="false">IF(F1177="","",IF(H1177&lt;&gt;"","Kapandı",IF('Vade Sapması'!$D$3&gt;G1177,"Açık · vadesi geçti","Açık · vadesi gelmedi")))</f>
        <v/>
      </c>
      <c r="O1177" s="30" t="str">
        <f aca="false">IF(F1177="","",IF(AND(H1177="",'Vade Sapması'!$D$3&gt;G1177),'Vade Sapması'!$D$3-G1177,0))</f>
        <v/>
      </c>
      <c r="P1177" s="33" t="str">
        <f aca="false">IF(F1177="","",F1177*J1177)</f>
        <v/>
      </c>
      <c r="Q1177" s="33" t="str">
        <f aca="false">IF(F1177="","",F1177*L1177)</f>
        <v/>
      </c>
      <c r="R1177" s="33" t="str">
        <f aca="false">IF(F1177="","",IF(H1177="",F1177,0))</f>
        <v/>
      </c>
      <c r="S1177" s="32" t="str">
        <f aca="false">IF(F1177="","",IF(N(O1177)=0,"",IF(O1177&lt;=30,"1-30",IF(O1177&lt;=60,"31-60",IF(O1177&lt;=90,"61-90","90+")))))</f>
        <v/>
      </c>
      <c r="T1177" s="32" t="str">
        <f aca="false">IF(F1177="","",IF(E1177="","Diğer",E1177))</f>
        <v/>
      </c>
      <c r="U1177" s="32" t="str">
        <f aca="false">IF(OR(F1177="",C1177=""),"",IF(COUNTIF($C$2:C1177,C1177)=1,MAX($U$1:U1176)+1,""))</f>
        <v/>
      </c>
    </row>
    <row r="1178" customFormat="false" ht="15" hidden="false" customHeight="false" outlineLevel="0" collapsed="false">
      <c r="A1178" s="34"/>
      <c r="B1178" s="9"/>
      <c r="C1178" s="34"/>
      <c r="D1178" s="34"/>
      <c r="E1178" s="34"/>
      <c r="F1178" s="35"/>
      <c r="G1178" s="9"/>
      <c r="H1178" s="9"/>
      <c r="I1178" s="34"/>
      <c r="J1178" s="30" t="str">
        <f aca="false">IF(F1178="","",G1178-B1178)</f>
        <v/>
      </c>
      <c r="K1178" s="31" t="str">
        <f aca="false">IF(F1178="","",IF(H1178&lt;&gt;"",H1178,MAX('Vade Sapması'!$D$3,G1178)))</f>
        <v/>
      </c>
      <c r="L1178" s="30" t="str">
        <f aca="false">IF(F1178="","",K1178-B1178)</f>
        <v/>
      </c>
      <c r="M1178" s="30" t="str">
        <f aca="false">IF(F1178="","",L1178-J1178)</f>
        <v/>
      </c>
      <c r="N1178" s="32" t="str">
        <f aca="false">IF(F1178="","",IF(H1178&lt;&gt;"","Kapandı",IF('Vade Sapması'!$D$3&gt;G1178,"Açık · vadesi geçti","Açık · vadesi gelmedi")))</f>
        <v/>
      </c>
      <c r="O1178" s="30" t="str">
        <f aca="false">IF(F1178="","",IF(AND(H1178="",'Vade Sapması'!$D$3&gt;G1178),'Vade Sapması'!$D$3-G1178,0))</f>
        <v/>
      </c>
      <c r="P1178" s="33" t="str">
        <f aca="false">IF(F1178="","",F1178*J1178)</f>
        <v/>
      </c>
      <c r="Q1178" s="33" t="str">
        <f aca="false">IF(F1178="","",F1178*L1178)</f>
        <v/>
      </c>
      <c r="R1178" s="33" t="str">
        <f aca="false">IF(F1178="","",IF(H1178="",F1178,0))</f>
        <v/>
      </c>
      <c r="S1178" s="32" t="str">
        <f aca="false">IF(F1178="","",IF(N(O1178)=0,"",IF(O1178&lt;=30,"1-30",IF(O1178&lt;=60,"31-60",IF(O1178&lt;=90,"61-90","90+")))))</f>
        <v/>
      </c>
      <c r="T1178" s="32" t="str">
        <f aca="false">IF(F1178="","",IF(E1178="","Diğer",E1178))</f>
        <v/>
      </c>
      <c r="U1178" s="32" t="str">
        <f aca="false">IF(OR(F1178="",C1178=""),"",IF(COUNTIF($C$2:C1178,C1178)=1,MAX($U$1:U1177)+1,""))</f>
        <v/>
      </c>
    </row>
    <row r="1179" customFormat="false" ht="15" hidden="false" customHeight="false" outlineLevel="0" collapsed="false">
      <c r="A1179" s="34"/>
      <c r="B1179" s="9"/>
      <c r="C1179" s="34"/>
      <c r="D1179" s="34"/>
      <c r="E1179" s="34"/>
      <c r="F1179" s="35"/>
      <c r="G1179" s="9"/>
      <c r="H1179" s="9"/>
      <c r="I1179" s="34"/>
      <c r="J1179" s="30" t="str">
        <f aca="false">IF(F1179="","",G1179-B1179)</f>
        <v/>
      </c>
      <c r="K1179" s="31" t="str">
        <f aca="false">IF(F1179="","",IF(H1179&lt;&gt;"",H1179,MAX('Vade Sapması'!$D$3,G1179)))</f>
        <v/>
      </c>
      <c r="L1179" s="30" t="str">
        <f aca="false">IF(F1179="","",K1179-B1179)</f>
        <v/>
      </c>
      <c r="M1179" s="30" t="str">
        <f aca="false">IF(F1179="","",L1179-J1179)</f>
        <v/>
      </c>
      <c r="N1179" s="32" t="str">
        <f aca="false">IF(F1179="","",IF(H1179&lt;&gt;"","Kapandı",IF('Vade Sapması'!$D$3&gt;G1179,"Açık · vadesi geçti","Açık · vadesi gelmedi")))</f>
        <v/>
      </c>
      <c r="O1179" s="30" t="str">
        <f aca="false">IF(F1179="","",IF(AND(H1179="",'Vade Sapması'!$D$3&gt;G1179),'Vade Sapması'!$D$3-G1179,0))</f>
        <v/>
      </c>
      <c r="P1179" s="33" t="str">
        <f aca="false">IF(F1179="","",F1179*J1179)</f>
        <v/>
      </c>
      <c r="Q1179" s="33" t="str">
        <f aca="false">IF(F1179="","",F1179*L1179)</f>
        <v/>
      </c>
      <c r="R1179" s="33" t="str">
        <f aca="false">IF(F1179="","",IF(H1179="",F1179,0))</f>
        <v/>
      </c>
      <c r="S1179" s="32" t="str">
        <f aca="false">IF(F1179="","",IF(N(O1179)=0,"",IF(O1179&lt;=30,"1-30",IF(O1179&lt;=60,"31-60",IF(O1179&lt;=90,"61-90","90+")))))</f>
        <v/>
      </c>
      <c r="T1179" s="32" t="str">
        <f aca="false">IF(F1179="","",IF(E1179="","Diğer",E1179))</f>
        <v/>
      </c>
      <c r="U1179" s="32" t="str">
        <f aca="false">IF(OR(F1179="",C1179=""),"",IF(COUNTIF($C$2:C1179,C1179)=1,MAX($U$1:U1178)+1,""))</f>
        <v/>
      </c>
    </row>
    <row r="1180" customFormat="false" ht="15" hidden="false" customHeight="false" outlineLevel="0" collapsed="false">
      <c r="A1180" s="34"/>
      <c r="B1180" s="9"/>
      <c r="C1180" s="34"/>
      <c r="D1180" s="34"/>
      <c r="E1180" s="34"/>
      <c r="F1180" s="35"/>
      <c r="G1180" s="9"/>
      <c r="H1180" s="9"/>
      <c r="I1180" s="34"/>
      <c r="J1180" s="30" t="str">
        <f aca="false">IF(F1180="","",G1180-B1180)</f>
        <v/>
      </c>
      <c r="K1180" s="31" t="str">
        <f aca="false">IF(F1180="","",IF(H1180&lt;&gt;"",H1180,MAX('Vade Sapması'!$D$3,G1180)))</f>
        <v/>
      </c>
      <c r="L1180" s="30" t="str">
        <f aca="false">IF(F1180="","",K1180-B1180)</f>
        <v/>
      </c>
      <c r="M1180" s="30" t="str">
        <f aca="false">IF(F1180="","",L1180-J1180)</f>
        <v/>
      </c>
      <c r="N1180" s="32" t="str">
        <f aca="false">IF(F1180="","",IF(H1180&lt;&gt;"","Kapandı",IF('Vade Sapması'!$D$3&gt;G1180,"Açık · vadesi geçti","Açık · vadesi gelmedi")))</f>
        <v/>
      </c>
      <c r="O1180" s="30" t="str">
        <f aca="false">IF(F1180="","",IF(AND(H1180="",'Vade Sapması'!$D$3&gt;G1180),'Vade Sapması'!$D$3-G1180,0))</f>
        <v/>
      </c>
      <c r="P1180" s="33" t="str">
        <f aca="false">IF(F1180="","",F1180*J1180)</f>
        <v/>
      </c>
      <c r="Q1180" s="33" t="str">
        <f aca="false">IF(F1180="","",F1180*L1180)</f>
        <v/>
      </c>
      <c r="R1180" s="33" t="str">
        <f aca="false">IF(F1180="","",IF(H1180="",F1180,0))</f>
        <v/>
      </c>
      <c r="S1180" s="32" t="str">
        <f aca="false">IF(F1180="","",IF(N(O1180)=0,"",IF(O1180&lt;=30,"1-30",IF(O1180&lt;=60,"31-60",IF(O1180&lt;=90,"61-90","90+")))))</f>
        <v/>
      </c>
      <c r="T1180" s="32" t="str">
        <f aca="false">IF(F1180="","",IF(E1180="","Diğer",E1180))</f>
        <v/>
      </c>
      <c r="U1180" s="32" t="str">
        <f aca="false">IF(OR(F1180="",C1180=""),"",IF(COUNTIF($C$2:C1180,C1180)=1,MAX($U$1:U1179)+1,""))</f>
        <v/>
      </c>
    </row>
    <row r="1181" customFormat="false" ht="15" hidden="false" customHeight="false" outlineLevel="0" collapsed="false">
      <c r="A1181" s="34"/>
      <c r="B1181" s="9"/>
      <c r="C1181" s="34"/>
      <c r="D1181" s="34"/>
      <c r="E1181" s="34"/>
      <c r="F1181" s="35"/>
      <c r="G1181" s="9"/>
      <c r="H1181" s="9"/>
      <c r="I1181" s="34"/>
      <c r="J1181" s="30" t="str">
        <f aca="false">IF(F1181="","",G1181-B1181)</f>
        <v/>
      </c>
      <c r="K1181" s="31" t="str">
        <f aca="false">IF(F1181="","",IF(H1181&lt;&gt;"",H1181,MAX('Vade Sapması'!$D$3,G1181)))</f>
        <v/>
      </c>
      <c r="L1181" s="30" t="str">
        <f aca="false">IF(F1181="","",K1181-B1181)</f>
        <v/>
      </c>
      <c r="M1181" s="30" t="str">
        <f aca="false">IF(F1181="","",L1181-J1181)</f>
        <v/>
      </c>
      <c r="N1181" s="32" t="str">
        <f aca="false">IF(F1181="","",IF(H1181&lt;&gt;"","Kapandı",IF('Vade Sapması'!$D$3&gt;G1181,"Açık · vadesi geçti","Açık · vadesi gelmedi")))</f>
        <v/>
      </c>
      <c r="O1181" s="30" t="str">
        <f aca="false">IF(F1181="","",IF(AND(H1181="",'Vade Sapması'!$D$3&gt;G1181),'Vade Sapması'!$D$3-G1181,0))</f>
        <v/>
      </c>
      <c r="P1181" s="33" t="str">
        <f aca="false">IF(F1181="","",F1181*J1181)</f>
        <v/>
      </c>
      <c r="Q1181" s="33" t="str">
        <f aca="false">IF(F1181="","",F1181*L1181)</f>
        <v/>
      </c>
      <c r="R1181" s="33" t="str">
        <f aca="false">IF(F1181="","",IF(H1181="",F1181,0))</f>
        <v/>
      </c>
      <c r="S1181" s="32" t="str">
        <f aca="false">IF(F1181="","",IF(N(O1181)=0,"",IF(O1181&lt;=30,"1-30",IF(O1181&lt;=60,"31-60",IF(O1181&lt;=90,"61-90","90+")))))</f>
        <v/>
      </c>
      <c r="T1181" s="32" t="str">
        <f aca="false">IF(F1181="","",IF(E1181="","Diğer",E1181))</f>
        <v/>
      </c>
      <c r="U1181" s="32" t="str">
        <f aca="false">IF(OR(F1181="",C1181=""),"",IF(COUNTIF($C$2:C1181,C1181)=1,MAX($U$1:U1180)+1,""))</f>
        <v/>
      </c>
    </row>
    <row r="1182" customFormat="false" ht="15" hidden="false" customHeight="false" outlineLevel="0" collapsed="false">
      <c r="A1182" s="34"/>
      <c r="B1182" s="9"/>
      <c r="C1182" s="34"/>
      <c r="D1182" s="34"/>
      <c r="E1182" s="34"/>
      <c r="F1182" s="35"/>
      <c r="G1182" s="9"/>
      <c r="H1182" s="9"/>
      <c r="I1182" s="34"/>
      <c r="J1182" s="30" t="str">
        <f aca="false">IF(F1182="","",G1182-B1182)</f>
        <v/>
      </c>
      <c r="K1182" s="31" t="str">
        <f aca="false">IF(F1182="","",IF(H1182&lt;&gt;"",H1182,MAX('Vade Sapması'!$D$3,G1182)))</f>
        <v/>
      </c>
      <c r="L1182" s="30" t="str">
        <f aca="false">IF(F1182="","",K1182-B1182)</f>
        <v/>
      </c>
      <c r="M1182" s="30" t="str">
        <f aca="false">IF(F1182="","",L1182-J1182)</f>
        <v/>
      </c>
      <c r="N1182" s="32" t="str">
        <f aca="false">IF(F1182="","",IF(H1182&lt;&gt;"","Kapandı",IF('Vade Sapması'!$D$3&gt;G1182,"Açık · vadesi geçti","Açık · vadesi gelmedi")))</f>
        <v/>
      </c>
      <c r="O1182" s="30" t="str">
        <f aca="false">IF(F1182="","",IF(AND(H1182="",'Vade Sapması'!$D$3&gt;G1182),'Vade Sapması'!$D$3-G1182,0))</f>
        <v/>
      </c>
      <c r="P1182" s="33" t="str">
        <f aca="false">IF(F1182="","",F1182*J1182)</f>
        <v/>
      </c>
      <c r="Q1182" s="33" t="str">
        <f aca="false">IF(F1182="","",F1182*L1182)</f>
        <v/>
      </c>
      <c r="R1182" s="33" t="str">
        <f aca="false">IF(F1182="","",IF(H1182="",F1182,0))</f>
        <v/>
      </c>
      <c r="S1182" s="32" t="str">
        <f aca="false">IF(F1182="","",IF(N(O1182)=0,"",IF(O1182&lt;=30,"1-30",IF(O1182&lt;=60,"31-60",IF(O1182&lt;=90,"61-90","90+")))))</f>
        <v/>
      </c>
      <c r="T1182" s="32" t="str">
        <f aca="false">IF(F1182="","",IF(E1182="","Diğer",E1182))</f>
        <v/>
      </c>
      <c r="U1182" s="32" t="str">
        <f aca="false">IF(OR(F1182="",C1182=""),"",IF(COUNTIF($C$2:C1182,C1182)=1,MAX($U$1:U1181)+1,""))</f>
        <v/>
      </c>
    </row>
    <row r="1183" customFormat="false" ht="15" hidden="false" customHeight="false" outlineLevel="0" collapsed="false">
      <c r="A1183" s="34"/>
      <c r="B1183" s="9"/>
      <c r="C1183" s="34"/>
      <c r="D1183" s="34"/>
      <c r="E1183" s="34"/>
      <c r="F1183" s="35"/>
      <c r="G1183" s="9"/>
      <c r="H1183" s="9"/>
      <c r="I1183" s="34"/>
      <c r="J1183" s="30" t="str">
        <f aca="false">IF(F1183="","",G1183-B1183)</f>
        <v/>
      </c>
      <c r="K1183" s="31" t="str">
        <f aca="false">IF(F1183="","",IF(H1183&lt;&gt;"",H1183,MAX('Vade Sapması'!$D$3,G1183)))</f>
        <v/>
      </c>
      <c r="L1183" s="30" t="str">
        <f aca="false">IF(F1183="","",K1183-B1183)</f>
        <v/>
      </c>
      <c r="M1183" s="30" t="str">
        <f aca="false">IF(F1183="","",L1183-J1183)</f>
        <v/>
      </c>
      <c r="N1183" s="32" t="str">
        <f aca="false">IF(F1183="","",IF(H1183&lt;&gt;"","Kapandı",IF('Vade Sapması'!$D$3&gt;G1183,"Açık · vadesi geçti","Açık · vadesi gelmedi")))</f>
        <v/>
      </c>
      <c r="O1183" s="30" t="str">
        <f aca="false">IF(F1183="","",IF(AND(H1183="",'Vade Sapması'!$D$3&gt;G1183),'Vade Sapması'!$D$3-G1183,0))</f>
        <v/>
      </c>
      <c r="P1183" s="33" t="str">
        <f aca="false">IF(F1183="","",F1183*J1183)</f>
        <v/>
      </c>
      <c r="Q1183" s="33" t="str">
        <f aca="false">IF(F1183="","",F1183*L1183)</f>
        <v/>
      </c>
      <c r="R1183" s="33" t="str">
        <f aca="false">IF(F1183="","",IF(H1183="",F1183,0))</f>
        <v/>
      </c>
      <c r="S1183" s="32" t="str">
        <f aca="false">IF(F1183="","",IF(N(O1183)=0,"",IF(O1183&lt;=30,"1-30",IF(O1183&lt;=60,"31-60",IF(O1183&lt;=90,"61-90","90+")))))</f>
        <v/>
      </c>
      <c r="T1183" s="32" t="str">
        <f aca="false">IF(F1183="","",IF(E1183="","Diğer",E1183))</f>
        <v/>
      </c>
      <c r="U1183" s="32" t="str">
        <f aca="false">IF(OR(F1183="",C1183=""),"",IF(COUNTIF($C$2:C1183,C1183)=1,MAX($U$1:U1182)+1,""))</f>
        <v/>
      </c>
    </row>
    <row r="1184" customFormat="false" ht="15" hidden="false" customHeight="false" outlineLevel="0" collapsed="false">
      <c r="A1184" s="34"/>
      <c r="B1184" s="9"/>
      <c r="C1184" s="34"/>
      <c r="D1184" s="34"/>
      <c r="E1184" s="34"/>
      <c r="F1184" s="35"/>
      <c r="G1184" s="9"/>
      <c r="H1184" s="9"/>
      <c r="I1184" s="34"/>
      <c r="J1184" s="30" t="str">
        <f aca="false">IF(F1184="","",G1184-B1184)</f>
        <v/>
      </c>
      <c r="K1184" s="31" t="str">
        <f aca="false">IF(F1184="","",IF(H1184&lt;&gt;"",H1184,MAX('Vade Sapması'!$D$3,G1184)))</f>
        <v/>
      </c>
      <c r="L1184" s="30" t="str">
        <f aca="false">IF(F1184="","",K1184-B1184)</f>
        <v/>
      </c>
      <c r="M1184" s="30" t="str">
        <f aca="false">IF(F1184="","",L1184-J1184)</f>
        <v/>
      </c>
      <c r="N1184" s="32" t="str">
        <f aca="false">IF(F1184="","",IF(H1184&lt;&gt;"","Kapandı",IF('Vade Sapması'!$D$3&gt;G1184,"Açık · vadesi geçti","Açık · vadesi gelmedi")))</f>
        <v/>
      </c>
      <c r="O1184" s="30" t="str">
        <f aca="false">IF(F1184="","",IF(AND(H1184="",'Vade Sapması'!$D$3&gt;G1184),'Vade Sapması'!$D$3-G1184,0))</f>
        <v/>
      </c>
      <c r="P1184" s="33" t="str">
        <f aca="false">IF(F1184="","",F1184*J1184)</f>
        <v/>
      </c>
      <c r="Q1184" s="33" t="str">
        <f aca="false">IF(F1184="","",F1184*L1184)</f>
        <v/>
      </c>
      <c r="R1184" s="33" t="str">
        <f aca="false">IF(F1184="","",IF(H1184="",F1184,0))</f>
        <v/>
      </c>
      <c r="S1184" s="32" t="str">
        <f aca="false">IF(F1184="","",IF(N(O1184)=0,"",IF(O1184&lt;=30,"1-30",IF(O1184&lt;=60,"31-60",IF(O1184&lt;=90,"61-90","90+")))))</f>
        <v/>
      </c>
      <c r="T1184" s="32" t="str">
        <f aca="false">IF(F1184="","",IF(E1184="","Diğer",E1184))</f>
        <v/>
      </c>
      <c r="U1184" s="32" t="str">
        <f aca="false">IF(OR(F1184="",C1184=""),"",IF(COUNTIF($C$2:C1184,C1184)=1,MAX($U$1:U1183)+1,""))</f>
        <v/>
      </c>
    </row>
    <row r="1185" customFormat="false" ht="15" hidden="false" customHeight="false" outlineLevel="0" collapsed="false">
      <c r="A1185" s="34"/>
      <c r="B1185" s="9"/>
      <c r="C1185" s="34"/>
      <c r="D1185" s="34"/>
      <c r="E1185" s="34"/>
      <c r="F1185" s="35"/>
      <c r="G1185" s="9"/>
      <c r="H1185" s="9"/>
      <c r="I1185" s="34"/>
      <c r="J1185" s="30" t="str">
        <f aca="false">IF(F1185="","",G1185-B1185)</f>
        <v/>
      </c>
      <c r="K1185" s="31" t="str">
        <f aca="false">IF(F1185="","",IF(H1185&lt;&gt;"",H1185,MAX('Vade Sapması'!$D$3,G1185)))</f>
        <v/>
      </c>
      <c r="L1185" s="30" t="str">
        <f aca="false">IF(F1185="","",K1185-B1185)</f>
        <v/>
      </c>
      <c r="M1185" s="30" t="str">
        <f aca="false">IF(F1185="","",L1185-J1185)</f>
        <v/>
      </c>
      <c r="N1185" s="32" t="str">
        <f aca="false">IF(F1185="","",IF(H1185&lt;&gt;"","Kapandı",IF('Vade Sapması'!$D$3&gt;G1185,"Açık · vadesi geçti","Açık · vadesi gelmedi")))</f>
        <v/>
      </c>
      <c r="O1185" s="30" t="str">
        <f aca="false">IF(F1185="","",IF(AND(H1185="",'Vade Sapması'!$D$3&gt;G1185),'Vade Sapması'!$D$3-G1185,0))</f>
        <v/>
      </c>
      <c r="P1185" s="33" t="str">
        <f aca="false">IF(F1185="","",F1185*J1185)</f>
        <v/>
      </c>
      <c r="Q1185" s="33" t="str">
        <f aca="false">IF(F1185="","",F1185*L1185)</f>
        <v/>
      </c>
      <c r="R1185" s="33" t="str">
        <f aca="false">IF(F1185="","",IF(H1185="",F1185,0))</f>
        <v/>
      </c>
      <c r="S1185" s="32" t="str">
        <f aca="false">IF(F1185="","",IF(N(O1185)=0,"",IF(O1185&lt;=30,"1-30",IF(O1185&lt;=60,"31-60",IF(O1185&lt;=90,"61-90","90+")))))</f>
        <v/>
      </c>
      <c r="T1185" s="32" t="str">
        <f aca="false">IF(F1185="","",IF(E1185="","Diğer",E1185))</f>
        <v/>
      </c>
      <c r="U1185" s="32" t="str">
        <f aca="false">IF(OR(F1185="",C1185=""),"",IF(COUNTIF($C$2:C1185,C1185)=1,MAX($U$1:U1184)+1,""))</f>
        <v/>
      </c>
    </row>
    <row r="1186" customFormat="false" ht="15" hidden="false" customHeight="false" outlineLevel="0" collapsed="false">
      <c r="A1186" s="34"/>
      <c r="B1186" s="9"/>
      <c r="C1186" s="34"/>
      <c r="D1186" s="34"/>
      <c r="E1186" s="34"/>
      <c r="F1186" s="35"/>
      <c r="G1186" s="9"/>
      <c r="H1186" s="9"/>
      <c r="I1186" s="34"/>
      <c r="J1186" s="30" t="str">
        <f aca="false">IF(F1186="","",G1186-B1186)</f>
        <v/>
      </c>
      <c r="K1186" s="31" t="str">
        <f aca="false">IF(F1186="","",IF(H1186&lt;&gt;"",H1186,MAX('Vade Sapması'!$D$3,G1186)))</f>
        <v/>
      </c>
      <c r="L1186" s="30" t="str">
        <f aca="false">IF(F1186="","",K1186-B1186)</f>
        <v/>
      </c>
      <c r="M1186" s="30" t="str">
        <f aca="false">IF(F1186="","",L1186-J1186)</f>
        <v/>
      </c>
      <c r="N1186" s="32" t="str">
        <f aca="false">IF(F1186="","",IF(H1186&lt;&gt;"","Kapandı",IF('Vade Sapması'!$D$3&gt;G1186,"Açık · vadesi geçti","Açık · vadesi gelmedi")))</f>
        <v/>
      </c>
      <c r="O1186" s="30" t="str">
        <f aca="false">IF(F1186="","",IF(AND(H1186="",'Vade Sapması'!$D$3&gt;G1186),'Vade Sapması'!$D$3-G1186,0))</f>
        <v/>
      </c>
      <c r="P1186" s="33" t="str">
        <f aca="false">IF(F1186="","",F1186*J1186)</f>
        <v/>
      </c>
      <c r="Q1186" s="33" t="str">
        <f aca="false">IF(F1186="","",F1186*L1186)</f>
        <v/>
      </c>
      <c r="R1186" s="33" t="str">
        <f aca="false">IF(F1186="","",IF(H1186="",F1186,0))</f>
        <v/>
      </c>
      <c r="S1186" s="32" t="str">
        <f aca="false">IF(F1186="","",IF(N(O1186)=0,"",IF(O1186&lt;=30,"1-30",IF(O1186&lt;=60,"31-60",IF(O1186&lt;=90,"61-90","90+")))))</f>
        <v/>
      </c>
      <c r="T1186" s="32" t="str">
        <f aca="false">IF(F1186="","",IF(E1186="","Diğer",E1186))</f>
        <v/>
      </c>
      <c r="U1186" s="32" t="str">
        <f aca="false">IF(OR(F1186="",C1186=""),"",IF(COUNTIF($C$2:C1186,C1186)=1,MAX($U$1:U1185)+1,""))</f>
        <v/>
      </c>
    </row>
    <row r="1187" customFormat="false" ht="15" hidden="false" customHeight="false" outlineLevel="0" collapsed="false">
      <c r="A1187" s="34"/>
      <c r="B1187" s="9"/>
      <c r="C1187" s="34"/>
      <c r="D1187" s="34"/>
      <c r="E1187" s="34"/>
      <c r="F1187" s="35"/>
      <c r="G1187" s="9"/>
      <c r="H1187" s="9"/>
      <c r="I1187" s="34"/>
      <c r="J1187" s="30" t="str">
        <f aca="false">IF(F1187="","",G1187-B1187)</f>
        <v/>
      </c>
      <c r="K1187" s="31" t="str">
        <f aca="false">IF(F1187="","",IF(H1187&lt;&gt;"",H1187,MAX('Vade Sapması'!$D$3,G1187)))</f>
        <v/>
      </c>
      <c r="L1187" s="30" t="str">
        <f aca="false">IF(F1187="","",K1187-B1187)</f>
        <v/>
      </c>
      <c r="M1187" s="30" t="str">
        <f aca="false">IF(F1187="","",L1187-J1187)</f>
        <v/>
      </c>
      <c r="N1187" s="32" t="str">
        <f aca="false">IF(F1187="","",IF(H1187&lt;&gt;"","Kapandı",IF('Vade Sapması'!$D$3&gt;G1187,"Açık · vadesi geçti","Açık · vadesi gelmedi")))</f>
        <v/>
      </c>
      <c r="O1187" s="30" t="str">
        <f aca="false">IF(F1187="","",IF(AND(H1187="",'Vade Sapması'!$D$3&gt;G1187),'Vade Sapması'!$D$3-G1187,0))</f>
        <v/>
      </c>
      <c r="P1187" s="33" t="str">
        <f aca="false">IF(F1187="","",F1187*J1187)</f>
        <v/>
      </c>
      <c r="Q1187" s="33" t="str">
        <f aca="false">IF(F1187="","",F1187*L1187)</f>
        <v/>
      </c>
      <c r="R1187" s="33" t="str">
        <f aca="false">IF(F1187="","",IF(H1187="",F1187,0))</f>
        <v/>
      </c>
      <c r="S1187" s="32" t="str">
        <f aca="false">IF(F1187="","",IF(N(O1187)=0,"",IF(O1187&lt;=30,"1-30",IF(O1187&lt;=60,"31-60",IF(O1187&lt;=90,"61-90","90+")))))</f>
        <v/>
      </c>
      <c r="T1187" s="32" t="str">
        <f aca="false">IF(F1187="","",IF(E1187="","Diğer",E1187))</f>
        <v/>
      </c>
      <c r="U1187" s="32" t="str">
        <f aca="false">IF(OR(F1187="",C1187=""),"",IF(COUNTIF($C$2:C1187,C1187)=1,MAX($U$1:U1186)+1,""))</f>
        <v/>
      </c>
    </row>
    <row r="1188" customFormat="false" ht="15" hidden="false" customHeight="false" outlineLevel="0" collapsed="false">
      <c r="A1188" s="34"/>
      <c r="B1188" s="9"/>
      <c r="C1188" s="34"/>
      <c r="D1188" s="34"/>
      <c r="E1188" s="34"/>
      <c r="F1188" s="35"/>
      <c r="G1188" s="9"/>
      <c r="H1188" s="9"/>
      <c r="I1188" s="34"/>
      <c r="J1188" s="30" t="str">
        <f aca="false">IF(F1188="","",G1188-B1188)</f>
        <v/>
      </c>
      <c r="K1188" s="31" t="str">
        <f aca="false">IF(F1188="","",IF(H1188&lt;&gt;"",H1188,MAX('Vade Sapması'!$D$3,G1188)))</f>
        <v/>
      </c>
      <c r="L1188" s="30" t="str">
        <f aca="false">IF(F1188="","",K1188-B1188)</f>
        <v/>
      </c>
      <c r="M1188" s="30" t="str">
        <f aca="false">IF(F1188="","",L1188-J1188)</f>
        <v/>
      </c>
      <c r="N1188" s="32" t="str">
        <f aca="false">IF(F1188="","",IF(H1188&lt;&gt;"","Kapandı",IF('Vade Sapması'!$D$3&gt;G1188,"Açık · vadesi geçti","Açık · vadesi gelmedi")))</f>
        <v/>
      </c>
      <c r="O1188" s="30" t="str">
        <f aca="false">IF(F1188="","",IF(AND(H1188="",'Vade Sapması'!$D$3&gt;G1188),'Vade Sapması'!$D$3-G1188,0))</f>
        <v/>
      </c>
      <c r="P1188" s="33" t="str">
        <f aca="false">IF(F1188="","",F1188*J1188)</f>
        <v/>
      </c>
      <c r="Q1188" s="33" t="str">
        <f aca="false">IF(F1188="","",F1188*L1188)</f>
        <v/>
      </c>
      <c r="R1188" s="33" t="str">
        <f aca="false">IF(F1188="","",IF(H1188="",F1188,0))</f>
        <v/>
      </c>
      <c r="S1188" s="32" t="str">
        <f aca="false">IF(F1188="","",IF(N(O1188)=0,"",IF(O1188&lt;=30,"1-30",IF(O1188&lt;=60,"31-60",IF(O1188&lt;=90,"61-90","90+")))))</f>
        <v/>
      </c>
      <c r="T1188" s="32" t="str">
        <f aca="false">IF(F1188="","",IF(E1188="","Diğer",E1188))</f>
        <v/>
      </c>
      <c r="U1188" s="32" t="str">
        <f aca="false">IF(OR(F1188="",C1188=""),"",IF(COUNTIF($C$2:C1188,C1188)=1,MAX($U$1:U1187)+1,""))</f>
        <v/>
      </c>
    </row>
    <row r="1189" customFormat="false" ht="15" hidden="false" customHeight="false" outlineLevel="0" collapsed="false">
      <c r="A1189" s="34"/>
      <c r="B1189" s="9"/>
      <c r="C1189" s="34"/>
      <c r="D1189" s="34"/>
      <c r="E1189" s="34"/>
      <c r="F1189" s="35"/>
      <c r="G1189" s="9"/>
      <c r="H1189" s="9"/>
      <c r="I1189" s="34"/>
      <c r="J1189" s="30" t="str">
        <f aca="false">IF(F1189="","",G1189-B1189)</f>
        <v/>
      </c>
      <c r="K1189" s="31" t="str">
        <f aca="false">IF(F1189="","",IF(H1189&lt;&gt;"",H1189,MAX('Vade Sapması'!$D$3,G1189)))</f>
        <v/>
      </c>
      <c r="L1189" s="30" t="str">
        <f aca="false">IF(F1189="","",K1189-B1189)</f>
        <v/>
      </c>
      <c r="M1189" s="30" t="str">
        <f aca="false">IF(F1189="","",L1189-J1189)</f>
        <v/>
      </c>
      <c r="N1189" s="32" t="str">
        <f aca="false">IF(F1189="","",IF(H1189&lt;&gt;"","Kapandı",IF('Vade Sapması'!$D$3&gt;G1189,"Açık · vadesi geçti","Açık · vadesi gelmedi")))</f>
        <v/>
      </c>
      <c r="O1189" s="30" t="str">
        <f aca="false">IF(F1189="","",IF(AND(H1189="",'Vade Sapması'!$D$3&gt;G1189),'Vade Sapması'!$D$3-G1189,0))</f>
        <v/>
      </c>
      <c r="P1189" s="33" t="str">
        <f aca="false">IF(F1189="","",F1189*J1189)</f>
        <v/>
      </c>
      <c r="Q1189" s="33" t="str">
        <f aca="false">IF(F1189="","",F1189*L1189)</f>
        <v/>
      </c>
      <c r="R1189" s="33" t="str">
        <f aca="false">IF(F1189="","",IF(H1189="",F1189,0))</f>
        <v/>
      </c>
      <c r="S1189" s="32" t="str">
        <f aca="false">IF(F1189="","",IF(N(O1189)=0,"",IF(O1189&lt;=30,"1-30",IF(O1189&lt;=60,"31-60",IF(O1189&lt;=90,"61-90","90+")))))</f>
        <v/>
      </c>
      <c r="T1189" s="32" t="str">
        <f aca="false">IF(F1189="","",IF(E1189="","Diğer",E1189))</f>
        <v/>
      </c>
      <c r="U1189" s="32" t="str">
        <f aca="false">IF(OR(F1189="",C1189=""),"",IF(COUNTIF($C$2:C1189,C1189)=1,MAX($U$1:U1188)+1,""))</f>
        <v/>
      </c>
    </row>
    <row r="1190" customFormat="false" ht="15" hidden="false" customHeight="false" outlineLevel="0" collapsed="false">
      <c r="A1190" s="34"/>
      <c r="B1190" s="9"/>
      <c r="C1190" s="34"/>
      <c r="D1190" s="34"/>
      <c r="E1190" s="34"/>
      <c r="F1190" s="35"/>
      <c r="G1190" s="9"/>
      <c r="H1190" s="9"/>
      <c r="I1190" s="34"/>
      <c r="J1190" s="30" t="str">
        <f aca="false">IF(F1190="","",G1190-B1190)</f>
        <v/>
      </c>
      <c r="K1190" s="31" t="str">
        <f aca="false">IF(F1190="","",IF(H1190&lt;&gt;"",H1190,MAX('Vade Sapması'!$D$3,G1190)))</f>
        <v/>
      </c>
      <c r="L1190" s="30" t="str">
        <f aca="false">IF(F1190="","",K1190-B1190)</f>
        <v/>
      </c>
      <c r="M1190" s="30" t="str">
        <f aca="false">IF(F1190="","",L1190-J1190)</f>
        <v/>
      </c>
      <c r="N1190" s="32" t="str">
        <f aca="false">IF(F1190="","",IF(H1190&lt;&gt;"","Kapandı",IF('Vade Sapması'!$D$3&gt;G1190,"Açık · vadesi geçti","Açık · vadesi gelmedi")))</f>
        <v/>
      </c>
      <c r="O1190" s="30" t="str">
        <f aca="false">IF(F1190="","",IF(AND(H1190="",'Vade Sapması'!$D$3&gt;G1190),'Vade Sapması'!$D$3-G1190,0))</f>
        <v/>
      </c>
      <c r="P1190" s="33" t="str">
        <f aca="false">IF(F1190="","",F1190*J1190)</f>
        <v/>
      </c>
      <c r="Q1190" s="33" t="str">
        <f aca="false">IF(F1190="","",F1190*L1190)</f>
        <v/>
      </c>
      <c r="R1190" s="33" t="str">
        <f aca="false">IF(F1190="","",IF(H1190="",F1190,0))</f>
        <v/>
      </c>
      <c r="S1190" s="32" t="str">
        <f aca="false">IF(F1190="","",IF(N(O1190)=0,"",IF(O1190&lt;=30,"1-30",IF(O1190&lt;=60,"31-60",IF(O1190&lt;=90,"61-90","90+")))))</f>
        <v/>
      </c>
      <c r="T1190" s="32" t="str">
        <f aca="false">IF(F1190="","",IF(E1190="","Diğer",E1190))</f>
        <v/>
      </c>
      <c r="U1190" s="32" t="str">
        <f aca="false">IF(OR(F1190="",C1190=""),"",IF(COUNTIF($C$2:C1190,C1190)=1,MAX($U$1:U1189)+1,""))</f>
        <v/>
      </c>
    </row>
    <row r="1191" customFormat="false" ht="15" hidden="false" customHeight="false" outlineLevel="0" collapsed="false">
      <c r="A1191" s="34"/>
      <c r="B1191" s="9"/>
      <c r="C1191" s="34"/>
      <c r="D1191" s="34"/>
      <c r="E1191" s="34"/>
      <c r="F1191" s="35"/>
      <c r="G1191" s="9"/>
      <c r="H1191" s="9"/>
      <c r="I1191" s="34"/>
      <c r="J1191" s="30" t="str">
        <f aca="false">IF(F1191="","",G1191-B1191)</f>
        <v/>
      </c>
      <c r="K1191" s="31" t="str">
        <f aca="false">IF(F1191="","",IF(H1191&lt;&gt;"",H1191,MAX('Vade Sapması'!$D$3,G1191)))</f>
        <v/>
      </c>
      <c r="L1191" s="30" t="str">
        <f aca="false">IF(F1191="","",K1191-B1191)</f>
        <v/>
      </c>
      <c r="M1191" s="30" t="str">
        <f aca="false">IF(F1191="","",L1191-J1191)</f>
        <v/>
      </c>
      <c r="N1191" s="32" t="str">
        <f aca="false">IF(F1191="","",IF(H1191&lt;&gt;"","Kapandı",IF('Vade Sapması'!$D$3&gt;G1191,"Açık · vadesi geçti","Açık · vadesi gelmedi")))</f>
        <v/>
      </c>
      <c r="O1191" s="30" t="str">
        <f aca="false">IF(F1191="","",IF(AND(H1191="",'Vade Sapması'!$D$3&gt;G1191),'Vade Sapması'!$D$3-G1191,0))</f>
        <v/>
      </c>
      <c r="P1191" s="33" t="str">
        <f aca="false">IF(F1191="","",F1191*J1191)</f>
        <v/>
      </c>
      <c r="Q1191" s="33" t="str">
        <f aca="false">IF(F1191="","",F1191*L1191)</f>
        <v/>
      </c>
      <c r="R1191" s="33" t="str">
        <f aca="false">IF(F1191="","",IF(H1191="",F1191,0))</f>
        <v/>
      </c>
      <c r="S1191" s="32" t="str">
        <f aca="false">IF(F1191="","",IF(N(O1191)=0,"",IF(O1191&lt;=30,"1-30",IF(O1191&lt;=60,"31-60",IF(O1191&lt;=90,"61-90","90+")))))</f>
        <v/>
      </c>
      <c r="T1191" s="32" t="str">
        <f aca="false">IF(F1191="","",IF(E1191="","Diğer",E1191))</f>
        <v/>
      </c>
      <c r="U1191" s="32" t="str">
        <f aca="false">IF(OR(F1191="",C1191=""),"",IF(COUNTIF($C$2:C1191,C1191)=1,MAX($U$1:U1190)+1,""))</f>
        <v/>
      </c>
    </row>
    <row r="1192" customFormat="false" ht="15" hidden="false" customHeight="false" outlineLevel="0" collapsed="false">
      <c r="A1192" s="34"/>
      <c r="B1192" s="9"/>
      <c r="C1192" s="34"/>
      <c r="D1192" s="34"/>
      <c r="E1192" s="34"/>
      <c r="F1192" s="35"/>
      <c r="G1192" s="9"/>
      <c r="H1192" s="9"/>
      <c r="I1192" s="34"/>
      <c r="J1192" s="30" t="str">
        <f aca="false">IF(F1192="","",G1192-B1192)</f>
        <v/>
      </c>
      <c r="K1192" s="31" t="str">
        <f aca="false">IF(F1192="","",IF(H1192&lt;&gt;"",H1192,MAX('Vade Sapması'!$D$3,G1192)))</f>
        <v/>
      </c>
      <c r="L1192" s="30" t="str">
        <f aca="false">IF(F1192="","",K1192-B1192)</f>
        <v/>
      </c>
      <c r="M1192" s="30" t="str">
        <f aca="false">IF(F1192="","",L1192-J1192)</f>
        <v/>
      </c>
      <c r="N1192" s="32" t="str">
        <f aca="false">IF(F1192="","",IF(H1192&lt;&gt;"","Kapandı",IF('Vade Sapması'!$D$3&gt;G1192,"Açık · vadesi geçti","Açık · vadesi gelmedi")))</f>
        <v/>
      </c>
      <c r="O1192" s="30" t="str">
        <f aca="false">IF(F1192="","",IF(AND(H1192="",'Vade Sapması'!$D$3&gt;G1192),'Vade Sapması'!$D$3-G1192,0))</f>
        <v/>
      </c>
      <c r="P1192" s="33" t="str">
        <f aca="false">IF(F1192="","",F1192*J1192)</f>
        <v/>
      </c>
      <c r="Q1192" s="33" t="str">
        <f aca="false">IF(F1192="","",F1192*L1192)</f>
        <v/>
      </c>
      <c r="R1192" s="33" t="str">
        <f aca="false">IF(F1192="","",IF(H1192="",F1192,0))</f>
        <v/>
      </c>
      <c r="S1192" s="32" t="str">
        <f aca="false">IF(F1192="","",IF(N(O1192)=0,"",IF(O1192&lt;=30,"1-30",IF(O1192&lt;=60,"31-60",IF(O1192&lt;=90,"61-90","90+")))))</f>
        <v/>
      </c>
      <c r="T1192" s="32" t="str">
        <f aca="false">IF(F1192="","",IF(E1192="","Diğer",E1192))</f>
        <v/>
      </c>
      <c r="U1192" s="32" t="str">
        <f aca="false">IF(OR(F1192="",C1192=""),"",IF(COUNTIF($C$2:C1192,C1192)=1,MAX($U$1:U1191)+1,""))</f>
        <v/>
      </c>
    </row>
    <row r="1193" customFormat="false" ht="15" hidden="false" customHeight="false" outlineLevel="0" collapsed="false">
      <c r="A1193" s="34"/>
      <c r="B1193" s="9"/>
      <c r="C1193" s="34"/>
      <c r="D1193" s="34"/>
      <c r="E1193" s="34"/>
      <c r="F1193" s="35"/>
      <c r="G1193" s="9"/>
      <c r="H1193" s="9"/>
      <c r="I1193" s="34"/>
      <c r="J1193" s="30" t="str">
        <f aca="false">IF(F1193="","",G1193-B1193)</f>
        <v/>
      </c>
      <c r="K1193" s="31" t="str">
        <f aca="false">IF(F1193="","",IF(H1193&lt;&gt;"",H1193,MAX('Vade Sapması'!$D$3,G1193)))</f>
        <v/>
      </c>
      <c r="L1193" s="30" t="str">
        <f aca="false">IF(F1193="","",K1193-B1193)</f>
        <v/>
      </c>
      <c r="M1193" s="30" t="str">
        <f aca="false">IF(F1193="","",L1193-J1193)</f>
        <v/>
      </c>
      <c r="N1193" s="32" t="str">
        <f aca="false">IF(F1193="","",IF(H1193&lt;&gt;"","Kapandı",IF('Vade Sapması'!$D$3&gt;G1193,"Açık · vadesi geçti","Açık · vadesi gelmedi")))</f>
        <v/>
      </c>
      <c r="O1193" s="30" t="str">
        <f aca="false">IF(F1193="","",IF(AND(H1193="",'Vade Sapması'!$D$3&gt;G1193),'Vade Sapması'!$D$3-G1193,0))</f>
        <v/>
      </c>
      <c r="P1193" s="33" t="str">
        <f aca="false">IF(F1193="","",F1193*J1193)</f>
        <v/>
      </c>
      <c r="Q1193" s="33" t="str">
        <f aca="false">IF(F1193="","",F1193*L1193)</f>
        <v/>
      </c>
      <c r="R1193" s="33" t="str">
        <f aca="false">IF(F1193="","",IF(H1193="",F1193,0))</f>
        <v/>
      </c>
      <c r="S1193" s="32" t="str">
        <f aca="false">IF(F1193="","",IF(N(O1193)=0,"",IF(O1193&lt;=30,"1-30",IF(O1193&lt;=60,"31-60",IF(O1193&lt;=90,"61-90","90+")))))</f>
        <v/>
      </c>
      <c r="T1193" s="32" t="str">
        <f aca="false">IF(F1193="","",IF(E1193="","Diğer",E1193))</f>
        <v/>
      </c>
      <c r="U1193" s="32" t="str">
        <f aca="false">IF(OR(F1193="",C1193=""),"",IF(COUNTIF($C$2:C1193,C1193)=1,MAX($U$1:U1192)+1,""))</f>
        <v/>
      </c>
    </row>
    <row r="1194" customFormat="false" ht="15" hidden="false" customHeight="false" outlineLevel="0" collapsed="false">
      <c r="A1194" s="34"/>
      <c r="B1194" s="9"/>
      <c r="C1194" s="34"/>
      <c r="D1194" s="34"/>
      <c r="E1194" s="34"/>
      <c r="F1194" s="35"/>
      <c r="G1194" s="9"/>
      <c r="H1194" s="9"/>
      <c r="I1194" s="34"/>
      <c r="J1194" s="30" t="str">
        <f aca="false">IF(F1194="","",G1194-B1194)</f>
        <v/>
      </c>
      <c r="K1194" s="31" t="str">
        <f aca="false">IF(F1194="","",IF(H1194&lt;&gt;"",H1194,MAX('Vade Sapması'!$D$3,G1194)))</f>
        <v/>
      </c>
      <c r="L1194" s="30" t="str">
        <f aca="false">IF(F1194="","",K1194-B1194)</f>
        <v/>
      </c>
      <c r="M1194" s="30" t="str">
        <f aca="false">IF(F1194="","",L1194-J1194)</f>
        <v/>
      </c>
      <c r="N1194" s="32" t="str">
        <f aca="false">IF(F1194="","",IF(H1194&lt;&gt;"","Kapandı",IF('Vade Sapması'!$D$3&gt;G1194,"Açık · vadesi geçti","Açık · vadesi gelmedi")))</f>
        <v/>
      </c>
      <c r="O1194" s="30" t="str">
        <f aca="false">IF(F1194="","",IF(AND(H1194="",'Vade Sapması'!$D$3&gt;G1194),'Vade Sapması'!$D$3-G1194,0))</f>
        <v/>
      </c>
      <c r="P1194" s="33" t="str">
        <f aca="false">IF(F1194="","",F1194*J1194)</f>
        <v/>
      </c>
      <c r="Q1194" s="33" t="str">
        <f aca="false">IF(F1194="","",F1194*L1194)</f>
        <v/>
      </c>
      <c r="R1194" s="33" t="str">
        <f aca="false">IF(F1194="","",IF(H1194="",F1194,0))</f>
        <v/>
      </c>
      <c r="S1194" s="32" t="str">
        <f aca="false">IF(F1194="","",IF(N(O1194)=0,"",IF(O1194&lt;=30,"1-30",IF(O1194&lt;=60,"31-60",IF(O1194&lt;=90,"61-90","90+")))))</f>
        <v/>
      </c>
      <c r="T1194" s="32" t="str">
        <f aca="false">IF(F1194="","",IF(E1194="","Diğer",E1194))</f>
        <v/>
      </c>
      <c r="U1194" s="32" t="str">
        <f aca="false">IF(OR(F1194="",C1194=""),"",IF(COUNTIF($C$2:C1194,C1194)=1,MAX($U$1:U1193)+1,""))</f>
        <v/>
      </c>
    </row>
    <row r="1195" customFormat="false" ht="15" hidden="false" customHeight="false" outlineLevel="0" collapsed="false">
      <c r="A1195" s="34"/>
      <c r="B1195" s="9"/>
      <c r="C1195" s="34"/>
      <c r="D1195" s="34"/>
      <c r="E1195" s="34"/>
      <c r="F1195" s="35"/>
      <c r="G1195" s="9"/>
      <c r="H1195" s="9"/>
      <c r="I1195" s="34"/>
      <c r="J1195" s="30" t="str">
        <f aca="false">IF(F1195="","",G1195-B1195)</f>
        <v/>
      </c>
      <c r="K1195" s="31" t="str">
        <f aca="false">IF(F1195="","",IF(H1195&lt;&gt;"",H1195,MAX('Vade Sapması'!$D$3,G1195)))</f>
        <v/>
      </c>
      <c r="L1195" s="30" t="str">
        <f aca="false">IF(F1195="","",K1195-B1195)</f>
        <v/>
      </c>
      <c r="M1195" s="30" t="str">
        <f aca="false">IF(F1195="","",L1195-J1195)</f>
        <v/>
      </c>
      <c r="N1195" s="32" t="str">
        <f aca="false">IF(F1195="","",IF(H1195&lt;&gt;"","Kapandı",IF('Vade Sapması'!$D$3&gt;G1195,"Açık · vadesi geçti","Açık · vadesi gelmedi")))</f>
        <v/>
      </c>
      <c r="O1195" s="30" t="str">
        <f aca="false">IF(F1195="","",IF(AND(H1195="",'Vade Sapması'!$D$3&gt;G1195),'Vade Sapması'!$D$3-G1195,0))</f>
        <v/>
      </c>
      <c r="P1195" s="33" t="str">
        <f aca="false">IF(F1195="","",F1195*J1195)</f>
        <v/>
      </c>
      <c r="Q1195" s="33" t="str">
        <f aca="false">IF(F1195="","",F1195*L1195)</f>
        <v/>
      </c>
      <c r="R1195" s="33" t="str">
        <f aca="false">IF(F1195="","",IF(H1195="",F1195,0))</f>
        <v/>
      </c>
      <c r="S1195" s="32" t="str">
        <f aca="false">IF(F1195="","",IF(N(O1195)=0,"",IF(O1195&lt;=30,"1-30",IF(O1195&lt;=60,"31-60",IF(O1195&lt;=90,"61-90","90+")))))</f>
        <v/>
      </c>
      <c r="T1195" s="32" t="str">
        <f aca="false">IF(F1195="","",IF(E1195="","Diğer",E1195))</f>
        <v/>
      </c>
      <c r="U1195" s="32" t="str">
        <f aca="false">IF(OR(F1195="",C1195=""),"",IF(COUNTIF($C$2:C1195,C1195)=1,MAX($U$1:U1194)+1,""))</f>
        <v/>
      </c>
    </row>
    <row r="1196" customFormat="false" ht="15" hidden="false" customHeight="false" outlineLevel="0" collapsed="false">
      <c r="A1196" s="34"/>
      <c r="B1196" s="9"/>
      <c r="C1196" s="34"/>
      <c r="D1196" s="34"/>
      <c r="E1196" s="34"/>
      <c r="F1196" s="35"/>
      <c r="G1196" s="9"/>
      <c r="H1196" s="9"/>
      <c r="I1196" s="34"/>
      <c r="J1196" s="30" t="str">
        <f aca="false">IF(F1196="","",G1196-B1196)</f>
        <v/>
      </c>
      <c r="K1196" s="31" t="str">
        <f aca="false">IF(F1196="","",IF(H1196&lt;&gt;"",H1196,MAX('Vade Sapması'!$D$3,G1196)))</f>
        <v/>
      </c>
      <c r="L1196" s="30" t="str">
        <f aca="false">IF(F1196="","",K1196-B1196)</f>
        <v/>
      </c>
      <c r="M1196" s="30" t="str">
        <f aca="false">IF(F1196="","",L1196-J1196)</f>
        <v/>
      </c>
      <c r="N1196" s="32" t="str">
        <f aca="false">IF(F1196="","",IF(H1196&lt;&gt;"","Kapandı",IF('Vade Sapması'!$D$3&gt;G1196,"Açık · vadesi geçti","Açık · vadesi gelmedi")))</f>
        <v/>
      </c>
      <c r="O1196" s="30" t="str">
        <f aca="false">IF(F1196="","",IF(AND(H1196="",'Vade Sapması'!$D$3&gt;G1196),'Vade Sapması'!$D$3-G1196,0))</f>
        <v/>
      </c>
      <c r="P1196" s="33" t="str">
        <f aca="false">IF(F1196="","",F1196*J1196)</f>
        <v/>
      </c>
      <c r="Q1196" s="33" t="str">
        <f aca="false">IF(F1196="","",F1196*L1196)</f>
        <v/>
      </c>
      <c r="R1196" s="33" t="str">
        <f aca="false">IF(F1196="","",IF(H1196="",F1196,0))</f>
        <v/>
      </c>
      <c r="S1196" s="32" t="str">
        <f aca="false">IF(F1196="","",IF(N(O1196)=0,"",IF(O1196&lt;=30,"1-30",IF(O1196&lt;=60,"31-60",IF(O1196&lt;=90,"61-90","90+")))))</f>
        <v/>
      </c>
      <c r="T1196" s="32" t="str">
        <f aca="false">IF(F1196="","",IF(E1196="","Diğer",E1196))</f>
        <v/>
      </c>
      <c r="U1196" s="32" t="str">
        <f aca="false">IF(OR(F1196="",C1196=""),"",IF(COUNTIF($C$2:C1196,C1196)=1,MAX($U$1:U1195)+1,""))</f>
        <v/>
      </c>
    </row>
    <row r="1197" customFormat="false" ht="15" hidden="false" customHeight="false" outlineLevel="0" collapsed="false">
      <c r="A1197" s="34"/>
      <c r="B1197" s="9"/>
      <c r="C1197" s="34"/>
      <c r="D1197" s="34"/>
      <c r="E1197" s="34"/>
      <c r="F1197" s="35"/>
      <c r="G1197" s="9"/>
      <c r="H1197" s="9"/>
      <c r="I1197" s="34"/>
      <c r="J1197" s="30" t="str">
        <f aca="false">IF(F1197="","",G1197-B1197)</f>
        <v/>
      </c>
      <c r="K1197" s="31" t="str">
        <f aca="false">IF(F1197="","",IF(H1197&lt;&gt;"",H1197,MAX('Vade Sapması'!$D$3,G1197)))</f>
        <v/>
      </c>
      <c r="L1197" s="30" t="str">
        <f aca="false">IF(F1197="","",K1197-B1197)</f>
        <v/>
      </c>
      <c r="M1197" s="30" t="str">
        <f aca="false">IF(F1197="","",L1197-J1197)</f>
        <v/>
      </c>
      <c r="N1197" s="32" t="str">
        <f aca="false">IF(F1197="","",IF(H1197&lt;&gt;"","Kapandı",IF('Vade Sapması'!$D$3&gt;G1197,"Açık · vadesi geçti","Açık · vadesi gelmedi")))</f>
        <v/>
      </c>
      <c r="O1197" s="30" t="str">
        <f aca="false">IF(F1197="","",IF(AND(H1197="",'Vade Sapması'!$D$3&gt;G1197),'Vade Sapması'!$D$3-G1197,0))</f>
        <v/>
      </c>
      <c r="P1197" s="33" t="str">
        <f aca="false">IF(F1197="","",F1197*J1197)</f>
        <v/>
      </c>
      <c r="Q1197" s="33" t="str">
        <f aca="false">IF(F1197="","",F1197*L1197)</f>
        <v/>
      </c>
      <c r="R1197" s="33" t="str">
        <f aca="false">IF(F1197="","",IF(H1197="",F1197,0))</f>
        <v/>
      </c>
      <c r="S1197" s="32" t="str">
        <f aca="false">IF(F1197="","",IF(N(O1197)=0,"",IF(O1197&lt;=30,"1-30",IF(O1197&lt;=60,"31-60",IF(O1197&lt;=90,"61-90","90+")))))</f>
        <v/>
      </c>
      <c r="T1197" s="32" t="str">
        <f aca="false">IF(F1197="","",IF(E1197="","Diğer",E1197))</f>
        <v/>
      </c>
      <c r="U1197" s="32" t="str">
        <f aca="false">IF(OR(F1197="",C1197=""),"",IF(COUNTIF($C$2:C1197,C1197)=1,MAX($U$1:U1196)+1,""))</f>
        <v/>
      </c>
    </row>
    <row r="1198" customFormat="false" ht="15" hidden="false" customHeight="false" outlineLevel="0" collapsed="false">
      <c r="A1198" s="34"/>
      <c r="B1198" s="9"/>
      <c r="C1198" s="34"/>
      <c r="D1198" s="34"/>
      <c r="E1198" s="34"/>
      <c r="F1198" s="35"/>
      <c r="G1198" s="9"/>
      <c r="H1198" s="9"/>
      <c r="I1198" s="34"/>
      <c r="J1198" s="30" t="str">
        <f aca="false">IF(F1198="","",G1198-B1198)</f>
        <v/>
      </c>
      <c r="K1198" s="31" t="str">
        <f aca="false">IF(F1198="","",IF(H1198&lt;&gt;"",H1198,MAX('Vade Sapması'!$D$3,G1198)))</f>
        <v/>
      </c>
      <c r="L1198" s="30" t="str">
        <f aca="false">IF(F1198="","",K1198-B1198)</f>
        <v/>
      </c>
      <c r="M1198" s="30" t="str">
        <f aca="false">IF(F1198="","",L1198-J1198)</f>
        <v/>
      </c>
      <c r="N1198" s="32" t="str">
        <f aca="false">IF(F1198="","",IF(H1198&lt;&gt;"","Kapandı",IF('Vade Sapması'!$D$3&gt;G1198,"Açık · vadesi geçti","Açık · vadesi gelmedi")))</f>
        <v/>
      </c>
      <c r="O1198" s="30" t="str">
        <f aca="false">IF(F1198="","",IF(AND(H1198="",'Vade Sapması'!$D$3&gt;G1198),'Vade Sapması'!$D$3-G1198,0))</f>
        <v/>
      </c>
      <c r="P1198" s="33" t="str">
        <f aca="false">IF(F1198="","",F1198*J1198)</f>
        <v/>
      </c>
      <c r="Q1198" s="33" t="str">
        <f aca="false">IF(F1198="","",F1198*L1198)</f>
        <v/>
      </c>
      <c r="R1198" s="33" t="str">
        <f aca="false">IF(F1198="","",IF(H1198="",F1198,0))</f>
        <v/>
      </c>
      <c r="S1198" s="32" t="str">
        <f aca="false">IF(F1198="","",IF(N(O1198)=0,"",IF(O1198&lt;=30,"1-30",IF(O1198&lt;=60,"31-60",IF(O1198&lt;=90,"61-90","90+")))))</f>
        <v/>
      </c>
      <c r="T1198" s="32" t="str">
        <f aca="false">IF(F1198="","",IF(E1198="","Diğer",E1198))</f>
        <v/>
      </c>
      <c r="U1198" s="32" t="str">
        <f aca="false">IF(OR(F1198="",C1198=""),"",IF(COUNTIF($C$2:C1198,C1198)=1,MAX($U$1:U1197)+1,""))</f>
        <v/>
      </c>
    </row>
    <row r="1199" customFormat="false" ht="15" hidden="false" customHeight="false" outlineLevel="0" collapsed="false">
      <c r="A1199" s="34"/>
      <c r="B1199" s="9"/>
      <c r="C1199" s="34"/>
      <c r="D1199" s="34"/>
      <c r="E1199" s="34"/>
      <c r="F1199" s="35"/>
      <c r="G1199" s="9"/>
      <c r="H1199" s="9"/>
      <c r="I1199" s="34"/>
      <c r="J1199" s="30" t="str">
        <f aca="false">IF(F1199="","",G1199-B1199)</f>
        <v/>
      </c>
      <c r="K1199" s="31" t="str">
        <f aca="false">IF(F1199="","",IF(H1199&lt;&gt;"",H1199,MAX('Vade Sapması'!$D$3,G1199)))</f>
        <v/>
      </c>
      <c r="L1199" s="30" t="str">
        <f aca="false">IF(F1199="","",K1199-B1199)</f>
        <v/>
      </c>
      <c r="M1199" s="30" t="str">
        <f aca="false">IF(F1199="","",L1199-J1199)</f>
        <v/>
      </c>
      <c r="N1199" s="32" t="str">
        <f aca="false">IF(F1199="","",IF(H1199&lt;&gt;"","Kapandı",IF('Vade Sapması'!$D$3&gt;G1199,"Açık · vadesi geçti","Açık · vadesi gelmedi")))</f>
        <v/>
      </c>
      <c r="O1199" s="30" t="str">
        <f aca="false">IF(F1199="","",IF(AND(H1199="",'Vade Sapması'!$D$3&gt;G1199),'Vade Sapması'!$D$3-G1199,0))</f>
        <v/>
      </c>
      <c r="P1199" s="33" t="str">
        <f aca="false">IF(F1199="","",F1199*J1199)</f>
        <v/>
      </c>
      <c r="Q1199" s="33" t="str">
        <f aca="false">IF(F1199="","",F1199*L1199)</f>
        <v/>
      </c>
      <c r="R1199" s="33" t="str">
        <f aca="false">IF(F1199="","",IF(H1199="",F1199,0))</f>
        <v/>
      </c>
      <c r="S1199" s="32" t="str">
        <f aca="false">IF(F1199="","",IF(N(O1199)=0,"",IF(O1199&lt;=30,"1-30",IF(O1199&lt;=60,"31-60",IF(O1199&lt;=90,"61-90","90+")))))</f>
        <v/>
      </c>
      <c r="T1199" s="32" t="str">
        <f aca="false">IF(F1199="","",IF(E1199="","Diğer",E1199))</f>
        <v/>
      </c>
      <c r="U1199" s="32" t="str">
        <f aca="false">IF(OR(F1199="",C1199=""),"",IF(COUNTIF($C$2:C1199,C1199)=1,MAX($U$1:U1198)+1,""))</f>
        <v/>
      </c>
    </row>
    <row r="1200" customFormat="false" ht="15" hidden="false" customHeight="false" outlineLevel="0" collapsed="false">
      <c r="A1200" s="34"/>
      <c r="B1200" s="9"/>
      <c r="C1200" s="34"/>
      <c r="D1200" s="34"/>
      <c r="E1200" s="34"/>
      <c r="F1200" s="35"/>
      <c r="G1200" s="9"/>
      <c r="H1200" s="9"/>
      <c r="I1200" s="34"/>
      <c r="J1200" s="30" t="str">
        <f aca="false">IF(F1200="","",G1200-B1200)</f>
        <v/>
      </c>
      <c r="K1200" s="31" t="str">
        <f aca="false">IF(F1200="","",IF(H1200&lt;&gt;"",H1200,MAX('Vade Sapması'!$D$3,G1200)))</f>
        <v/>
      </c>
      <c r="L1200" s="30" t="str">
        <f aca="false">IF(F1200="","",K1200-B1200)</f>
        <v/>
      </c>
      <c r="M1200" s="30" t="str">
        <f aca="false">IF(F1200="","",L1200-J1200)</f>
        <v/>
      </c>
      <c r="N1200" s="32" t="str">
        <f aca="false">IF(F1200="","",IF(H1200&lt;&gt;"","Kapandı",IF('Vade Sapması'!$D$3&gt;G1200,"Açık · vadesi geçti","Açık · vadesi gelmedi")))</f>
        <v/>
      </c>
      <c r="O1200" s="30" t="str">
        <f aca="false">IF(F1200="","",IF(AND(H1200="",'Vade Sapması'!$D$3&gt;G1200),'Vade Sapması'!$D$3-G1200,0))</f>
        <v/>
      </c>
      <c r="P1200" s="33" t="str">
        <f aca="false">IF(F1200="","",F1200*J1200)</f>
        <v/>
      </c>
      <c r="Q1200" s="33" t="str">
        <f aca="false">IF(F1200="","",F1200*L1200)</f>
        <v/>
      </c>
      <c r="R1200" s="33" t="str">
        <f aca="false">IF(F1200="","",IF(H1200="",F1200,0))</f>
        <v/>
      </c>
      <c r="S1200" s="32" t="str">
        <f aca="false">IF(F1200="","",IF(N(O1200)=0,"",IF(O1200&lt;=30,"1-30",IF(O1200&lt;=60,"31-60",IF(O1200&lt;=90,"61-90","90+")))))</f>
        <v/>
      </c>
      <c r="T1200" s="32" t="str">
        <f aca="false">IF(F1200="","",IF(E1200="","Diğer",E1200))</f>
        <v/>
      </c>
      <c r="U1200" s="32" t="str">
        <f aca="false">IF(OR(F1200="",C1200=""),"",IF(COUNTIF($C$2:C1200,C1200)=1,MAX($U$1:U1199)+1,""))</f>
        <v/>
      </c>
    </row>
    <row r="1201" customFormat="false" ht="15" hidden="false" customHeight="false" outlineLevel="0" collapsed="false">
      <c r="A1201" s="34"/>
      <c r="B1201" s="9"/>
      <c r="C1201" s="34"/>
      <c r="D1201" s="34"/>
      <c r="E1201" s="34"/>
      <c r="F1201" s="35"/>
      <c r="G1201" s="9"/>
      <c r="H1201" s="9"/>
      <c r="I1201" s="34"/>
      <c r="J1201" s="30" t="str">
        <f aca="false">IF(F1201="","",G1201-B1201)</f>
        <v/>
      </c>
      <c r="K1201" s="31" t="str">
        <f aca="false">IF(F1201="","",IF(H1201&lt;&gt;"",H1201,MAX('Vade Sapması'!$D$3,G1201)))</f>
        <v/>
      </c>
      <c r="L1201" s="30" t="str">
        <f aca="false">IF(F1201="","",K1201-B1201)</f>
        <v/>
      </c>
      <c r="M1201" s="30" t="str">
        <f aca="false">IF(F1201="","",L1201-J1201)</f>
        <v/>
      </c>
      <c r="N1201" s="32" t="str">
        <f aca="false">IF(F1201="","",IF(H1201&lt;&gt;"","Kapandı",IF('Vade Sapması'!$D$3&gt;G1201,"Açık · vadesi geçti","Açık · vadesi gelmedi")))</f>
        <v/>
      </c>
      <c r="O1201" s="30" t="str">
        <f aca="false">IF(F1201="","",IF(AND(H1201="",'Vade Sapması'!$D$3&gt;G1201),'Vade Sapması'!$D$3-G1201,0))</f>
        <v/>
      </c>
      <c r="P1201" s="33" t="str">
        <f aca="false">IF(F1201="","",F1201*J1201)</f>
        <v/>
      </c>
      <c r="Q1201" s="33" t="str">
        <f aca="false">IF(F1201="","",F1201*L1201)</f>
        <v/>
      </c>
      <c r="R1201" s="33" t="str">
        <f aca="false">IF(F1201="","",IF(H1201="",F1201,0))</f>
        <v/>
      </c>
      <c r="S1201" s="32" t="str">
        <f aca="false">IF(F1201="","",IF(N(O1201)=0,"",IF(O1201&lt;=30,"1-30",IF(O1201&lt;=60,"31-60",IF(O1201&lt;=90,"61-90","90+")))))</f>
        <v/>
      </c>
      <c r="T1201" s="32" t="str">
        <f aca="false">IF(F1201="","",IF(E1201="","Diğer",E1201))</f>
        <v/>
      </c>
      <c r="U1201" s="32" t="str">
        <f aca="false">IF(OR(F1201="",C1201=""),"",IF(COUNTIF($C$2:C1201,C1201)=1,MAX($U$1:U1200)+1,""))</f>
        <v/>
      </c>
    </row>
    <row r="1202" customFormat="false" ht="15" hidden="false" customHeight="false" outlineLevel="0" collapsed="false">
      <c r="A1202" s="34"/>
      <c r="B1202" s="9"/>
      <c r="C1202" s="34"/>
      <c r="D1202" s="34"/>
      <c r="E1202" s="34"/>
      <c r="F1202" s="35"/>
      <c r="G1202" s="9"/>
      <c r="H1202" s="9"/>
      <c r="I1202" s="34"/>
      <c r="J1202" s="30" t="str">
        <f aca="false">IF(F1202="","",G1202-B1202)</f>
        <v/>
      </c>
      <c r="K1202" s="31" t="str">
        <f aca="false">IF(F1202="","",IF(H1202&lt;&gt;"",H1202,MAX('Vade Sapması'!$D$3,G1202)))</f>
        <v/>
      </c>
      <c r="L1202" s="30" t="str">
        <f aca="false">IF(F1202="","",K1202-B1202)</f>
        <v/>
      </c>
      <c r="M1202" s="30" t="str">
        <f aca="false">IF(F1202="","",L1202-J1202)</f>
        <v/>
      </c>
      <c r="N1202" s="32" t="str">
        <f aca="false">IF(F1202="","",IF(H1202&lt;&gt;"","Kapandı",IF('Vade Sapması'!$D$3&gt;G1202,"Açık · vadesi geçti","Açık · vadesi gelmedi")))</f>
        <v/>
      </c>
      <c r="O1202" s="30" t="str">
        <f aca="false">IF(F1202="","",IF(AND(H1202="",'Vade Sapması'!$D$3&gt;G1202),'Vade Sapması'!$D$3-G1202,0))</f>
        <v/>
      </c>
      <c r="P1202" s="33" t="str">
        <f aca="false">IF(F1202="","",F1202*J1202)</f>
        <v/>
      </c>
      <c r="Q1202" s="33" t="str">
        <f aca="false">IF(F1202="","",F1202*L1202)</f>
        <v/>
      </c>
      <c r="R1202" s="33" t="str">
        <f aca="false">IF(F1202="","",IF(H1202="",F1202,0))</f>
        <v/>
      </c>
      <c r="S1202" s="32" t="str">
        <f aca="false">IF(F1202="","",IF(N(O1202)=0,"",IF(O1202&lt;=30,"1-30",IF(O1202&lt;=60,"31-60",IF(O1202&lt;=90,"61-90","90+")))))</f>
        <v/>
      </c>
      <c r="T1202" s="32" t="str">
        <f aca="false">IF(F1202="","",IF(E1202="","Diğer",E1202))</f>
        <v/>
      </c>
      <c r="U1202" s="32" t="str">
        <f aca="false">IF(OR(F1202="",C1202=""),"",IF(COUNTIF($C$2:C1202,C1202)=1,MAX($U$1:U1201)+1,""))</f>
        <v/>
      </c>
    </row>
    <row r="1203" customFormat="false" ht="15" hidden="false" customHeight="false" outlineLevel="0" collapsed="false">
      <c r="A1203" s="34"/>
      <c r="B1203" s="9"/>
      <c r="C1203" s="34"/>
      <c r="D1203" s="34"/>
      <c r="E1203" s="34"/>
      <c r="F1203" s="35"/>
      <c r="G1203" s="9"/>
      <c r="H1203" s="9"/>
      <c r="I1203" s="34"/>
      <c r="J1203" s="30" t="str">
        <f aca="false">IF(F1203="","",G1203-B1203)</f>
        <v/>
      </c>
      <c r="K1203" s="31" t="str">
        <f aca="false">IF(F1203="","",IF(H1203&lt;&gt;"",H1203,MAX('Vade Sapması'!$D$3,G1203)))</f>
        <v/>
      </c>
      <c r="L1203" s="30" t="str">
        <f aca="false">IF(F1203="","",K1203-B1203)</f>
        <v/>
      </c>
      <c r="M1203" s="30" t="str">
        <f aca="false">IF(F1203="","",L1203-J1203)</f>
        <v/>
      </c>
      <c r="N1203" s="32" t="str">
        <f aca="false">IF(F1203="","",IF(H1203&lt;&gt;"","Kapandı",IF('Vade Sapması'!$D$3&gt;G1203,"Açık · vadesi geçti","Açık · vadesi gelmedi")))</f>
        <v/>
      </c>
      <c r="O1203" s="30" t="str">
        <f aca="false">IF(F1203="","",IF(AND(H1203="",'Vade Sapması'!$D$3&gt;G1203),'Vade Sapması'!$D$3-G1203,0))</f>
        <v/>
      </c>
      <c r="P1203" s="33" t="str">
        <f aca="false">IF(F1203="","",F1203*J1203)</f>
        <v/>
      </c>
      <c r="Q1203" s="33" t="str">
        <f aca="false">IF(F1203="","",F1203*L1203)</f>
        <v/>
      </c>
      <c r="R1203" s="33" t="str">
        <f aca="false">IF(F1203="","",IF(H1203="",F1203,0))</f>
        <v/>
      </c>
      <c r="S1203" s="32" t="str">
        <f aca="false">IF(F1203="","",IF(N(O1203)=0,"",IF(O1203&lt;=30,"1-30",IF(O1203&lt;=60,"31-60",IF(O1203&lt;=90,"61-90","90+")))))</f>
        <v/>
      </c>
      <c r="T1203" s="32" t="str">
        <f aca="false">IF(F1203="","",IF(E1203="","Diğer",E1203))</f>
        <v/>
      </c>
      <c r="U1203" s="32" t="str">
        <f aca="false">IF(OR(F1203="",C1203=""),"",IF(COUNTIF($C$2:C1203,C1203)=1,MAX($U$1:U1202)+1,""))</f>
        <v/>
      </c>
    </row>
    <row r="1204" customFormat="false" ht="15" hidden="false" customHeight="false" outlineLevel="0" collapsed="false">
      <c r="A1204" s="34"/>
      <c r="B1204" s="9"/>
      <c r="C1204" s="34"/>
      <c r="D1204" s="34"/>
      <c r="E1204" s="34"/>
      <c r="F1204" s="35"/>
      <c r="G1204" s="9"/>
      <c r="H1204" s="9"/>
      <c r="I1204" s="34"/>
      <c r="J1204" s="30" t="str">
        <f aca="false">IF(F1204="","",G1204-B1204)</f>
        <v/>
      </c>
      <c r="K1204" s="31" t="str">
        <f aca="false">IF(F1204="","",IF(H1204&lt;&gt;"",H1204,MAX('Vade Sapması'!$D$3,G1204)))</f>
        <v/>
      </c>
      <c r="L1204" s="30" t="str">
        <f aca="false">IF(F1204="","",K1204-B1204)</f>
        <v/>
      </c>
      <c r="M1204" s="30" t="str">
        <f aca="false">IF(F1204="","",L1204-J1204)</f>
        <v/>
      </c>
      <c r="N1204" s="32" t="str">
        <f aca="false">IF(F1204="","",IF(H1204&lt;&gt;"","Kapandı",IF('Vade Sapması'!$D$3&gt;G1204,"Açık · vadesi geçti","Açık · vadesi gelmedi")))</f>
        <v/>
      </c>
      <c r="O1204" s="30" t="str">
        <f aca="false">IF(F1204="","",IF(AND(H1204="",'Vade Sapması'!$D$3&gt;G1204),'Vade Sapması'!$D$3-G1204,0))</f>
        <v/>
      </c>
      <c r="P1204" s="33" t="str">
        <f aca="false">IF(F1204="","",F1204*J1204)</f>
        <v/>
      </c>
      <c r="Q1204" s="33" t="str">
        <f aca="false">IF(F1204="","",F1204*L1204)</f>
        <v/>
      </c>
      <c r="R1204" s="33" t="str">
        <f aca="false">IF(F1204="","",IF(H1204="",F1204,0))</f>
        <v/>
      </c>
      <c r="S1204" s="32" t="str">
        <f aca="false">IF(F1204="","",IF(N(O1204)=0,"",IF(O1204&lt;=30,"1-30",IF(O1204&lt;=60,"31-60",IF(O1204&lt;=90,"61-90","90+")))))</f>
        <v/>
      </c>
      <c r="T1204" s="32" t="str">
        <f aca="false">IF(F1204="","",IF(E1204="","Diğer",E1204))</f>
        <v/>
      </c>
      <c r="U1204" s="32" t="str">
        <f aca="false">IF(OR(F1204="",C1204=""),"",IF(COUNTIF($C$2:C1204,C1204)=1,MAX($U$1:U1203)+1,""))</f>
        <v/>
      </c>
    </row>
    <row r="1205" customFormat="false" ht="15" hidden="false" customHeight="false" outlineLevel="0" collapsed="false">
      <c r="A1205" s="34"/>
      <c r="B1205" s="9"/>
      <c r="C1205" s="34"/>
      <c r="D1205" s="34"/>
      <c r="E1205" s="34"/>
      <c r="F1205" s="35"/>
      <c r="G1205" s="9"/>
      <c r="H1205" s="9"/>
      <c r="I1205" s="34"/>
      <c r="J1205" s="30" t="str">
        <f aca="false">IF(F1205="","",G1205-B1205)</f>
        <v/>
      </c>
      <c r="K1205" s="31" t="str">
        <f aca="false">IF(F1205="","",IF(H1205&lt;&gt;"",H1205,MAX('Vade Sapması'!$D$3,G1205)))</f>
        <v/>
      </c>
      <c r="L1205" s="30" t="str">
        <f aca="false">IF(F1205="","",K1205-B1205)</f>
        <v/>
      </c>
      <c r="M1205" s="30" t="str">
        <f aca="false">IF(F1205="","",L1205-J1205)</f>
        <v/>
      </c>
      <c r="N1205" s="32" t="str">
        <f aca="false">IF(F1205="","",IF(H1205&lt;&gt;"","Kapandı",IF('Vade Sapması'!$D$3&gt;G1205,"Açık · vadesi geçti","Açık · vadesi gelmedi")))</f>
        <v/>
      </c>
      <c r="O1205" s="30" t="str">
        <f aca="false">IF(F1205="","",IF(AND(H1205="",'Vade Sapması'!$D$3&gt;G1205),'Vade Sapması'!$D$3-G1205,0))</f>
        <v/>
      </c>
      <c r="P1205" s="33" t="str">
        <f aca="false">IF(F1205="","",F1205*J1205)</f>
        <v/>
      </c>
      <c r="Q1205" s="33" t="str">
        <f aca="false">IF(F1205="","",F1205*L1205)</f>
        <v/>
      </c>
      <c r="R1205" s="33" t="str">
        <f aca="false">IF(F1205="","",IF(H1205="",F1205,0))</f>
        <v/>
      </c>
      <c r="S1205" s="32" t="str">
        <f aca="false">IF(F1205="","",IF(N(O1205)=0,"",IF(O1205&lt;=30,"1-30",IF(O1205&lt;=60,"31-60",IF(O1205&lt;=90,"61-90","90+")))))</f>
        <v/>
      </c>
      <c r="T1205" s="32" t="str">
        <f aca="false">IF(F1205="","",IF(E1205="","Diğer",E1205))</f>
        <v/>
      </c>
      <c r="U1205" s="32" t="str">
        <f aca="false">IF(OR(F1205="",C1205=""),"",IF(COUNTIF($C$2:C1205,C1205)=1,MAX($U$1:U1204)+1,""))</f>
        <v/>
      </c>
    </row>
    <row r="1206" customFormat="false" ht="15" hidden="false" customHeight="false" outlineLevel="0" collapsed="false">
      <c r="A1206" s="34"/>
      <c r="B1206" s="9"/>
      <c r="C1206" s="34"/>
      <c r="D1206" s="34"/>
      <c r="E1206" s="34"/>
      <c r="F1206" s="35"/>
      <c r="G1206" s="9"/>
      <c r="H1206" s="9"/>
      <c r="I1206" s="34"/>
      <c r="J1206" s="30" t="str">
        <f aca="false">IF(F1206="","",G1206-B1206)</f>
        <v/>
      </c>
      <c r="K1206" s="31" t="str">
        <f aca="false">IF(F1206="","",IF(H1206&lt;&gt;"",H1206,MAX('Vade Sapması'!$D$3,G1206)))</f>
        <v/>
      </c>
      <c r="L1206" s="30" t="str">
        <f aca="false">IF(F1206="","",K1206-B1206)</f>
        <v/>
      </c>
      <c r="M1206" s="30" t="str">
        <f aca="false">IF(F1206="","",L1206-J1206)</f>
        <v/>
      </c>
      <c r="N1206" s="32" t="str">
        <f aca="false">IF(F1206="","",IF(H1206&lt;&gt;"","Kapandı",IF('Vade Sapması'!$D$3&gt;G1206,"Açık · vadesi geçti","Açık · vadesi gelmedi")))</f>
        <v/>
      </c>
      <c r="O1206" s="30" t="str">
        <f aca="false">IF(F1206="","",IF(AND(H1206="",'Vade Sapması'!$D$3&gt;G1206),'Vade Sapması'!$D$3-G1206,0))</f>
        <v/>
      </c>
      <c r="P1206" s="33" t="str">
        <f aca="false">IF(F1206="","",F1206*J1206)</f>
        <v/>
      </c>
      <c r="Q1206" s="33" t="str">
        <f aca="false">IF(F1206="","",F1206*L1206)</f>
        <v/>
      </c>
      <c r="R1206" s="33" t="str">
        <f aca="false">IF(F1206="","",IF(H1206="",F1206,0))</f>
        <v/>
      </c>
      <c r="S1206" s="32" t="str">
        <f aca="false">IF(F1206="","",IF(N(O1206)=0,"",IF(O1206&lt;=30,"1-30",IF(O1206&lt;=60,"31-60",IF(O1206&lt;=90,"61-90","90+")))))</f>
        <v/>
      </c>
      <c r="T1206" s="32" t="str">
        <f aca="false">IF(F1206="","",IF(E1206="","Diğer",E1206))</f>
        <v/>
      </c>
      <c r="U1206" s="32" t="str">
        <f aca="false">IF(OR(F1206="",C1206=""),"",IF(COUNTIF($C$2:C1206,C1206)=1,MAX($U$1:U1205)+1,""))</f>
        <v/>
      </c>
    </row>
    <row r="1207" customFormat="false" ht="15" hidden="false" customHeight="false" outlineLevel="0" collapsed="false">
      <c r="A1207" s="34"/>
      <c r="B1207" s="9"/>
      <c r="C1207" s="34"/>
      <c r="D1207" s="34"/>
      <c r="E1207" s="34"/>
      <c r="F1207" s="35"/>
      <c r="G1207" s="9"/>
      <c r="H1207" s="9"/>
      <c r="I1207" s="34"/>
      <c r="J1207" s="30" t="str">
        <f aca="false">IF(F1207="","",G1207-B1207)</f>
        <v/>
      </c>
      <c r="K1207" s="31" t="str">
        <f aca="false">IF(F1207="","",IF(H1207&lt;&gt;"",H1207,MAX('Vade Sapması'!$D$3,G1207)))</f>
        <v/>
      </c>
      <c r="L1207" s="30" t="str">
        <f aca="false">IF(F1207="","",K1207-B1207)</f>
        <v/>
      </c>
      <c r="M1207" s="30" t="str">
        <f aca="false">IF(F1207="","",L1207-J1207)</f>
        <v/>
      </c>
      <c r="N1207" s="32" t="str">
        <f aca="false">IF(F1207="","",IF(H1207&lt;&gt;"","Kapandı",IF('Vade Sapması'!$D$3&gt;G1207,"Açık · vadesi geçti","Açık · vadesi gelmedi")))</f>
        <v/>
      </c>
      <c r="O1207" s="30" t="str">
        <f aca="false">IF(F1207="","",IF(AND(H1207="",'Vade Sapması'!$D$3&gt;G1207),'Vade Sapması'!$D$3-G1207,0))</f>
        <v/>
      </c>
      <c r="P1207" s="33" t="str">
        <f aca="false">IF(F1207="","",F1207*J1207)</f>
        <v/>
      </c>
      <c r="Q1207" s="33" t="str">
        <f aca="false">IF(F1207="","",F1207*L1207)</f>
        <v/>
      </c>
      <c r="R1207" s="33" t="str">
        <f aca="false">IF(F1207="","",IF(H1207="",F1207,0))</f>
        <v/>
      </c>
      <c r="S1207" s="32" t="str">
        <f aca="false">IF(F1207="","",IF(N(O1207)=0,"",IF(O1207&lt;=30,"1-30",IF(O1207&lt;=60,"31-60",IF(O1207&lt;=90,"61-90","90+")))))</f>
        <v/>
      </c>
      <c r="T1207" s="32" t="str">
        <f aca="false">IF(F1207="","",IF(E1207="","Diğer",E1207))</f>
        <v/>
      </c>
      <c r="U1207" s="32" t="str">
        <f aca="false">IF(OR(F1207="",C1207=""),"",IF(COUNTIF($C$2:C1207,C1207)=1,MAX($U$1:U1206)+1,""))</f>
        <v/>
      </c>
    </row>
    <row r="1208" customFormat="false" ht="15" hidden="false" customHeight="false" outlineLevel="0" collapsed="false">
      <c r="A1208" s="34"/>
      <c r="B1208" s="9"/>
      <c r="C1208" s="34"/>
      <c r="D1208" s="34"/>
      <c r="E1208" s="34"/>
      <c r="F1208" s="35"/>
      <c r="G1208" s="9"/>
      <c r="H1208" s="9"/>
      <c r="I1208" s="34"/>
      <c r="J1208" s="30" t="str">
        <f aca="false">IF(F1208="","",G1208-B1208)</f>
        <v/>
      </c>
      <c r="K1208" s="31" t="str">
        <f aca="false">IF(F1208="","",IF(H1208&lt;&gt;"",H1208,MAX('Vade Sapması'!$D$3,G1208)))</f>
        <v/>
      </c>
      <c r="L1208" s="30" t="str">
        <f aca="false">IF(F1208="","",K1208-B1208)</f>
        <v/>
      </c>
      <c r="M1208" s="30" t="str">
        <f aca="false">IF(F1208="","",L1208-J1208)</f>
        <v/>
      </c>
      <c r="N1208" s="32" t="str">
        <f aca="false">IF(F1208="","",IF(H1208&lt;&gt;"","Kapandı",IF('Vade Sapması'!$D$3&gt;G1208,"Açık · vadesi geçti","Açık · vadesi gelmedi")))</f>
        <v/>
      </c>
      <c r="O1208" s="30" t="str">
        <f aca="false">IF(F1208="","",IF(AND(H1208="",'Vade Sapması'!$D$3&gt;G1208),'Vade Sapması'!$D$3-G1208,0))</f>
        <v/>
      </c>
      <c r="P1208" s="33" t="str">
        <f aca="false">IF(F1208="","",F1208*J1208)</f>
        <v/>
      </c>
      <c r="Q1208" s="33" t="str">
        <f aca="false">IF(F1208="","",F1208*L1208)</f>
        <v/>
      </c>
      <c r="R1208" s="33" t="str">
        <f aca="false">IF(F1208="","",IF(H1208="",F1208,0))</f>
        <v/>
      </c>
      <c r="S1208" s="32" t="str">
        <f aca="false">IF(F1208="","",IF(N(O1208)=0,"",IF(O1208&lt;=30,"1-30",IF(O1208&lt;=60,"31-60",IF(O1208&lt;=90,"61-90","90+")))))</f>
        <v/>
      </c>
      <c r="T1208" s="32" t="str">
        <f aca="false">IF(F1208="","",IF(E1208="","Diğer",E1208))</f>
        <v/>
      </c>
      <c r="U1208" s="32" t="str">
        <f aca="false">IF(OR(F1208="",C1208=""),"",IF(COUNTIF($C$2:C1208,C1208)=1,MAX($U$1:U1207)+1,""))</f>
        <v/>
      </c>
    </row>
    <row r="1209" customFormat="false" ht="15" hidden="false" customHeight="false" outlineLevel="0" collapsed="false">
      <c r="A1209" s="34"/>
      <c r="B1209" s="9"/>
      <c r="C1209" s="34"/>
      <c r="D1209" s="34"/>
      <c r="E1209" s="34"/>
      <c r="F1209" s="35"/>
      <c r="G1209" s="9"/>
      <c r="H1209" s="9"/>
      <c r="I1209" s="34"/>
      <c r="J1209" s="30" t="str">
        <f aca="false">IF(F1209="","",G1209-B1209)</f>
        <v/>
      </c>
      <c r="K1209" s="31" t="str">
        <f aca="false">IF(F1209="","",IF(H1209&lt;&gt;"",H1209,MAX('Vade Sapması'!$D$3,G1209)))</f>
        <v/>
      </c>
      <c r="L1209" s="30" t="str">
        <f aca="false">IF(F1209="","",K1209-B1209)</f>
        <v/>
      </c>
      <c r="M1209" s="30" t="str">
        <f aca="false">IF(F1209="","",L1209-J1209)</f>
        <v/>
      </c>
      <c r="N1209" s="32" t="str">
        <f aca="false">IF(F1209="","",IF(H1209&lt;&gt;"","Kapandı",IF('Vade Sapması'!$D$3&gt;G1209,"Açık · vadesi geçti","Açık · vadesi gelmedi")))</f>
        <v/>
      </c>
      <c r="O1209" s="30" t="str">
        <f aca="false">IF(F1209="","",IF(AND(H1209="",'Vade Sapması'!$D$3&gt;G1209),'Vade Sapması'!$D$3-G1209,0))</f>
        <v/>
      </c>
      <c r="P1209" s="33" t="str">
        <f aca="false">IF(F1209="","",F1209*J1209)</f>
        <v/>
      </c>
      <c r="Q1209" s="33" t="str">
        <f aca="false">IF(F1209="","",F1209*L1209)</f>
        <v/>
      </c>
      <c r="R1209" s="33" t="str">
        <f aca="false">IF(F1209="","",IF(H1209="",F1209,0))</f>
        <v/>
      </c>
      <c r="S1209" s="32" t="str">
        <f aca="false">IF(F1209="","",IF(N(O1209)=0,"",IF(O1209&lt;=30,"1-30",IF(O1209&lt;=60,"31-60",IF(O1209&lt;=90,"61-90","90+")))))</f>
        <v/>
      </c>
      <c r="T1209" s="32" t="str">
        <f aca="false">IF(F1209="","",IF(E1209="","Diğer",E1209))</f>
        <v/>
      </c>
      <c r="U1209" s="32" t="str">
        <f aca="false">IF(OR(F1209="",C1209=""),"",IF(COUNTIF($C$2:C1209,C1209)=1,MAX($U$1:U1208)+1,""))</f>
        <v/>
      </c>
    </row>
    <row r="1210" customFormat="false" ht="15" hidden="false" customHeight="false" outlineLevel="0" collapsed="false">
      <c r="A1210" s="34"/>
      <c r="B1210" s="9"/>
      <c r="C1210" s="34"/>
      <c r="D1210" s="34"/>
      <c r="E1210" s="34"/>
      <c r="F1210" s="35"/>
      <c r="G1210" s="9"/>
      <c r="H1210" s="9"/>
      <c r="I1210" s="34"/>
      <c r="J1210" s="30" t="str">
        <f aca="false">IF(F1210="","",G1210-B1210)</f>
        <v/>
      </c>
      <c r="K1210" s="31" t="str">
        <f aca="false">IF(F1210="","",IF(H1210&lt;&gt;"",H1210,MAX('Vade Sapması'!$D$3,G1210)))</f>
        <v/>
      </c>
      <c r="L1210" s="30" t="str">
        <f aca="false">IF(F1210="","",K1210-B1210)</f>
        <v/>
      </c>
      <c r="M1210" s="30" t="str">
        <f aca="false">IF(F1210="","",L1210-J1210)</f>
        <v/>
      </c>
      <c r="N1210" s="32" t="str">
        <f aca="false">IF(F1210="","",IF(H1210&lt;&gt;"","Kapandı",IF('Vade Sapması'!$D$3&gt;G1210,"Açık · vadesi geçti","Açık · vadesi gelmedi")))</f>
        <v/>
      </c>
      <c r="O1210" s="30" t="str">
        <f aca="false">IF(F1210="","",IF(AND(H1210="",'Vade Sapması'!$D$3&gt;G1210),'Vade Sapması'!$D$3-G1210,0))</f>
        <v/>
      </c>
      <c r="P1210" s="33" t="str">
        <f aca="false">IF(F1210="","",F1210*J1210)</f>
        <v/>
      </c>
      <c r="Q1210" s="33" t="str">
        <f aca="false">IF(F1210="","",F1210*L1210)</f>
        <v/>
      </c>
      <c r="R1210" s="33" t="str">
        <f aca="false">IF(F1210="","",IF(H1210="",F1210,0))</f>
        <v/>
      </c>
      <c r="S1210" s="32" t="str">
        <f aca="false">IF(F1210="","",IF(N(O1210)=0,"",IF(O1210&lt;=30,"1-30",IF(O1210&lt;=60,"31-60",IF(O1210&lt;=90,"61-90","90+")))))</f>
        <v/>
      </c>
      <c r="T1210" s="32" t="str">
        <f aca="false">IF(F1210="","",IF(E1210="","Diğer",E1210))</f>
        <v/>
      </c>
      <c r="U1210" s="32" t="str">
        <f aca="false">IF(OR(F1210="",C1210=""),"",IF(COUNTIF($C$2:C1210,C1210)=1,MAX($U$1:U1209)+1,""))</f>
        <v/>
      </c>
    </row>
    <row r="1211" customFormat="false" ht="15" hidden="false" customHeight="false" outlineLevel="0" collapsed="false">
      <c r="A1211" s="34"/>
      <c r="B1211" s="9"/>
      <c r="C1211" s="34"/>
      <c r="D1211" s="34"/>
      <c r="E1211" s="34"/>
      <c r="F1211" s="35"/>
      <c r="G1211" s="9"/>
      <c r="H1211" s="9"/>
      <c r="I1211" s="34"/>
      <c r="J1211" s="30" t="str">
        <f aca="false">IF(F1211="","",G1211-B1211)</f>
        <v/>
      </c>
      <c r="K1211" s="31" t="str">
        <f aca="false">IF(F1211="","",IF(H1211&lt;&gt;"",H1211,MAX('Vade Sapması'!$D$3,G1211)))</f>
        <v/>
      </c>
      <c r="L1211" s="30" t="str">
        <f aca="false">IF(F1211="","",K1211-B1211)</f>
        <v/>
      </c>
      <c r="M1211" s="30" t="str">
        <f aca="false">IF(F1211="","",L1211-J1211)</f>
        <v/>
      </c>
      <c r="N1211" s="32" t="str">
        <f aca="false">IF(F1211="","",IF(H1211&lt;&gt;"","Kapandı",IF('Vade Sapması'!$D$3&gt;G1211,"Açık · vadesi geçti","Açık · vadesi gelmedi")))</f>
        <v/>
      </c>
      <c r="O1211" s="30" t="str">
        <f aca="false">IF(F1211="","",IF(AND(H1211="",'Vade Sapması'!$D$3&gt;G1211),'Vade Sapması'!$D$3-G1211,0))</f>
        <v/>
      </c>
      <c r="P1211" s="33" t="str">
        <f aca="false">IF(F1211="","",F1211*J1211)</f>
        <v/>
      </c>
      <c r="Q1211" s="33" t="str">
        <f aca="false">IF(F1211="","",F1211*L1211)</f>
        <v/>
      </c>
      <c r="R1211" s="33" t="str">
        <f aca="false">IF(F1211="","",IF(H1211="",F1211,0))</f>
        <v/>
      </c>
      <c r="S1211" s="32" t="str">
        <f aca="false">IF(F1211="","",IF(N(O1211)=0,"",IF(O1211&lt;=30,"1-30",IF(O1211&lt;=60,"31-60",IF(O1211&lt;=90,"61-90","90+")))))</f>
        <v/>
      </c>
      <c r="T1211" s="32" t="str">
        <f aca="false">IF(F1211="","",IF(E1211="","Diğer",E1211))</f>
        <v/>
      </c>
      <c r="U1211" s="32" t="str">
        <f aca="false">IF(OR(F1211="",C1211=""),"",IF(COUNTIF($C$2:C1211,C1211)=1,MAX($U$1:U1210)+1,""))</f>
        <v/>
      </c>
    </row>
    <row r="1212" customFormat="false" ht="15" hidden="false" customHeight="false" outlineLevel="0" collapsed="false">
      <c r="A1212" s="34"/>
      <c r="B1212" s="9"/>
      <c r="C1212" s="34"/>
      <c r="D1212" s="34"/>
      <c r="E1212" s="34"/>
      <c r="F1212" s="35"/>
      <c r="G1212" s="9"/>
      <c r="H1212" s="9"/>
      <c r="I1212" s="34"/>
      <c r="J1212" s="30" t="str">
        <f aca="false">IF(F1212="","",G1212-B1212)</f>
        <v/>
      </c>
      <c r="K1212" s="31" t="str">
        <f aca="false">IF(F1212="","",IF(H1212&lt;&gt;"",H1212,MAX('Vade Sapması'!$D$3,G1212)))</f>
        <v/>
      </c>
      <c r="L1212" s="30" t="str">
        <f aca="false">IF(F1212="","",K1212-B1212)</f>
        <v/>
      </c>
      <c r="M1212" s="30" t="str">
        <f aca="false">IF(F1212="","",L1212-J1212)</f>
        <v/>
      </c>
      <c r="N1212" s="32" t="str">
        <f aca="false">IF(F1212="","",IF(H1212&lt;&gt;"","Kapandı",IF('Vade Sapması'!$D$3&gt;G1212,"Açık · vadesi geçti","Açık · vadesi gelmedi")))</f>
        <v/>
      </c>
      <c r="O1212" s="30" t="str">
        <f aca="false">IF(F1212="","",IF(AND(H1212="",'Vade Sapması'!$D$3&gt;G1212),'Vade Sapması'!$D$3-G1212,0))</f>
        <v/>
      </c>
      <c r="P1212" s="33" t="str">
        <f aca="false">IF(F1212="","",F1212*J1212)</f>
        <v/>
      </c>
      <c r="Q1212" s="33" t="str">
        <f aca="false">IF(F1212="","",F1212*L1212)</f>
        <v/>
      </c>
      <c r="R1212" s="33" t="str">
        <f aca="false">IF(F1212="","",IF(H1212="",F1212,0))</f>
        <v/>
      </c>
      <c r="S1212" s="32" t="str">
        <f aca="false">IF(F1212="","",IF(N(O1212)=0,"",IF(O1212&lt;=30,"1-30",IF(O1212&lt;=60,"31-60",IF(O1212&lt;=90,"61-90","90+")))))</f>
        <v/>
      </c>
      <c r="T1212" s="32" t="str">
        <f aca="false">IF(F1212="","",IF(E1212="","Diğer",E1212))</f>
        <v/>
      </c>
      <c r="U1212" s="32" t="str">
        <f aca="false">IF(OR(F1212="",C1212=""),"",IF(COUNTIF($C$2:C1212,C1212)=1,MAX($U$1:U1211)+1,""))</f>
        <v/>
      </c>
    </row>
    <row r="1213" customFormat="false" ht="15" hidden="false" customHeight="false" outlineLevel="0" collapsed="false">
      <c r="A1213" s="34"/>
      <c r="B1213" s="9"/>
      <c r="C1213" s="34"/>
      <c r="D1213" s="34"/>
      <c r="E1213" s="34"/>
      <c r="F1213" s="35"/>
      <c r="G1213" s="9"/>
      <c r="H1213" s="9"/>
      <c r="I1213" s="34"/>
      <c r="J1213" s="30" t="str">
        <f aca="false">IF(F1213="","",G1213-B1213)</f>
        <v/>
      </c>
      <c r="K1213" s="31" t="str">
        <f aca="false">IF(F1213="","",IF(H1213&lt;&gt;"",H1213,MAX('Vade Sapması'!$D$3,G1213)))</f>
        <v/>
      </c>
      <c r="L1213" s="30" t="str">
        <f aca="false">IF(F1213="","",K1213-B1213)</f>
        <v/>
      </c>
      <c r="M1213" s="30" t="str">
        <f aca="false">IF(F1213="","",L1213-J1213)</f>
        <v/>
      </c>
      <c r="N1213" s="32" t="str">
        <f aca="false">IF(F1213="","",IF(H1213&lt;&gt;"","Kapandı",IF('Vade Sapması'!$D$3&gt;G1213,"Açık · vadesi geçti","Açık · vadesi gelmedi")))</f>
        <v/>
      </c>
      <c r="O1213" s="30" t="str">
        <f aca="false">IF(F1213="","",IF(AND(H1213="",'Vade Sapması'!$D$3&gt;G1213),'Vade Sapması'!$D$3-G1213,0))</f>
        <v/>
      </c>
      <c r="P1213" s="33" t="str">
        <f aca="false">IF(F1213="","",F1213*J1213)</f>
        <v/>
      </c>
      <c r="Q1213" s="33" t="str">
        <f aca="false">IF(F1213="","",F1213*L1213)</f>
        <v/>
      </c>
      <c r="R1213" s="33" t="str">
        <f aca="false">IF(F1213="","",IF(H1213="",F1213,0))</f>
        <v/>
      </c>
      <c r="S1213" s="32" t="str">
        <f aca="false">IF(F1213="","",IF(N(O1213)=0,"",IF(O1213&lt;=30,"1-30",IF(O1213&lt;=60,"31-60",IF(O1213&lt;=90,"61-90","90+")))))</f>
        <v/>
      </c>
      <c r="T1213" s="32" t="str">
        <f aca="false">IF(F1213="","",IF(E1213="","Diğer",E1213))</f>
        <v/>
      </c>
      <c r="U1213" s="32" t="str">
        <f aca="false">IF(OR(F1213="",C1213=""),"",IF(COUNTIF($C$2:C1213,C1213)=1,MAX($U$1:U1212)+1,""))</f>
        <v/>
      </c>
    </row>
    <row r="1214" customFormat="false" ht="15" hidden="false" customHeight="false" outlineLevel="0" collapsed="false">
      <c r="A1214" s="34"/>
      <c r="B1214" s="9"/>
      <c r="C1214" s="34"/>
      <c r="D1214" s="34"/>
      <c r="E1214" s="34"/>
      <c r="F1214" s="35"/>
      <c r="G1214" s="9"/>
      <c r="H1214" s="9"/>
      <c r="I1214" s="34"/>
      <c r="J1214" s="30" t="str">
        <f aca="false">IF(F1214="","",G1214-B1214)</f>
        <v/>
      </c>
      <c r="K1214" s="31" t="str">
        <f aca="false">IF(F1214="","",IF(H1214&lt;&gt;"",H1214,MAX('Vade Sapması'!$D$3,G1214)))</f>
        <v/>
      </c>
      <c r="L1214" s="30" t="str">
        <f aca="false">IF(F1214="","",K1214-B1214)</f>
        <v/>
      </c>
      <c r="M1214" s="30" t="str">
        <f aca="false">IF(F1214="","",L1214-J1214)</f>
        <v/>
      </c>
      <c r="N1214" s="32" t="str">
        <f aca="false">IF(F1214="","",IF(H1214&lt;&gt;"","Kapandı",IF('Vade Sapması'!$D$3&gt;G1214,"Açık · vadesi geçti","Açık · vadesi gelmedi")))</f>
        <v/>
      </c>
      <c r="O1214" s="30" t="str">
        <f aca="false">IF(F1214="","",IF(AND(H1214="",'Vade Sapması'!$D$3&gt;G1214),'Vade Sapması'!$D$3-G1214,0))</f>
        <v/>
      </c>
      <c r="P1214" s="33" t="str">
        <f aca="false">IF(F1214="","",F1214*J1214)</f>
        <v/>
      </c>
      <c r="Q1214" s="33" t="str">
        <f aca="false">IF(F1214="","",F1214*L1214)</f>
        <v/>
      </c>
      <c r="R1214" s="33" t="str">
        <f aca="false">IF(F1214="","",IF(H1214="",F1214,0))</f>
        <v/>
      </c>
      <c r="S1214" s="32" t="str">
        <f aca="false">IF(F1214="","",IF(N(O1214)=0,"",IF(O1214&lt;=30,"1-30",IF(O1214&lt;=60,"31-60",IF(O1214&lt;=90,"61-90","90+")))))</f>
        <v/>
      </c>
      <c r="T1214" s="32" t="str">
        <f aca="false">IF(F1214="","",IF(E1214="","Diğer",E1214))</f>
        <v/>
      </c>
      <c r="U1214" s="32" t="str">
        <f aca="false">IF(OR(F1214="",C1214=""),"",IF(COUNTIF($C$2:C1214,C1214)=1,MAX($U$1:U1213)+1,""))</f>
        <v/>
      </c>
    </row>
    <row r="1215" customFormat="false" ht="15" hidden="false" customHeight="false" outlineLevel="0" collapsed="false">
      <c r="A1215" s="34"/>
      <c r="B1215" s="9"/>
      <c r="C1215" s="34"/>
      <c r="D1215" s="34"/>
      <c r="E1215" s="34"/>
      <c r="F1215" s="35"/>
      <c r="G1215" s="9"/>
      <c r="H1215" s="9"/>
      <c r="I1215" s="34"/>
      <c r="J1215" s="30" t="str">
        <f aca="false">IF(F1215="","",G1215-B1215)</f>
        <v/>
      </c>
      <c r="K1215" s="31" t="str">
        <f aca="false">IF(F1215="","",IF(H1215&lt;&gt;"",H1215,MAX('Vade Sapması'!$D$3,G1215)))</f>
        <v/>
      </c>
      <c r="L1215" s="30" t="str">
        <f aca="false">IF(F1215="","",K1215-B1215)</f>
        <v/>
      </c>
      <c r="M1215" s="30" t="str">
        <f aca="false">IF(F1215="","",L1215-J1215)</f>
        <v/>
      </c>
      <c r="N1215" s="32" t="str">
        <f aca="false">IF(F1215="","",IF(H1215&lt;&gt;"","Kapandı",IF('Vade Sapması'!$D$3&gt;G1215,"Açık · vadesi geçti","Açık · vadesi gelmedi")))</f>
        <v/>
      </c>
      <c r="O1215" s="30" t="str">
        <f aca="false">IF(F1215="","",IF(AND(H1215="",'Vade Sapması'!$D$3&gt;G1215),'Vade Sapması'!$D$3-G1215,0))</f>
        <v/>
      </c>
      <c r="P1215" s="33" t="str">
        <f aca="false">IF(F1215="","",F1215*J1215)</f>
        <v/>
      </c>
      <c r="Q1215" s="33" t="str">
        <f aca="false">IF(F1215="","",F1215*L1215)</f>
        <v/>
      </c>
      <c r="R1215" s="33" t="str">
        <f aca="false">IF(F1215="","",IF(H1215="",F1215,0))</f>
        <v/>
      </c>
      <c r="S1215" s="32" t="str">
        <f aca="false">IF(F1215="","",IF(N(O1215)=0,"",IF(O1215&lt;=30,"1-30",IF(O1215&lt;=60,"31-60",IF(O1215&lt;=90,"61-90","90+")))))</f>
        <v/>
      </c>
      <c r="T1215" s="32" t="str">
        <f aca="false">IF(F1215="","",IF(E1215="","Diğer",E1215))</f>
        <v/>
      </c>
      <c r="U1215" s="32" t="str">
        <f aca="false">IF(OR(F1215="",C1215=""),"",IF(COUNTIF($C$2:C1215,C1215)=1,MAX($U$1:U1214)+1,""))</f>
        <v/>
      </c>
    </row>
    <row r="1216" customFormat="false" ht="15" hidden="false" customHeight="false" outlineLevel="0" collapsed="false">
      <c r="A1216" s="34"/>
      <c r="B1216" s="9"/>
      <c r="C1216" s="34"/>
      <c r="D1216" s="34"/>
      <c r="E1216" s="34"/>
      <c r="F1216" s="35"/>
      <c r="G1216" s="9"/>
      <c r="H1216" s="9"/>
      <c r="I1216" s="34"/>
      <c r="J1216" s="30" t="str">
        <f aca="false">IF(F1216="","",G1216-B1216)</f>
        <v/>
      </c>
      <c r="K1216" s="31" t="str">
        <f aca="false">IF(F1216="","",IF(H1216&lt;&gt;"",H1216,MAX('Vade Sapması'!$D$3,G1216)))</f>
        <v/>
      </c>
      <c r="L1216" s="30" t="str">
        <f aca="false">IF(F1216="","",K1216-B1216)</f>
        <v/>
      </c>
      <c r="M1216" s="30" t="str">
        <f aca="false">IF(F1216="","",L1216-J1216)</f>
        <v/>
      </c>
      <c r="N1216" s="32" t="str">
        <f aca="false">IF(F1216="","",IF(H1216&lt;&gt;"","Kapandı",IF('Vade Sapması'!$D$3&gt;G1216,"Açık · vadesi geçti","Açık · vadesi gelmedi")))</f>
        <v/>
      </c>
      <c r="O1216" s="30" t="str">
        <f aca="false">IF(F1216="","",IF(AND(H1216="",'Vade Sapması'!$D$3&gt;G1216),'Vade Sapması'!$D$3-G1216,0))</f>
        <v/>
      </c>
      <c r="P1216" s="33" t="str">
        <f aca="false">IF(F1216="","",F1216*J1216)</f>
        <v/>
      </c>
      <c r="Q1216" s="33" t="str">
        <f aca="false">IF(F1216="","",F1216*L1216)</f>
        <v/>
      </c>
      <c r="R1216" s="33" t="str">
        <f aca="false">IF(F1216="","",IF(H1216="",F1216,0))</f>
        <v/>
      </c>
      <c r="S1216" s="32" t="str">
        <f aca="false">IF(F1216="","",IF(N(O1216)=0,"",IF(O1216&lt;=30,"1-30",IF(O1216&lt;=60,"31-60",IF(O1216&lt;=90,"61-90","90+")))))</f>
        <v/>
      </c>
      <c r="T1216" s="32" t="str">
        <f aca="false">IF(F1216="","",IF(E1216="","Diğer",E1216))</f>
        <v/>
      </c>
      <c r="U1216" s="32" t="str">
        <f aca="false">IF(OR(F1216="",C1216=""),"",IF(COUNTIF($C$2:C1216,C1216)=1,MAX($U$1:U1215)+1,""))</f>
        <v/>
      </c>
    </row>
    <row r="1217" customFormat="false" ht="15" hidden="false" customHeight="false" outlineLevel="0" collapsed="false">
      <c r="A1217" s="34"/>
      <c r="B1217" s="9"/>
      <c r="C1217" s="34"/>
      <c r="D1217" s="34"/>
      <c r="E1217" s="34"/>
      <c r="F1217" s="35"/>
      <c r="G1217" s="9"/>
      <c r="H1217" s="9"/>
      <c r="I1217" s="34"/>
      <c r="J1217" s="30" t="str">
        <f aca="false">IF(F1217="","",G1217-B1217)</f>
        <v/>
      </c>
      <c r="K1217" s="31" t="str">
        <f aca="false">IF(F1217="","",IF(H1217&lt;&gt;"",H1217,MAX('Vade Sapması'!$D$3,G1217)))</f>
        <v/>
      </c>
      <c r="L1217" s="30" t="str">
        <f aca="false">IF(F1217="","",K1217-B1217)</f>
        <v/>
      </c>
      <c r="M1217" s="30" t="str">
        <f aca="false">IF(F1217="","",L1217-J1217)</f>
        <v/>
      </c>
      <c r="N1217" s="32" t="str">
        <f aca="false">IF(F1217="","",IF(H1217&lt;&gt;"","Kapandı",IF('Vade Sapması'!$D$3&gt;G1217,"Açık · vadesi geçti","Açık · vadesi gelmedi")))</f>
        <v/>
      </c>
      <c r="O1217" s="30" t="str">
        <f aca="false">IF(F1217="","",IF(AND(H1217="",'Vade Sapması'!$D$3&gt;G1217),'Vade Sapması'!$D$3-G1217,0))</f>
        <v/>
      </c>
      <c r="P1217" s="33" t="str">
        <f aca="false">IF(F1217="","",F1217*J1217)</f>
        <v/>
      </c>
      <c r="Q1217" s="33" t="str">
        <f aca="false">IF(F1217="","",F1217*L1217)</f>
        <v/>
      </c>
      <c r="R1217" s="33" t="str">
        <f aca="false">IF(F1217="","",IF(H1217="",F1217,0))</f>
        <v/>
      </c>
      <c r="S1217" s="32" t="str">
        <f aca="false">IF(F1217="","",IF(N(O1217)=0,"",IF(O1217&lt;=30,"1-30",IF(O1217&lt;=60,"31-60",IF(O1217&lt;=90,"61-90","90+")))))</f>
        <v/>
      </c>
      <c r="T1217" s="32" t="str">
        <f aca="false">IF(F1217="","",IF(E1217="","Diğer",E1217))</f>
        <v/>
      </c>
      <c r="U1217" s="32" t="str">
        <f aca="false">IF(OR(F1217="",C1217=""),"",IF(COUNTIF($C$2:C1217,C1217)=1,MAX($U$1:U1216)+1,""))</f>
        <v/>
      </c>
    </row>
    <row r="1218" customFormat="false" ht="15" hidden="false" customHeight="false" outlineLevel="0" collapsed="false">
      <c r="A1218" s="34"/>
      <c r="B1218" s="9"/>
      <c r="C1218" s="34"/>
      <c r="D1218" s="34"/>
      <c r="E1218" s="34"/>
      <c r="F1218" s="35"/>
      <c r="G1218" s="9"/>
      <c r="H1218" s="9"/>
      <c r="I1218" s="34"/>
      <c r="J1218" s="30" t="str">
        <f aca="false">IF(F1218="","",G1218-B1218)</f>
        <v/>
      </c>
      <c r="K1218" s="31" t="str">
        <f aca="false">IF(F1218="","",IF(H1218&lt;&gt;"",H1218,MAX('Vade Sapması'!$D$3,G1218)))</f>
        <v/>
      </c>
      <c r="L1218" s="30" t="str">
        <f aca="false">IF(F1218="","",K1218-B1218)</f>
        <v/>
      </c>
      <c r="M1218" s="30" t="str">
        <f aca="false">IF(F1218="","",L1218-J1218)</f>
        <v/>
      </c>
      <c r="N1218" s="32" t="str">
        <f aca="false">IF(F1218="","",IF(H1218&lt;&gt;"","Kapandı",IF('Vade Sapması'!$D$3&gt;G1218,"Açık · vadesi geçti","Açık · vadesi gelmedi")))</f>
        <v/>
      </c>
      <c r="O1218" s="30" t="str">
        <f aca="false">IF(F1218="","",IF(AND(H1218="",'Vade Sapması'!$D$3&gt;G1218),'Vade Sapması'!$D$3-G1218,0))</f>
        <v/>
      </c>
      <c r="P1218" s="33" t="str">
        <f aca="false">IF(F1218="","",F1218*J1218)</f>
        <v/>
      </c>
      <c r="Q1218" s="33" t="str">
        <f aca="false">IF(F1218="","",F1218*L1218)</f>
        <v/>
      </c>
      <c r="R1218" s="33" t="str">
        <f aca="false">IF(F1218="","",IF(H1218="",F1218,0))</f>
        <v/>
      </c>
      <c r="S1218" s="32" t="str">
        <f aca="false">IF(F1218="","",IF(N(O1218)=0,"",IF(O1218&lt;=30,"1-30",IF(O1218&lt;=60,"31-60",IF(O1218&lt;=90,"61-90","90+")))))</f>
        <v/>
      </c>
      <c r="T1218" s="32" t="str">
        <f aca="false">IF(F1218="","",IF(E1218="","Diğer",E1218))</f>
        <v/>
      </c>
      <c r="U1218" s="32" t="str">
        <f aca="false">IF(OR(F1218="",C1218=""),"",IF(COUNTIF($C$2:C1218,C1218)=1,MAX($U$1:U1217)+1,""))</f>
        <v/>
      </c>
    </row>
    <row r="1219" customFormat="false" ht="15" hidden="false" customHeight="false" outlineLevel="0" collapsed="false">
      <c r="A1219" s="34"/>
      <c r="B1219" s="9"/>
      <c r="C1219" s="34"/>
      <c r="D1219" s="34"/>
      <c r="E1219" s="34"/>
      <c r="F1219" s="35"/>
      <c r="G1219" s="9"/>
      <c r="H1219" s="9"/>
      <c r="I1219" s="34"/>
      <c r="J1219" s="30" t="str">
        <f aca="false">IF(F1219="","",G1219-B1219)</f>
        <v/>
      </c>
      <c r="K1219" s="31" t="str">
        <f aca="false">IF(F1219="","",IF(H1219&lt;&gt;"",H1219,MAX('Vade Sapması'!$D$3,G1219)))</f>
        <v/>
      </c>
      <c r="L1219" s="30" t="str">
        <f aca="false">IF(F1219="","",K1219-B1219)</f>
        <v/>
      </c>
      <c r="M1219" s="30" t="str">
        <f aca="false">IF(F1219="","",L1219-J1219)</f>
        <v/>
      </c>
      <c r="N1219" s="32" t="str">
        <f aca="false">IF(F1219="","",IF(H1219&lt;&gt;"","Kapandı",IF('Vade Sapması'!$D$3&gt;G1219,"Açık · vadesi geçti","Açık · vadesi gelmedi")))</f>
        <v/>
      </c>
      <c r="O1219" s="30" t="str">
        <f aca="false">IF(F1219="","",IF(AND(H1219="",'Vade Sapması'!$D$3&gt;G1219),'Vade Sapması'!$D$3-G1219,0))</f>
        <v/>
      </c>
      <c r="P1219" s="33" t="str">
        <f aca="false">IF(F1219="","",F1219*J1219)</f>
        <v/>
      </c>
      <c r="Q1219" s="33" t="str">
        <f aca="false">IF(F1219="","",F1219*L1219)</f>
        <v/>
      </c>
      <c r="R1219" s="33" t="str">
        <f aca="false">IF(F1219="","",IF(H1219="",F1219,0))</f>
        <v/>
      </c>
      <c r="S1219" s="32" t="str">
        <f aca="false">IF(F1219="","",IF(N(O1219)=0,"",IF(O1219&lt;=30,"1-30",IF(O1219&lt;=60,"31-60",IF(O1219&lt;=90,"61-90","90+")))))</f>
        <v/>
      </c>
      <c r="T1219" s="32" t="str">
        <f aca="false">IF(F1219="","",IF(E1219="","Diğer",E1219))</f>
        <v/>
      </c>
      <c r="U1219" s="32" t="str">
        <f aca="false">IF(OR(F1219="",C1219=""),"",IF(COUNTIF($C$2:C1219,C1219)=1,MAX($U$1:U1218)+1,""))</f>
        <v/>
      </c>
    </row>
    <row r="1220" customFormat="false" ht="15" hidden="false" customHeight="false" outlineLevel="0" collapsed="false">
      <c r="A1220" s="34"/>
      <c r="B1220" s="9"/>
      <c r="C1220" s="34"/>
      <c r="D1220" s="34"/>
      <c r="E1220" s="34"/>
      <c r="F1220" s="35"/>
      <c r="G1220" s="9"/>
      <c r="H1220" s="9"/>
      <c r="I1220" s="34"/>
      <c r="J1220" s="30" t="str">
        <f aca="false">IF(F1220="","",G1220-B1220)</f>
        <v/>
      </c>
      <c r="K1220" s="31" t="str">
        <f aca="false">IF(F1220="","",IF(H1220&lt;&gt;"",H1220,MAX('Vade Sapması'!$D$3,G1220)))</f>
        <v/>
      </c>
      <c r="L1220" s="30" t="str">
        <f aca="false">IF(F1220="","",K1220-B1220)</f>
        <v/>
      </c>
      <c r="M1220" s="30" t="str">
        <f aca="false">IF(F1220="","",L1220-J1220)</f>
        <v/>
      </c>
      <c r="N1220" s="32" t="str">
        <f aca="false">IF(F1220="","",IF(H1220&lt;&gt;"","Kapandı",IF('Vade Sapması'!$D$3&gt;G1220,"Açık · vadesi geçti","Açık · vadesi gelmedi")))</f>
        <v/>
      </c>
      <c r="O1220" s="30" t="str">
        <f aca="false">IF(F1220="","",IF(AND(H1220="",'Vade Sapması'!$D$3&gt;G1220),'Vade Sapması'!$D$3-G1220,0))</f>
        <v/>
      </c>
      <c r="P1220" s="33" t="str">
        <f aca="false">IF(F1220="","",F1220*J1220)</f>
        <v/>
      </c>
      <c r="Q1220" s="33" t="str">
        <f aca="false">IF(F1220="","",F1220*L1220)</f>
        <v/>
      </c>
      <c r="R1220" s="33" t="str">
        <f aca="false">IF(F1220="","",IF(H1220="",F1220,0))</f>
        <v/>
      </c>
      <c r="S1220" s="32" t="str">
        <f aca="false">IF(F1220="","",IF(N(O1220)=0,"",IF(O1220&lt;=30,"1-30",IF(O1220&lt;=60,"31-60",IF(O1220&lt;=90,"61-90","90+")))))</f>
        <v/>
      </c>
      <c r="T1220" s="32" t="str">
        <f aca="false">IF(F1220="","",IF(E1220="","Diğer",E1220))</f>
        <v/>
      </c>
      <c r="U1220" s="32" t="str">
        <f aca="false">IF(OR(F1220="",C1220=""),"",IF(COUNTIF($C$2:C1220,C1220)=1,MAX($U$1:U1219)+1,""))</f>
        <v/>
      </c>
    </row>
    <row r="1221" customFormat="false" ht="15" hidden="false" customHeight="false" outlineLevel="0" collapsed="false">
      <c r="A1221" s="34"/>
      <c r="B1221" s="9"/>
      <c r="C1221" s="34"/>
      <c r="D1221" s="34"/>
      <c r="E1221" s="34"/>
      <c r="F1221" s="35"/>
      <c r="G1221" s="9"/>
      <c r="H1221" s="9"/>
      <c r="I1221" s="34"/>
      <c r="J1221" s="30" t="str">
        <f aca="false">IF(F1221="","",G1221-B1221)</f>
        <v/>
      </c>
      <c r="K1221" s="31" t="str">
        <f aca="false">IF(F1221="","",IF(H1221&lt;&gt;"",H1221,MAX('Vade Sapması'!$D$3,G1221)))</f>
        <v/>
      </c>
      <c r="L1221" s="30" t="str">
        <f aca="false">IF(F1221="","",K1221-B1221)</f>
        <v/>
      </c>
      <c r="M1221" s="30" t="str">
        <f aca="false">IF(F1221="","",L1221-J1221)</f>
        <v/>
      </c>
      <c r="N1221" s="32" t="str">
        <f aca="false">IF(F1221="","",IF(H1221&lt;&gt;"","Kapandı",IF('Vade Sapması'!$D$3&gt;G1221,"Açık · vadesi geçti","Açık · vadesi gelmedi")))</f>
        <v/>
      </c>
      <c r="O1221" s="30" t="str">
        <f aca="false">IF(F1221="","",IF(AND(H1221="",'Vade Sapması'!$D$3&gt;G1221),'Vade Sapması'!$D$3-G1221,0))</f>
        <v/>
      </c>
      <c r="P1221" s="33" t="str">
        <f aca="false">IF(F1221="","",F1221*J1221)</f>
        <v/>
      </c>
      <c r="Q1221" s="33" t="str">
        <f aca="false">IF(F1221="","",F1221*L1221)</f>
        <v/>
      </c>
      <c r="R1221" s="33" t="str">
        <f aca="false">IF(F1221="","",IF(H1221="",F1221,0))</f>
        <v/>
      </c>
      <c r="S1221" s="32" t="str">
        <f aca="false">IF(F1221="","",IF(N(O1221)=0,"",IF(O1221&lt;=30,"1-30",IF(O1221&lt;=60,"31-60",IF(O1221&lt;=90,"61-90","90+")))))</f>
        <v/>
      </c>
      <c r="T1221" s="32" t="str">
        <f aca="false">IF(F1221="","",IF(E1221="","Diğer",E1221))</f>
        <v/>
      </c>
      <c r="U1221" s="32" t="str">
        <f aca="false">IF(OR(F1221="",C1221=""),"",IF(COUNTIF($C$2:C1221,C1221)=1,MAX($U$1:U1220)+1,""))</f>
        <v/>
      </c>
    </row>
    <row r="1222" customFormat="false" ht="15" hidden="false" customHeight="false" outlineLevel="0" collapsed="false">
      <c r="A1222" s="34"/>
      <c r="B1222" s="9"/>
      <c r="C1222" s="34"/>
      <c r="D1222" s="34"/>
      <c r="E1222" s="34"/>
      <c r="F1222" s="35"/>
      <c r="G1222" s="9"/>
      <c r="H1222" s="9"/>
      <c r="I1222" s="34"/>
      <c r="J1222" s="30" t="str">
        <f aca="false">IF(F1222="","",G1222-B1222)</f>
        <v/>
      </c>
      <c r="K1222" s="31" t="str">
        <f aca="false">IF(F1222="","",IF(H1222&lt;&gt;"",H1222,MAX('Vade Sapması'!$D$3,G1222)))</f>
        <v/>
      </c>
      <c r="L1222" s="30" t="str">
        <f aca="false">IF(F1222="","",K1222-B1222)</f>
        <v/>
      </c>
      <c r="M1222" s="30" t="str">
        <f aca="false">IF(F1222="","",L1222-J1222)</f>
        <v/>
      </c>
      <c r="N1222" s="32" t="str">
        <f aca="false">IF(F1222="","",IF(H1222&lt;&gt;"","Kapandı",IF('Vade Sapması'!$D$3&gt;G1222,"Açık · vadesi geçti","Açık · vadesi gelmedi")))</f>
        <v/>
      </c>
      <c r="O1222" s="30" t="str">
        <f aca="false">IF(F1222="","",IF(AND(H1222="",'Vade Sapması'!$D$3&gt;G1222),'Vade Sapması'!$D$3-G1222,0))</f>
        <v/>
      </c>
      <c r="P1222" s="33" t="str">
        <f aca="false">IF(F1222="","",F1222*J1222)</f>
        <v/>
      </c>
      <c r="Q1222" s="33" t="str">
        <f aca="false">IF(F1222="","",F1222*L1222)</f>
        <v/>
      </c>
      <c r="R1222" s="33" t="str">
        <f aca="false">IF(F1222="","",IF(H1222="",F1222,0))</f>
        <v/>
      </c>
      <c r="S1222" s="32" t="str">
        <f aca="false">IF(F1222="","",IF(N(O1222)=0,"",IF(O1222&lt;=30,"1-30",IF(O1222&lt;=60,"31-60",IF(O1222&lt;=90,"61-90","90+")))))</f>
        <v/>
      </c>
      <c r="T1222" s="32" t="str">
        <f aca="false">IF(F1222="","",IF(E1222="","Diğer",E1222))</f>
        <v/>
      </c>
      <c r="U1222" s="32" t="str">
        <f aca="false">IF(OR(F1222="",C1222=""),"",IF(COUNTIF($C$2:C1222,C1222)=1,MAX($U$1:U1221)+1,""))</f>
        <v/>
      </c>
    </row>
    <row r="1223" customFormat="false" ht="15" hidden="false" customHeight="false" outlineLevel="0" collapsed="false">
      <c r="A1223" s="34"/>
      <c r="B1223" s="9"/>
      <c r="C1223" s="34"/>
      <c r="D1223" s="34"/>
      <c r="E1223" s="34"/>
      <c r="F1223" s="35"/>
      <c r="G1223" s="9"/>
      <c r="H1223" s="9"/>
      <c r="I1223" s="34"/>
      <c r="J1223" s="30" t="str">
        <f aca="false">IF(F1223="","",G1223-B1223)</f>
        <v/>
      </c>
      <c r="K1223" s="31" t="str">
        <f aca="false">IF(F1223="","",IF(H1223&lt;&gt;"",H1223,MAX('Vade Sapması'!$D$3,G1223)))</f>
        <v/>
      </c>
      <c r="L1223" s="30" t="str">
        <f aca="false">IF(F1223="","",K1223-B1223)</f>
        <v/>
      </c>
      <c r="M1223" s="30" t="str">
        <f aca="false">IF(F1223="","",L1223-J1223)</f>
        <v/>
      </c>
      <c r="N1223" s="32" t="str">
        <f aca="false">IF(F1223="","",IF(H1223&lt;&gt;"","Kapandı",IF('Vade Sapması'!$D$3&gt;G1223,"Açık · vadesi geçti","Açık · vadesi gelmedi")))</f>
        <v/>
      </c>
      <c r="O1223" s="30" t="str">
        <f aca="false">IF(F1223="","",IF(AND(H1223="",'Vade Sapması'!$D$3&gt;G1223),'Vade Sapması'!$D$3-G1223,0))</f>
        <v/>
      </c>
      <c r="P1223" s="33" t="str">
        <f aca="false">IF(F1223="","",F1223*J1223)</f>
        <v/>
      </c>
      <c r="Q1223" s="33" t="str">
        <f aca="false">IF(F1223="","",F1223*L1223)</f>
        <v/>
      </c>
      <c r="R1223" s="33" t="str">
        <f aca="false">IF(F1223="","",IF(H1223="",F1223,0))</f>
        <v/>
      </c>
      <c r="S1223" s="32" t="str">
        <f aca="false">IF(F1223="","",IF(N(O1223)=0,"",IF(O1223&lt;=30,"1-30",IF(O1223&lt;=60,"31-60",IF(O1223&lt;=90,"61-90","90+")))))</f>
        <v/>
      </c>
      <c r="T1223" s="32" t="str">
        <f aca="false">IF(F1223="","",IF(E1223="","Diğer",E1223))</f>
        <v/>
      </c>
      <c r="U1223" s="32" t="str">
        <f aca="false">IF(OR(F1223="",C1223=""),"",IF(COUNTIF($C$2:C1223,C1223)=1,MAX($U$1:U1222)+1,""))</f>
        <v/>
      </c>
    </row>
    <row r="1224" customFormat="false" ht="15" hidden="false" customHeight="false" outlineLevel="0" collapsed="false">
      <c r="A1224" s="34"/>
      <c r="B1224" s="9"/>
      <c r="C1224" s="34"/>
      <c r="D1224" s="34"/>
      <c r="E1224" s="34"/>
      <c r="F1224" s="35"/>
      <c r="G1224" s="9"/>
      <c r="H1224" s="9"/>
      <c r="I1224" s="34"/>
      <c r="J1224" s="30" t="str">
        <f aca="false">IF(F1224="","",G1224-B1224)</f>
        <v/>
      </c>
      <c r="K1224" s="31" t="str">
        <f aca="false">IF(F1224="","",IF(H1224&lt;&gt;"",H1224,MAX('Vade Sapması'!$D$3,G1224)))</f>
        <v/>
      </c>
      <c r="L1224" s="30" t="str">
        <f aca="false">IF(F1224="","",K1224-B1224)</f>
        <v/>
      </c>
      <c r="M1224" s="30" t="str">
        <f aca="false">IF(F1224="","",L1224-J1224)</f>
        <v/>
      </c>
      <c r="N1224" s="32" t="str">
        <f aca="false">IF(F1224="","",IF(H1224&lt;&gt;"","Kapandı",IF('Vade Sapması'!$D$3&gt;G1224,"Açık · vadesi geçti","Açık · vadesi gelmedi")))</f>
        <v/>
      </c>
      <c r="O1224" s="30" t="str">
        <f aca="false">IF(F1224="","",IF(AND(H1224="",'Vade Sapması'!$D$3&gt;G1224),'Vade Sapması'!$D$3-G1224,0))</f>
        <v/>
      </c>
      <c r="P1224" s="33" t="str">
        <f aca="false">IF(F1224="","",F1224*J1224)</f>
        <v/>
      </c>
      <c r="Q1224" s="33" t="str">
        <f aca="false">IF(F1224="","",F1224*L1224)</f>
        <v/>
      </c>
      <c r="R1224" s="33" t="str">
        <f aca="false">IF(F1224="","",IF(H1224="",F1224,0))</f>
        <v/>
      </c>
      <c r="S1224" s="32" t="str">
        <f aca="false">IF(F1224="","",IF(N(O1224)=0,"",IF(O1224&lt;=30,"1-30",IF(O1224&lt;=60,"31-60",IF(O1224&lt;=90,"61-90","90+")))))</f>
        <v/>
      </c>
      <c r="T1224" s="32" t="str">
        <f aca="false">IF(F1224="","",IF(E1224="","Diğer",E1224))</f>
        <v/>
      </c>
      <c r="U1224" s="32" t="str">
        <f aca="false">IF(OR(F1224="",C1224=""),"",IF(COUNTIF($C$2:C1224,C1224)=1,MAX($U$1:U1223)+1,""))</f>
        <v/>
      </c>
    </row>
    <row r="1225" customFormat="false" ht="15" hidden="false" customHeight="false" outlineLevel="0" collapsed="false">
      <c r="A1225" s="34"/>
      <c r="B1225" s="9"/>
      <c r="C1225" s="34"/>
      <c r="D1225" s="34"/>
      <c r="E1225" s="34"/>
      <c r="F1225" s="35"/>
      <c r="G1225" s="9"/>
      <c r="H1225" s="9"/>
      <c r="I1225" s="34"/>
      <c r="J1225" s="30" t="str">
        <f aca="false">IF(F1225="","",G1225-B1225)</f>
        <v/>
      </c>
      <c r="K1225" s="31" t="str">
        <f aca="false">IF(F1225="","",IF(H1225&lt;&gt;"",H1225,MAX('Vade Sapması'!$D$3,G1225)))</f>
        <v/>
      </c>
      <c r="L1225" s="30" t="str">
        <f aca="false">IF(F1225="","",K1225-B1225)</f>
        <v/>
      </c>
      <c r="M1225" s="30" t="str">
        <f aca="false">IF(F1225="","",L1225-J1225)</f>
        <v/>
      </c>
      <c r="N1225" s="32" t="str">
        <f aca="false">IF(F1225="","",IF(H1225&lt;&gt;"","Kapandı",IF('Vade Sapması'!$D$3&gt;G1225,"Açık · vadesi geçti","Açık · vadesi gelmedi")))</f>
        <v/>
      </c>
      <c r="O1225" s="30" t="str">
        <f aca="false">IF(F1225="","",IF(AND(H1225="",'Vade Sapması'!$D$3&gt;G1225),'Vade Sapması'!$D$3-G1225,0))</f>
        <v/>
      </c>
      <c r="P1225" s="33" t="str">
        <f aca="false">IF(F1225="","",F1225*J1225)</f>
        <v/>
      </c>
      <c r="Q1225" s="33" t="str">
        <f aca="false">IF(F1225="","",F1225*L1225)</f>
        <v/>
      </c>
      <c r="R1225" s="33" t="str">
        <f aca="false">IF(F1225="","",IF(H1225="",F1225,0))</f>
        <v/>
      </c>
      <c r="S1225" s="32" t="str">
        <f aca="false">IF(F1225="","",IF(N(O1225)=0,"",IF(O1225&lt;=30,"1-30",IF(O1225&lt;=60,"31-60",IF(O1225&lt;=90,"61-90","90+")))))</f>
        <v/>
      </c>
      <c r="T1225" s="32" t="str">
        <f aca="false">IF(F1225="","",IF(E1225="","Diğer",E1225))</f>
        <v/>
      </c>
      <c r="U1225" s="32" t="str">
        <f aca="false">IF(OR(F1225="",C1225=""),"",IF(COUNTIF($C$2:C1225,C1225)=1,MAX($U$1:U1224)+1,""))</f>
        <v/>
      </c>
    </row>
    <row r="1226" customFormat="false" ht="15" hidden="false" customHeight="false" outlineLevel="0" collapsed="false">
      <c r="A1226" s="34"/>
      <c r="B1226" s="9"/>
      <c r="C1226" s="34"/>
      <c r="D1226" s="34"/>
      <c r="E1226" s="34"/>
      <c r="F1226" s="35"/>
      <c r="G1226" s="9"/>
      <c r="H1226" s="9"/>
      <c r="I1226" s="34"/>
      <c r="J1226" s="30" t="str">
        <f aca="false">IF(F1226="","",G1226-B1226)</f>
        <v/>
      </c>
      <c r="K1226" s="31" t="str">
        <f aca="false">IF(F1226="","",IF(H1226&lt;&gt;"",H1226,MAX('Vade Sapması'!$D$3,G1226)))</f>
        <v/>
      </c>
      <c r="L1226" s="30" t="str">
        <f aca="false">IF(F1226="","",K1226-B1226)</f>
        <v/>
      </c>
      <c r="M1226" s="30" t="str">
        <f aca="false">IF(F1226="","",L1226-J1226)</f>
        <v/>
      </c>
      <c r="N1226" s="32" t="str">
        <f aca="false">IF(F1226="","",IF(H1226&lt;&gt;"","Kapandı",IF('Vade Sapması'!$D$3&gt;G1226,"Açık · vadesi geçti","Açık · vadesi gelmedi")))</f>
        <v/>
      </c>
      <c r="O1226" s="30" t="str">
        <f aca="false">IF(F1226="","",IF(AND(H1226="",'Vade Sapması'!$D$3&gt;G1226),'Vade Sapması'!$D$3-G1226,0))</f>
        <v/>
      </c>
      <c r="P1226" s="33" t="str">
        <f aca="false">IF(F1226="","",F1226*J1226)</f>
        <v/>
      </c>
      <c r="Q1226" s="33" t="str">
        <f aca="false">IF(F1226="","",F1226*L1226)</f>
        <v/>
      </c>
      <c r="R1226" s="33" t="str">
        <f aca="false">IF(F1226="","",IF(H1226="",F1226,0))</f>
        <v/>
      </c>
      <c r="S1226" s="32" t="str">
        <f aca="false">IF(F1226="","",IF(N(O1226)=0,"",IF(O1226&lt;=30,"1-30",IF(O1226&lt;=60,"31-60",IF(O1226&lt;=90,"61-90","90+")))))</f>
        <v/>
      </c>
      <c r="T1226" s="32" t="str">
        <f aca="false">IF(F1226="","",IF(E1226="","Diğer",E1226))</f>
        <v/>
      </c>
      <c r="U1226" s="32" t="str">
        <f aca="false">IF(OR(F1226="",C1226=""),"",IF(COUNTIF($C$2:C1226,C1226)=1,MAX($U$1:U1225)+1,""))</f>
        <v/>
      </c>
    </row>
    <row r="1227" customFormat="false" ht="15" hidden="false" customHeight="false" outlineLevel="0" collapsed="false">
      <c r="A1227" s="34"/>
      <c r="B1227" s="9"/>
      <c r="C1227" s="34"/>
      <c r="D1227" s="34"/>
      <c r="E1227" s="34"/>
      <c r="F1227" s="35"/>
      <c r="G1227" s="9"/>
      <c r="H1227" s="9"/>
      <c r="I1227" s="34"/>
      <c r="J1227" s="30" t="str">
        <f aca="false">IF(F1227="","",G1227-B1227)</f>
        <v/>
      </c>
      <c r="K1227" s="31" t="str">
        <f aca="false">IF(F1227="","",IF(H1227&lt;&gt;"",H1227,MAX('Vade Sapması'!$D$3,G1227)))</f>
        <v/>
      </c>
      <c r="L1227" s="30" t="str">
        <f aca="false">IF(F1227="","",K1227-B1227)</f>
        <v/>
      </c>
      <c r="M1227" s="30" t="str">
        <f aca="false">IF(F1227="","",L1227-J1227)</f>
        <v/>
      </c>
      <c r="N1227" s="32" t="str">
        <f aca="false">IF(F1227="","",IF(H1227&lt;&gt;"","Kapandı",IF('Vade Sapması'!$D$3&gt;G1227,"Açık · vadesi geçti","Açık · vadesi gelmedi")))</f>
        <v/>
      </c>
      <c r="O1227" s="30" t="str">
        <f aca="false">IF(F1227="","",IF(AND(H1227="",'Vade Sapması'!$D$3&gt;G1227),'Vade Sapması'!$D$3-G1227,0))</f>
        <v/>
      </c>
      <c r="P1227" s="33" t="str">
        <f aca="false">IF(F1227="","",F1227*J1227)</f>
        <v/>
      </c>
      <c r="Q1227" s="33" t="str">
        <f aca="false">IF(F1227="","",F1227*L1227)</f>
        <v/>
      </c>
      <c r="R1227" s="33" t="str">
        <f aca="false">IF(F1227="","",IF(H1227="",F1227,0))</f>
        <v/>
      </c>
      <c r="S1227" s="32" t="str">
        <f aca="false">IF(F1227="","",IF(N(O1227)=0,"",IF(O1227&lt;=30,"1-30",IF(O1227&lt;=60,"31-60",IF(O1227&lt;=90,"61-90","90+")))))</f>
        <v/>
      </c>
      <c r="T1227" s="32" t="str">
        <f aca="false">IF(F1227="","",IF(E1227="","Diğer",E1227))</f>
        <v/>
      </c>
      <c r="U1227" s="32" t="str">
        <f aca="false">IF(OR(F1227="",C1227=""),"",IF(COUNTIF($C$2:C1227,C1227)=1,MAX($U$1:U1226)+1,""))</f>
        <v/>
      </c>
    </row>
    <row r="1228" customFormat="false" ht="15" hidden="false" customHeight="false" outlineLevel="0" collapsed="false">
      <c r="A1228" s="34"/>
      <c r="B1228" s="9"/>
      <c r="C1228" s="34"/>
      <c r="D1228" s="34"/>
      <c r="E1228" s="34"/>
      <c r="F1228" s="35"/>
      <c r="G1228" s="9"/>
      <c r="H1228" s="9"/>
      <c r="I1228" s="34"/>
      <c r="J1228" s="30" t="str">
        <f aca="false">IF(F1228="","",G1228-B1228)</f>
        <v/>
      </c>
      <c r="K1228" s="31" t="str">
        <f aca="false">IF(F1228="","",IF(H1228&lt;&gt;"",H1228,MAX('Vade Sapması'!$D$3,G1228)))</f>
        <v/>
      </c>
      <c r="L1228" s="30" t="str">
        <f aca="false">IF(F1228="","",K1228-B1228)</f>
        <v/>
      </c>
      <c r="M1228" s="30" t="str">
        <f aca="false">IF(F1228="","",L1228-J1228)</f>
        <v/>
      </c>
      <c r="N1228" s="32" t="str">
        <f aca="false">IF(F1228="","",IF(H1228&lt;&gt;"","Kapandı",IF('Vade Sapması'!$D$3&gt;G1228,"Açık · vadesi geçti","Açık · vadesi gelmedi")))</f>
        <v/>
      </c>
      <c r="O1228" s="30" t="str">
        <f aca="false">IF(F1228="","",IF(AND(H1228="",'Vade Sapması'!$D$3&gt;G1228),'Vade Sapması'!$D$3-G1228,0))</f>
        <v/>
      </c>
      <c r="P1228" s="33" t="str">
        <f aca="false">IF(F1228="","",F1228*J1228)</f>
        <v/>
      </c>
      <c r="Q1228" s="33" t="str">
        <f aca="false">IF(F1228="","",F1228*L1228)</f>
        <v/>
      </c>
      <c r="R1228" s="33" t="str">
        <f aca="false">IF(F1228="","",IF(H1228="",F1228,0))</f>
        <v/>
      </c>
      <c r="S1228" s="32" t="str">
        <f aca="false">IF(F1228="","",IF(N(O1228)=0,"",IF(O1228&lt;=30,"1-30",IF(O1228&lt;=60,"31-60",IF(O1228&lt;=90,"61-90","90+")))))</f>
        <v/>
      </c>
      <c r="T1228" s="32" t="str">
        <f aca="false">IF(F1228="","",IF(E1228="","Diğer",E1228))</f>
        <v/>
      </c>
      <c r="U1228" s="32" t="str">
        <f aca="false">IF(OR(F1228="",C1228=""),"",IF(COUNTIF($C$2:C1228,C1228)=1,MAX($U$1:U1227)+1,""))</f>
        <v/>
      </c>
    </row>
    <row r="1229" customFormat="false" ht="15" hidden="false" customHeight="false" outlineLevel="0" collapsed="false">
      <c r="A1229" s="34"/>
      <c r="B1229" s="9"/>
      <c r="C1229" s="34"/>
      <c r="D1229" s="34"/>
      <c r="E1229" s="34"/>
      <c r="F1229" s="35"/>
      <c r="G1229" s="9"/>
      <c r="H1229" s="9"/>
      <c r="I1229" s="34"/>
      <c r="J1229" s="30" t="str">
        <f aca="false">IF(F1229="","",G1229-B1229)</f>
        <v/>
      </c>
      <c r="K1229" s="31" t="str">
        <f aca="false">IF(F1229="","",IF(H1229&lt;&gt;"",H1229,MAX('Vade Sapması'!$D$3,G1229)))</f>
        <v/>
      </c>
      <c r="L1229" s="30" t="str">
        <f aca="false">IF(F1229="","",K1229-B1229)</f>
        <v/>
      </c>
      <c r="M1229" s="30" t="str">
        <f aca="false">IF(F1229="","",L1229-J1229)</f>
        <v/>
      </c>
      <c r="N1229" s="32" t="str">
        <f aca="false">IF(F1229="","",IF(H1229&lt;&gt;"","Kapandı",IF('Vade Sapması'!$D$3&gt;G1229,"Açık · vadesi geçti","Açık · vadesi gelmedi")))</f>
        <v/>
      </c>
      <c r="O1229" s="30" t="str">
        <f aca="false">IF(F1229="","",IF(AND(H1229="",'Vade Sapması'!$D$3&gt;G1229),'Vade Sapması'!$D$3-G1229,0))</f>
        <v/>
      </c>
      <c r="P1229" s="33" t="str">
        <f aca="false">IF(F1229="","",F1229*J1229)</f>
        <v/>
      </c>
      <c r="Q1229" s="33" t="str">
        <f aca="false">IF(F1229="","",F1229*L1229)</f>
        <v/>
      </c>
      <c r="R1229" s="33" t="str">
        <f aca="false">IF(F1229="","",IF(H1229="",F1229,0))</f>
        <v/>
      </c>
      <c r="S1229" s="32" t="str">
        <f aca="false">IF(F1229="","",IF(N(O1229)=0,"",IF(O1229&lt;=30,"1-30",IF(O1229&lt;=60,"31-60",IF(O1229&lt;=90,"61-90","90+")))))</f>
        <v/>
      </c>
      <c r="T1229" s="32" t="str">
        <f aca="false">IF(F1229="","",IF(E1229="","Diğer",E1229))</f>
        <v/>
      </c>
      <c r="U1229" s="32" t="str">
        <f aca="false">IF(OR(F1229="",C1229=""),"",IF(COUNTIF($C$2:C1229,C1229)=1,MAX($U$1:U1228)+1,""))</f>
        <v/>
      </c>
    </row>
    <row r="1230" customFormat="false" ht="15" hidden="false" customHeight="false" outlineLevel="0" collapsed="false">
      <c r="A1230" s="34"/>
      <c r="B1230" s="9"/>
      <c r="C1230" s="34"/>
      <c r="D1230" s="34"/>
      <c r="E1230" s="34"/>
      <c r="F1230" s="35"/>
      <c r="G1230" s="9"/>
      <c r="H1230" s="9"/>
      <c r="I1230" s="34"/>
      <c r="J1230" s="30" t="str">
        <f aca="false">IF(F1230="","",G1230-B1230)</f>
        <v/>
      </c>
      <c r="K1230" s="31" t="str">
        <f aca="false">IF(F1230="","",IF(H1230&lt;&gt;"",H1230,MAX('Vade Sapması'!$D$3,G1230)))</f>
        <v/>
      </c>
      <c r="L1230" s="30" t="str">
        <f aca="false">IF(F1230="","",K1230-B1230)</f>
        <v/>
      </c>
      <c r="M1230" s="30" t="str">
        <f aca="false">IF(F1230="","",L1230-J1230)</f>
        <v/>
      </c>
      <c r="N1230" s="32" t="str">
        <f aca="false">IF(F1230="","",IF(H1230&lt;&gt;"","Kapandı",IF('Vade Sapması'!$D$3&gt;G1230,"Açık · vadesi geçti","Açık · vadesi gelmedi")))</f>
        <v/>
      </c>
      <c r="O1230" s="30" t="str">
        <f aca="false">IF(F1230="","",IF(AND(H1230="",'Vade Sapması'!$D$3&gt;G1230),'Vade Sapması'!$D$3-G1230,0))</f>
        <v/>
      </c>
      <c r="P1230" s="33" t="str">
        <f aca="false">IF(F1230="","",F1230*J1230)</f>
        <v/>
      </c>
      <c r="Q1230" s="33" t="str">
        <f aca="false">IF(F1230="","",F1230*L1230)</f>
        <v/>
      </c>
      <c r="R1230" s="33" t="str">
        <f aca="false">IF(F1230="","",IF(H1230="",F1230,0))</f>
        <v/>
      </c>
      <c r="S1230" s="32" t="str">
        <f aca="false">IF(F1230="","",IF(N(O1230)=0,"",IF(O1230&lt;=30,"1-30",IF(O1230&lt;=60,"31-60",IF(O1230&lt;=90,"61-90","90+")))))</f>
        <v/>
      </c>
      <c r="T1230" s="32" t="str">
        <f aca="false">IF(F1230="","",IF(E1230="","Diğer",E1230))</f>
        <v/>
      </c>
      <c r="U1230" s="32" t="str">
        <f aca="false">IF(OR(F1230="",C1230=""),"",IF(COUNTIF($C$2:C1230,C1230)=1,MAX($U$1:U1229)+1,""))</f>
        <v/>
      </c>
    </row>
    <row r="1231" customFormat="false" ht="15" hidden="false" customHeight="false" outlineLevel="0" collapsed="false">
      <c r="A1231" s="34"/>
      <c r="B1231" s="9"/>
      <c r="C1231" s="34"/>
      <c r="D1231" s="34"/>
      <c r="E1231" s="34"/>
      <c r="F1231" s="35"/>
      <c r="G1231" s="9"/>
      <c r="H1231" s="9"/>
      <c r="I1231" s="34"/>
      <c r="J1231" s="30" t="str">
        <f aca="false">IF(F1231="","",G1231-B1231)</f>
        <v/>
      </c>
      <c r="K1231" s="31" t="str">
        <f aca="false">IF(F1231="","",IF(H1231&lt;&gt;"",H1231,MAX('Vade Sapması'!$D$3,G1231)))</f>
        <v/>
      </c>
      <c r="L1231" s="30" t="str">
        <f aca="false">IF(F1231="","",K1231-B1231)</f>
        <v/>
      </c>
      <c r="M1231" s="30" t="str">
        <f aca="false">IF(F1231="","",L1231-J1231)</f>
        <v/>
      </c>
      <c r="N1231" s="32" t="str">
        <f aca="false">IF(F1231="","",IF(H1231&lt;&gt;"","Kapandı",IF('Vade Sapması'!$D$3&gt;G1231,"Açık · vadesi geçti","Açık · vadesi gelmedi")))</f>
        <v/>
      </c>
      <c r="O1231" s="30" t="str">
        <f aca="false">IF(F1231="","",IF(AND(H1231="",'Vade Sapması'!$D$3&gt;G1231),'Vade Sapması'!$D$3-G1231,0))</f>
        <v/>
      </c>
      <c r="P1231" s="33" t="str">
        <f aca="false">IF(F1231="","",F1231*J1231)</f>
        <v/>
      </c>
      <c r="Q1231" s="33" t="str">
        <f aca="false">IF(F1231="","",F1231*L1231)</f>
        <v/>
      </c>
      <c r="R1231" s="33" t="str">
        <f aca="false">IF(F1231="","",IF(H1231="",F1231,0))</f>
        <v/>
      </c>
      <c r="S1231" s="32" t="str">
        <f aca="false">IF(F1231="","",IF(N(O1231)=0,"",IF(O1231&lt;=30,"1-30",IF(O1231&lt;=60,"31-60",IF(O1231&lt;=90,"61-90","90+")))))</f>
        <v/>
      </c>
      <c r="T1231" s="32" t="str">
        <f aca="false">IF(F1231="","",IF(E1231="","Diğer",E1231))</f>
        <v/>
      </c>
      <c r="U1231" s="32" t="str">
        <f aca="false">IF(OR(F1231="",C1231=""),"",IF(COUNTIF($C$2:C1231,C1231)=1,MAX($U$1:U1230)+1,""))</f>
        <v/>
      </c>
    </row>
    <row r="1232" customFormat="false" ht="15" hidden="false" customHeight="false" outlineLevel="0" collapsed="false">
      <c r="A1232" s="34"/>
      <c r="B1232" s="9"/>
      <c r="C1232" s="34"/>
      <c r="D1232" s="34"/>
      <c r="E1232" s="34"/>
      <c r="F1232" s="35"/>
      <c r="G1232" s="9"/>
      <c r="H1232" s="9"/>
      <c r="I1232" s="34"/>
      <c r="J1232" s="30" t="str">
        <f aca="false">IF(F1232="","",G1232-B1232)</f>
        <v/>
      </c>
      <c r="K1232" s="31" t="str">
        <f aca="false">IF(F1232="","",IF(H1232&lt;&gt;"",H1232,MAX('Vade Sapması'!$D$3,G1232)))</f>
        <v/>
      </c>
      <c r="L1232" s="30" t="str">
        <f aca="false">IF(F1232="","",K1232-B1232)</f>
        <v/>
      </c>
      <c r="M1232" s="30" t="str">
        <f aca="false">IF(F1232="","",L1232-J1232)</f>
        <v/>
      </c>
      <c r="N1232" s="32" t="str">
        <f aca="false">IF(F1232="","",IF(H1232&lt;&gt;"","Kapandı",IF('Vade Sapması'!$D$3&gt;G1232,"Açık · vadesi geçti","Açık · vadesi gelmedi")))</f>
        <v/>
      </c>
      <c r="O1232" s="30" t="str">
        <f aca="false">IF(F1232="","",IF(AND(H1232="",'Vade Sapması'!$D$3&gt;G1232),'Vade Sapması'!$D$3-G1232,0))</f>
        <v/>
      </c>
      <c r="P1232" s="33" t="str">
        <f aca="false">IF(F1232="","",F1232*J1232)</f>
        <v/>
      </c>
      <c r="Q1232" s="33" t="str">
        <f aca="false">IF(F1232="","",F1232*L1232)</f>
        <v/>
      </c>
      <c r="R1232" s="33" t="str">
        <f aca="false">IF(F1232="","",IF(H1232="",F1232,0))</f>
        <v/>
      </c>
      <c r="S1232" s="32" t="str">
        <f aca="false">IF(F1232="","",IF(N(O1232)=0,"",IF(O1232&lt;=30,"1-30",IF(O1232&lt;=60,"31-60",IF(O1232&lt;=90,"61-90","90+")))))</f>
        <v/>
      </c>
      <c r="T1232" s="32" t="str">
        <f aca="false">IF(F1232="","",IF(E1232="","Diğer",E1232))</f>
        <v/>
      </c>
      <c r="U1232" s="32" t="str">
        <f aca="false">IF(OR(F1232="",C1232=""),"",IF(COUNTIF($C$2:C1232,C1232)=1,MAX($U$1:U1231)+1,""))</f>
        <v/>
      </c>
    </row>
    <row r="1233" customFormat="false" ht="15" hidden="false" customHeight="false" outlineLevel="0" collapsed="false">
      <c r="A1233" s="34"/>
      <c r="B1233" s="9"/>
      <c r="C1233" s="34"/>
      <c r="D1233" s="34"/>
      <c r="E1233" s="34"/>
      <c r="F1233" s="35"/>
      <c r="G1233" s="9"/>
      <c r="H1233" s="9"/>
      <c r="I1233" s="34"/>
      <c r="J1233" s="30" t="str">
        <f aca="false">IF(F1233="","",G1233-B1233)</f>
        <v/>
      </c>
      <c r="K1233" s="31" t="str">
        <f aca="false">IF(F1233="","",IF(H1233&lt;&gt;"",H1233,MAX('Vade Sapması'!$D$3,G1233)))</f>
        <v/>
      </c>
      <c r="L1233" s="30" t="str">
        <f aca="false">IF(F1233="","",K1233-B1233)</f>
        <v/>
      </c>
      <c r="M1233" s="30" t="str">
        <f aca="false">IF(F1233="","",L1233-J1233)</f>
        <v/>
      </c>
      <c r="N1233" s="32" t="str">
        <f aca="false">IF(F1233="","",IF(H1233&lt;&gt;"","Kapandı",IF('Vade Sapması'!$D$3&gt;G1233,"Açık · vadesi geçti","Açık · vadesi gelmedi")))</f>
        <v/>
      </c>
      <c r="O1233" s="30" t="str">
        <f aca="false">IF(F1233="","",IF(AND(H1233="",'Vade Sapması'!$D$3&gt;G1233),'Vade Sapması'!$D$3-G1233,0))</f>
        <v/>
      </c>
      <c r="P1233" s="33" t="str">
        <f aca="false">IF(F1233="","",F1233*J1233)</f>
        <v/>
      </c>
      <c r="Q1233" s="33" t="str">
        <f aca="false">IF(F1233="","",F1233*L1233)</f>
        <v/>
      </c>
      <c r="R1233" s="33" t="str">
        <f aca="false">IF(F1233="","",IF(H1233="",F1233,0))</f>
        <v/>
      </c>
      <c r="S1233" s="32" t="str">
        <f aca="false">IF(F1233="","",IF(N(O1233)=0,"",IF(O1233&lt;=30,"1-30",IF(O1233&lt;=60,"31-60",IF(O1233&lt;=90,"61-90","90+")))))</f>
        <v/>
      </c>
      <c r="T1233" s="32" t="str">
        <f aca="false">IF(F1233="","",IF(E1233="","Diğer",E1233))</f>
        <v/>
      </c>
      <c r="U1233" s="32" t="str">
        <f aca="false">IF(OR(F1233="",C1233=""),"",IF(COUNTIF($C$2:C1233,C1233)=1,MAX($U$1:U1232)+1,""))</f>
        <v/>
      </c>
    </row>
    <row r="1234" customFormat="false" ht="15" hidden="false" customHeight="false" outlineLevel="0" collapsed="false">
      <c r="A1234" s="34"/>
      <c r="B1234" s="9"/>
      <c r="C1234" s="34"/>
      <c r="D1234" s="34"/>
      <c r="E1234" s="34"/>
      <c r="F1234" s="35"/>
      <c r="G1234" s="9"/>
      <c r="H1234" s="9"/>
      <c r="I1234" s="34"/>
      <c r="J1234" s="30" t="str">
        <f aca="false">IF(F1234="","",G1234-B1234)</f>
        <v/>
      </c>
      <c r="K1234" s="31" t="str">
        <f aca="false">IF(F1234="","",IF(H1234&lt;&gt;"",H1234,MAX('Vade Sapması'!$D$3,G1234)))</f>
        <v/>
      </c>
      <c r="L1234" s="30" t="str">
        <f aca="false">IF(F1234="","",K1234-B1234)</f>
        <v/>
      </c>
      <c r="M1234" s="30" t="str">
        <f aca="false">IF(F1234="","",L1234-J1234)</f>
        <v/>
      </c>
      <c r="N1234" s="32" t="str">
        <f aca="false">IF(F1234="","",IF(H1234&lt;&gt;"","Kapandı",IF('Vade Sapması'!$D$3&gt;G1234,"Açık · vadesi geçti","Açık · vadesi gelmedi")))</f>
        <v/>
      </c>
      <c r="O1234" s="30" t="str">
        <f aca="false">IF(F1234="","",IF(AND(H1234="",'Vade Sapması'!$D$3&gt;G1234),'Vade Sapması'!$D$3-G1234,0))</f>
        <v/>
      </c>
      <c r="P1234" s="33" t="str">
        <f aca="false">IF(F1234="","",F1234*J1234)</f>
        <v/>
      </c>
      <c r="Q1234" s="33" t="str">
        <f aca="false">IF(F1234="","",F1234*L1234)</f>
        <v/>
      </c>
      <c r="R1234" s="33" t="str">
        <f aca="false">IF(F1234="","",IF(H1234="",F1234,0))</f>
        <v/>
      </c>
      <c r="S1234" s="32" t="str">
        <f aca="false">IF(F1234="","",IF(N(O1234)=0,"",IF(O1234&lt;=30,"1-30",IF(O1234&lt;=60,"31-60",IF(O1234&lt;=90,"61-90","90+")))))</f>
        <v/>
      </c>
      <c r="T1234" s="32" t="str">
        <f aca="false">IF(F1234="","",IF(E1234="","Diğer",E1234))</f>
        <v/>
      </c>
      <c r="U1234" s="32" t="str">
        <f aca="false">IF(OR(F1234="",C1234=""),"",IF(COUNTIF($C$2:C1234,C1234)=1,MAX($U$1:U1233)+1,""))</f>
        <v/>
      </c>
    </row>
    <row r="1235" customFormat="false" ht="15" hidden="false" customHeight="false" outlineLevel="0" collapsed="false">
      <c r="A1235" s="34"/>
      <c r="B1235" s="9"/>
      <c r="C1235" s="34"/>
      <c r="D1235" s="34"/>
      <c r="E1235" s="34"/>
      <c r="F1235" s="35"/>
      <c r="G1235" s="9"/>
      <c r="H1235" s="9"/>
      <c r="I1235" s="34"/>
      <c r="J1235" s="30" t="str">
        <f aca="false">IF(F1235="","",G1235-B1235)</f>
        <v/>
      </c>
      <c r="K1235" s="31" t="str">
        <f aca="false">IF(F1235="","",IF(H1235&lt;&gt;"",H1235,MAX('Vade Sapması'!$D$3,G1235)))</f>
        <v/>
      </c>
      <c r="L1235" s="30" t="str">
        <f aca="false">IF(F1235="","",K1235-B1235)</f>
        <v/>
      </c>
      <c r="M1235" s="30" t="str">
        <f aca="false">IF(F1235="","",L1235-J1235)</f>
        <v/>
      </c>
      <c r="N1235" s="32" t="str">
        <f aca="false">IF(F1235="","",IF(H1235&lt;&gt;"","Kapandı",IF('Vade Sapması'!$D$3&gt;G1235,"Açık · vadesi geçti","Açık · vadesi gelmedi")))</f>
        <v/>
      </c>
      <c r="O1235" s="30" t="str">
        <f aca="false">IF(F1235="","",IF(AND(H1235="",'Vade Sapması'!$D$3&gt;G1235),'Vade Sapması'!$D$3-G1235,0))</f>
        <v/>
      </c>
      <c r="P1235" s="33" t="str">
        <f aca="false">IF(F1235="","",F1235*J1235)</f>
        <v/>
      </c>
      <c r="Q1235" s="33" t="str">
        <f aca="false">IF(F1235="","",F1235*L1235)</f>
        <v/>
      </c>
      <c r="R1235" s="33" t="str">
        <f aca="false">IF(F1235="","",IF(H1235="",F1235,0))</f>
        <v/>
      </c>
      <c r="S1235" s="32" t="str">
        <f aca="false">IF(F1235="","",IF(N(O1235)=0,"",IF(O1235&lt;=30,"1-30",IF(O1235&lt;=60,"31-60",IF(O1235&lt;=90,"61-90","90+")))))</f>
        <v/>
      </c>
      <c r="T1235" s="32" t="str">
        <f aca="false">IF(F1235="","",IF(E1235="","Diğer",E1235))</f>
        <v/>
      </c>
      <c r="U1235" s="32" t="str">
        <f aca="false">IF(OR(F1235="",C1235=""),"",IF(COUNTIF($C$2:C1235,C1235)=1,MAX($U$1:U1234)+1,""))</f>
        <v/>
      </c>
    </row>
    <row r="1236" customFormat="false" ht="15" hidden="false" customHeight="false" outlineLevel="0" collapsed="false">
      <c r="A1236" s="34"/>
      <c r="B1236" s="9"/>
      <c r="C1236" s="34"/>
      <c r="D1236" s="34"/>
      <c r="E1236" s="34"/>
      <c r="F1236" s="35"/>
      <c r="G1236" s="9"/>
      <c r="H1236" s="9"/>
      <c r="I1236" s="34"/>
      <c r="J1236" s="30" t="str">
        <f aca="false">IF(F1236="","",G1236-B1236)</f>
        <v/>
      </c>
      <c r="K1236" s="31" t="str">
        <f aca="false">IF(F1236="","",IF(H1236&lt;&gt;"",H1236,MAX('Vade Sapması'!$D$3,G1236)))</f>
        <v/>
      </c>
      <c r="L1236" s="30" t="str">
        <f aca="false">IF(F1236="","",K1236-B1236)</f>
        <v/>
      </c>
      <c r="M1236" s="30" t="str">
        <f aca="false">IF(F1236="","",L1236-J1236)</f>
        <v/>
      </c>
      <c r="N1236" s="32" t="str">
        <f aca="false">IF(F1236="","",IF(H1236&lt;&gt;"","Kapandı",IF('Vade Sapması'!$D$3&gt;G1236,"Açık · vadesi geçti","Açık · vadesi gelmedi")))</f>
        <v/>
      </c>
      <c r="O1236" s="30" t="str">
        <f aca="false">IF(F1236="","",IF(AND(H1236="",'Vade Sapması'!$D$3&gt;G1236),'Vade Sapması'!$D$3-G1236,0))</f>
        <v/>
      </c>
      <c r="P1236" s="33" t="str">
        <f aca="false">IF(F1236="","",F1236*J1236)</f>
        <v/>
      </c>
      <c r="Q1236" s="33" t="str">
        <f aca="false">IF(F1236="","",F1236*L1236)</f>
        <v/>
      </c>
      <c r="R1236" s="33" t="str">
        <f aca="false">IF(F1236="","",IF(H1236="",F1236,0))</f>
        <v/>
      </c>
      <c r="S1236" s="32" t="str">
        <f aca="false">IF(F1236="","",IF(N(O1236)=0,"",IF(O1236&lt;=30,"1-30",IF(O1236&lt;=60,"31-60",IF(O1236&lt;=90,"61-90","90+")))))</f>
        <v/>
      </c>
      <c r="T1236" s="32" t="str">
        <f aca="false">IF(F1236="","",IF(E1236="","Diğer",E1236))</f>
        <v/>
      </c>
      <c r="U1236" s="32" t="str">
        <f aca="false">IF(OR(F1236="",C1236=""),"",IF(COUNTIF($C$2:C1236,C1236)=1,MAX($U$1:U1235)+1,""))</f>
        <v/>
      </c>
    </row>
    <row r="1237" customFormat="false" ht="15" hidden="false" customHeight="false" outlineLevel="0" collapsed="false">
      <c r="A1237" s="34"/>
      <c r="B1237" s="9"/>
      <c r="C1237" s="34"/>
      <c r="D1237" s="34"/>
      <c r="E1237" s="34"/>
      <c r="F1237" s="35"/>
      <c r="G1237" s="9"/>
      <c r="H1237" s="9"/>
      <c r="I1237" s="34"/>
      <c r="J1237" s="30" t="str">
        <f aca="false">IF(F1237="","",G1237-B1237)</f>
        <v/>
      </c>
      <c r="K1237" s="31" t="str">
        <f aca="false">IF(F1237="","",IF(H1237&lt;&gt;"",H1237,MAX('Vade Sapması'!$D$3,G1237)))</f>
        <v/>
      </c>
      <c r="L1237" s="30" t="str">
        <f aca="false">IF(F1237="","",K1237-B1237)</f>
        <v/>
      </c>
      <c r="M1237" s="30" t="str">
        <f aca="false">IF(F1237="","",L1237-J1237)</f>
        <v/>
      </c>
      <c r="N1237" s="32" t="str">
        <f aca="false">IF(F1237="","",IF(H1237&lt;&gt;"","Kapandı",IF('Vade Sapması'!$D$3&gt;G1237,"Açık · vadesi geçti","Açık · vadesi gelmedi")))</f>
        <v/>
      </c>
      <c r="O1237" s="30" t="str">
        <f aca="false">IF(F1237="","",IF(AND(H1237="",'Vade Sapması'!$D$3&gt;G1237),'Vade Sapması'!$D$3-G1237,0))</f>
        <v/>
      </c>
      <c r="P1237" s="33" t="str">
        <f aca="false">IF(F1237="","",F1237*J1237)</f>
        <v/>
      </c>
      <c r="Q1237" s="33" t="str">
        <f aca="false">IF(F1237="","",F1237*L1237)</f>
        <v/>
      </c>
      <c r="R1237" s="33" t="str">
        <f aca="false">IF(F1237="","",IF(H1237="",F1237,0))</f>
        <v/>
      </c>
      <c r="S1237" s="32" t="str">
        <f aca="false">IF(F1237="","",IF(N(O1237)=0,"",IF(O1237&lt;=30,"1-30",IF(O1237&lt;=60,"31-60",IF(O1237&lt;=90,"61-90","90+")))))</f>
        <v/>
      </c>
      <c r="T1237" s="32" t="str">
        <f aca="false">IF(F1237="","",IF(E1237="","Diğer",E1237))</f>
        <v/>
      </c>
      <c r="U1237" s="32" t="str">
        <f aca="false">IF(OR(F1237="",C1237=""),"",IF(COUNTIF($C$2:C1237,C1237)=1,MAX($U$1:U1236)+1,""))</f>
        <v/>
      </c>
    </row>
    <row r="1238" customFormat="false" ht="15" hidden="false" customHeight="false" outlineLevel="0" collapsed="false">
      <c r="A1238" s="34"/>
      <c r="B1238" s="9"/>
      <c r="C1238" s="34"/>
      <c r="D1238" s="34"/>
      <c r="E1238" s="34"/>
      <c r="F1238" s="35"/>
      <c r="G1238" s="9"/>
      <c r="H1238" s="9"/>
      <c r="I1238" s="34"/>
      <c r="J1238" s="30" t="str">
        <f aca="false">IF(F1238="","",G1238-B1238)</f>
        <v/>
      </c>
      <c r="K1238" s="31" t="str">
        <f aca="false">IF(F1238="","",IF(H1238&lt;&gt;"",H1238,MAX('Vade Sapması'!$D$3,G1238)))</f>
        <v/>
      </c>
      <c r="L1238" s="30" t="str">
        <f aca="false">IF(F1238="","",K1238-B1238)</f>
        <v/>
      </c>
      <c r="M1238" s="30" t="str">
        <f aca="false">IF(F1238="","",L1238-J1238)</f>
        <v/>
      </c>
      <c r="N1238" s="32" t="str">
        <f aca="false">IF(F1238="","",IF(H1238&lt;&gt;"","Kapandı",IF('Vade Sapması'!$D$3&gt;G1238,"Açık · vadesi geçti","Açık · vadesi gelmedi")))</f>
        <v/>
      </c>
      <c r="O1238" s="30" t="str">
        <f aca="false">IF(F1238="","",IF(AND(H1238="",'Vade Sapması'!$D$3&gt;G1238),'Vade Sapması'!$D$3-G1238,0))</f>
        <v/>
      </c>
      <c r="P1238" s="33" t="str">
        <f aca="false">IF(F1238="","",F1238*J1238)</f>
        <v/>
      </c>
      <c r="Q1238" s="33" t="str">
        <f aca="false">IF(F1238="","",F1238*L1238)</f>
        <v/>
      </c>
      <c r="R1238" s="33" t="str">
        <f aca="false">IF(F1238="","",IF(H1238="",F1238,0))</f>
        <v/>
      </c>
      <c r="S1238" s="32" t="str">
        <f aca="false">IF(F1238="","",IF(N(O1238)=0,"",IF(O1238&lt;=30,"1-30",IF(O1238&lt;=60,"31-60",IF(O1238&lt;=90,"61-90","90+")))))</f>
        <v/>
      </c>
      <c r="T1238" s="32" t="str">
        <f aca="false">IF(F1238="","",IF(E1238="","Diğer",E1238))</f>
        <v/>
      </c>
      <c r="U1238" s="32" t="str">
        <f aca="false">IF(OR(F1238="",C1238=""),"",IF(COUNTIF($C$2:C1238,C1238)=1,MAX($U$1:U1237)+1,""))</f>
        <v/>
      </c>
    </row>
    <row r="1239" customFormat="false" ht="15" hidden="false" customHeight="false" outlineLevel="0" collapsed="false">
      <c r="A1239" s="34"/>
      <c r="B1239" s="9"/>
      <c r="C1239" s="34"/>
      <c r="D1239" s="34"/>
      <c r="E1239" s="34"/>
      <c r="F1239" s="35"/>
      <c r="G1239" s="9"/>
      <c r="H1239" s="9"/>
      <c r="I1239" s="34"/>
      <c r="J1239" s="30" t="str">
        <f aca="false">IF(F1239="","",G1239-B1239)</f>
        <v/>
      </c>
      <c r="K1239" s="31" t="str">
        <f aca="false">IF(F1239="","",IF(H1239&lt;&gt;"",H1239,MAX('Vade Sapması'!$D$3,G1239)))</f>
        <v/>
      </c>
      <c r="L1239" s="30" t="str">
        <f aca="false">IF(F1239="","",K1239-B1239)</f>
        <v/>
      </c>
      <c r="M1239" s="30" t="str">
        <f aca="false">IF(F1239="","",L1239-J1239)</f>
        <v/>
      </c>
      <c r="N1239" s="32" t="str">
        <f aca="false">IF(F1239="","",IF(H1239&lt;&gt;"","Kapandı",IF('Vade Sapması'!$D$3&gt;G1239,"Açık · vadesi geçti","Açık · vadesi gelmedi")))</f>
        <v/>
      </c>
      <c r="O1239" s="30" t="str">
        <f aca="false">IF(F1239="","",IF(AND(H1239="",'Vade Sapması'!$D$3&gt;G1239),'Vade Sapması'!$D$3-G1239,0))</f>
        <v/>
      </c>
      <c r="P1239" s="33" t="str">
        <f aca="false">IF(F1239="","",F1239*J1239)</f>
        <v/>
      </c>
      <c r="Q1239" s="33" t="str">
        <f aca="false">IF(F1239="","",F1239*L1239)</f>
        <v/>
      </c>
      <c r="R1239" s="33" t="str">
        <f aca="false">IF(F1239="","",IF(H1239="",F1239,0))</f>
        <v/>
      </c>
      <c r="S1239" s="32" t="str">
        <f aca="false">IF(F1239="","",IF(N(O1239)=0,"",IF(O1239&lt;=30,"1-30",IF(O1239&lt;=60,"31-60",IF(O1239&lt;=90,"61-90","90+")))))</f>
        <v/>
      </c>
      <c r="T1239" s="32" t="str">
        <f aca="false">IF(F1239="","",IF(E1239="","Diğer",E1239))</f>
        <v/>
      </c>
      <c r="U1239" s="32" t="str">
        <f aca="false">IF(OR(F1239="",C1239=""),"",IF(COUNTIF($C$2:C1239,C1239)=1,MAX($U$1:U1238)+1,""))</f>
        <v/>
      </c>
    </row>
    <row r="1240" customFormat="false" ht="15" hidden="false" customHeight="false" outlineLevel="0" collapsed="false">
      <c r="A1240" s="34"/>
      <c r="B1240" s="9"/>
      <c r="C1240" s="34"/>
      <c r="D1240" s="34"/>
      <c r="E1240" s="34"/>
      <c r="F1240" s="35"/>
      <c r="G1240" s="9"/>
      <c r="H1240" s="9"/>
      <c r="I1240" s="34"/>
      <c r="J1240" s="30" t="str">
        <f aca="false">IF(F1240="","",G1240-B1240)</f>
        <v/>
      </c>
      <c r="K1240" s="31" t="str">
        <f aca="false">IF(F1240="","",IF(H1240&lt;&gt;"",H1240,MAX('Vade Sapması'!$D$3,G1240)))</f>
        <v/>
      </c>
      <c r="L1240" s="30" t="str">
        <f aca="false">IF(F1240="","",K1240-B1240)</f>
        <v/>
      </c>
      <c r="M1240" s="30" t="str">
        <f aca="false">IF(F1240="","",L1240-J1240)</f>
        <v/>
      </c>
      <c r="N1240" s="32" t="str">
        <f aca="false">IF(F1240="","",IF(H1240&lt;&gt;"","Kapandı",IF('Vade Sapması'!$D$3&gt;G1240,"Açık · vadesi geçti","Açık · vadesi gelmedi")))</f>
        <v/>
      </c>
      <c r="O1240" s="30" t="str">
        <f aca="false">IF(F1240="","",IF(AND(H1240="",'Vade Sapması'!$D$3&gt;G1240),'Vade Sapması'!$D$3-G1240,0))</f>
        <v/>
      </c>
      <c r="P1240" s="33" t="str">
        <f aca="false">IF(F1240="","",F1240*J1240)</f>
        <v/>
      </c>
      <c r="Q1240" s="33" t="str">
        <f aca="false">IF(F1240="","",F1240*L1240)</f>
        <v/>
      </c>
      <c r="R1240" s="33" t="str">
        <f aca="false">IF(F1240="","",IF(H1240="",F1240,0))</f>
        <v/>
      </c>
      <c r="S1240" s="32" t="str">
        <f aca="false">IF(F1240="","",IF(N(O1240)=0,"",IF(O1240&lt;=30,"1-30",IF(O1240&lt;=60,"31-60",IF(O1240&lt;=90,"61-90","90+")))))</f>
        <v/>
      </c>
      <c r="T1240" s="32" t="str">
        <f aca="false">IF(F1240="","",IF(E1240="","Diğer",E1240))</f>
        <v/>
      </c>
      <c r="U1240" s="32" t="str">
        <f aca="false">IF(OR(F1240="",C1240=""),"",IF(COUNTIF($C$2:C1240,C1240)=1,MAX($U$1:U1239)+1,""))</f>
        <v/>
      </c>
    </row>
    <row r="1241" customFormat="false" ht="15" hidden="false" customHeight="false" outlineLevel="0" collapsed="false">
      <c r="A1241" s="34"/>
      <c r="B1241" s="9"/>
      <c r="C1241" s="34"/>
      <c r="D1241" s="34"/>
      <c r="E1241" s="34"/>
      <c r="F1241" s="35"/>
      <c r="G1241" s="9"/>
      <c r="H1241" s="9"/>
      <c r="I1241" s="34"/>
      <c r="J1241" s="30" t="str">
        <f aca="false">IF(F1241="","",G1241-B1241)</f>
        <v/>
      </c>
      <c r="K1241" s="31" t="str">
        <f aca="false">IF(F1241="","",IF(H1241&lt;&gt;"",H1241,MAX('Vade Sapması'!$D$3,G1241)))</f>
        <v/>
      </c>
      <c r="L1241" s="30" t="str">
        <f aca="false">IF(F1241="","",K1241-B1241)</f>
        <v/>
      </c>
      <c r="M1241" s="30" t="str">
        <f aca="false">IF(F1241="","",L1241-J1241)</f>
        <v/>
      </c>
      <c r="N1241" s="32" t="str">
        <f aca="false">IF(F1241="","",IF(H1241&lt;&gt;"","Kapandı",IF('Vade Sapması'!$D$3&gt;G1241,"Açık · vadesi geçti","Açık · vadesi gelmedi")))</f>
        <v/>
      </c>
      <c r="O1241" s="30" t="str">
        <f aca="false">IF(F1241="","",IF(AND(H1241="",'Vade Sapması'!$D$3&gt;G1241),'Vade Sapması'!$D$3-G1241,0))</f>
        <v/>
      </c>
      <c r="P1241" s="33" t="str">
        <f aca="false">IF(F1241="","",F1241*J1241)</f>
        <v/>
      </c>
      <c r="Q1241" s="33" t="str">
        <f aca="false">IF(F1241="","",F1241*L1241)</f>
        <v/>
      </c>
      <c r="R1241" s="33" t="str">
        <f aca="false">IF(F1241="","",IF(H1241="",F1241,0))</f>
        <v/>
      </c>
      <c r="S1241" s="32" t="str">
        <f aca="false">IF(F1241="","",IF(N(O1241)=0,"",IF(O1241&lt;=30,"1-30",IF(O1241&lt;=60,"31-60",IF(O1241&lt;=90,"61-90","90+")))))</f>
        <v/>
      </c>
      <c r="T1241" s="32" t="str">
        <f aca="false">IF(F1241="","",IF(E1241="","Diğer",E1241))</f>
        <v/>
      </c>
      <c r="U1241" s="32" t="str">
        <f aca="false">IF(OR(F1241="",C1241=""),"",IF(COUNTIF($C$2:C1241,C1241)=1,MAX($U$1:U1240)+1,""))</f>
        <v/>
      </c>
    </row>
    <row r="1242" customFormat="false" ht="15" hidden="false" customHeight="false" outlineLevel="0" collapsed="false">
      <c r="A1242" s="34"/>
      <c r="B1242" s="9"/>
      <c r="C1242" s="34"/>
      <c r="D1242" s="34"/>
      <c r="E1242" s="34"/>
      <c r="F1242" s="35"/>
      <c r="G1242" s="9"/>
      <c r="H1242" s="9"/>
      <c r="I1242" s="34"/>
      <c r="J1242" s="30" t="str">
        <f aca="false">IF(F1242="","",G1242-B1242)</f>
        <v/>
      </c>
      <c r="K1242" s="31" t="str">
        <f aca="false">IF(F1242="","",IF(H1242&lt;&gt;"",H1242,MAX('Vade Sapması'!$D$3,G1242)))</f>
        <v/>
      </c>
      <c r="L1242" s="30" t="str">
        <f aca="false">IF(F1242="","",K1242-B1242)</f>
        <v/>
      </c>
      <c r="M1242" s="30" t="str">
        <f aca="false">IF(F1242="","",L1242-J1242)</f>
        <v/>
      </c>
      <c r="N1242" s="32" t="str">
        <f aca="false">IF(F1242="","",IF(H1242&lt;&gt;"","Kapandı",IF('Vade Sapması'!$D$3&gt;G1242,"Açık · vadesi geçti","Açık · vadesi gelmedi")))</f>
        <v/>
      </c>
      <c r="O1242" s="30" t="str">
        <f aca="false">IF(F1242="","",IF(AND(H1242="",'Vade Sapması'!$D$3&gt;G1242),'Vade Sapması'!$D$3-G1242,0))</f>
        <v/>
      </c>
      <c r="P1242" s="33" t="str">
        <f aca="false">IF(F1242="","",F1242*J1242)</f>
        <v/>
      </c>
      <c r="Q1242" s="33" t="str">
        <f aca="false">IF(F1242="","",F1242*L1242)</f>
        <v/>
      </c>
      <c r="R1242" s="33" t="str">
        <f aca="false">IF(F1242="","",IF(H1242="",F1242,0))</f>
        <v/>
      </c>
      <c r="S1242" s="32" t="str">
        <f aca="false">IF(F1242="","",IF(N(O1242)=0,"",IF(O1242&lt;=30,"1-30",IF(O1242&lt;=60,"31-60",IF(O1242&lt;=90,"61-90","90+")))))</f>
        <v/>
      </c>
      <c r="T1242" s="32" t="str">
        <f aca="false">IF(F1242="","",IF(E1242="","Diğer",E1242))</f>
        <v/>
      </c>
      <c r="U1242" s="32" t="str">
        <f aca="false">IF(OR(F1242="",C1242=""),"",IF(COUNTIF($C$2:C1242,C1242)=1,MAX($U$1:U1241)+1,""))</f>
        <v/>
      </c>
    </row>
    <row r="1243" customFormat="false" ht="15" hidden="false" customHeight="false" outlineLevel="0" collapsed="false">
      <c r="A1243" s="34"/>
      <c r="B1243" s="9"/>
      <c r="C1243" s="34"/>
      <c r="D1243" s="34"/>
      <c r="E1243" s="34"/>
      <c r="F1243" s="35"/>
      <c r="G1243" s="9"/>
      <c r="H1243" s="9"/>
      <c r="I1243" s="34"/>
      <c r="J1243" s="30" t="str">
        <f aca="false">IF(F1243="","",G1243-B1243)</f>
        <v/>
      </c>
      <c r="K1243" s="31" t="str">
        <f aca="false">IF(F1243="","",IF(H1243&lt;&gt;"",H1243,MAX('Vade Sapması'!$D$3,G1243)))</f>
        <v/>
      </c>
      <c r="L1243" s="30" t="str">
        <f aca="false">IF(F1243="","",K1243-B1243)</f>
        <v/>
      </c>
      <c r="M1243" s="30" t="str">
        <f aca="false">IF(F1243="","",L1243-J1243)</f>
        <v/>
      </c>
      <c r="N1243" s="32" t="str">
        <f aca="false">IF(F1243="","",IF(H1243&lt;&gt;"","Kapandı",IF('Vade Sapması'!$D$3&gt;G1243,"Açık · vadesi geçti","Açık · vadesi gelmedi")))</f>
        <v/>
      </c>
      <c r="O1243" s="30" t="str">
        <f aca="false">IF(F1243="","",IF(AND(H1243="",'Vade Sapması'!$D$3&gt;G1243),'Vade Sapması'!$D$3-G1243,0))</f>
        <v/>
      </c>
      <c r="P1243" s="33" t="str">
        <f aca="false">IF(F1243="","",F1243*J1243)</f>
        <v/>
      </c>
      <c r="Q1243" s="33" t="str">
        <f aca="false">IF(F1243="","",F1243*L1243)</f>
        <v/>
      </c>
      <c r="R1243" s="33" t="str">
        <f aca="false">IF(F1243="","",IF(H1243="",F1243,0))</f>
        <v/>
      </c>
      <c r="S1243" s="32" t="str">
        <f aca="false">IF(F1243="","",IF(N(O1243)=0,"",IF(O1243&lt;=30,"1-30",IF(O1243&lt;=60,"31-60",IF(O1243&lt;=90,"61-90","90+")))))</f>
        <v/>
      </c>
      <c r="T1243" s="32" t="str">
        <f aca="false">IF(F1243="","",IF(E1243="","Diğer",E1243))</f>
        <v/>
      </c>
      <c r="U1243" s="32" t="str">
        <f aca="false">IF(OR(F1243="",C1243=""),"",IF(COUNTIF($C$2:C1243,C1243)=1,MAX($U$1:U1242)+1,""))</f>
        <v/>
      </c>
    </row>
    <row r="1244" customFormat="false" ht="15" hidden="false" customHeight="false" outlineLevel="0" collapsed="false">
      <c r="A1244" s="34"/>
      <c r="B1244" s="9"/>
      <c r="C1244" s="34"/>
      <c r="D1244" s="34"/>
      <c r="E1244" s="34"/>
      <c r="F1244" s="35"/>
      <c r="G1244" s="9"/>
      <c r="H1244" s="9"/>
      <c r="I1244" s="34"/>
      <c r="J1244" s="30" t="str">
        <f aca="false">IF(F1244="","",G1244-B1244)</f>
        <v/>
      </c>
      <c r="K1244" s="31" t="str">
        <f aca="false">IF(F1244="","",IF(H1244&lt;&gt;"",H1244,MAX('Vade Sapması'!$D$3,G1244)))</f>
        <v/>
      </c>
      <c r="L1244" s="30" t="str">
        <f aca="false">IF(F1244="","",K1244-B1244)</f>
        <v/>
      </c>
      <c r="M1244" s="30" t="str">
        <f aca="false">IF(F1244="","",L1244-J1244)</f>
        <v/>
      </c>
      <c r="N1244" s="32" t="str">
        <f aca="false">IF(F1244="","",IF(H1244&lt;&gt;"","Kapandı",IF('Vade Sapması'!$D$3&gt;G1244,"Açık · vadesi geçti","Açık · vadesi gelmedi")))</f>
        <v/>
      </c>
      <c r="O1244" s="30" t="str">
        <f aca="false">IF(F1244="","",IF(AND(H1244="",'Vade Sapması'!$D$3&gt;G1244),'Vade Sapması'!$D$3-G1244,0))</f>
        <v/>
      </c>
      <c r="P1244" s="33" t="str">
        <f aca="false">IF(F1244="","",F1244*J1244)</f>
        <v/>
      </c>
      <c r="Q1244" s="33" t="str">
        <f aca="false">IF(F1244="","",F1244*L1244)</f>
        <v/>
      </c>
      <c r="R1244" s="33" t="str">
        <f aca="false">IF(F1244="","",IF(H1244="",F1244,0))</f>
        <v/>
      </c>
      <c r="S1244" s="32" t="str">
        <f aca="false">IF(F1244="","",IF(N(O1244)=0,"",IF(O1244&lt;=30,"1-30",IF(O1244&lt;=60,"31-60",IF(O1244&lt;=90,"61-90","90+")))))</f>
        <v/>
      </c>
      <c r="T1244" s="32" t="str">
        <f aca="false">IF(F1244="","",IF(E1244="","Diğer",E1244))</f>
        <v/>
      </c>
      <c r="U1244" s="32" t="str">
        <f aca="false">IF(OR(F1244="",C1244=""),"",IF(COUNTIF($C$2:C1244,C1244)=1,MAX($U$1:U1243)+1,""))</f>
        <v/>
      </c>
    </row>
    <row r="1245" customFormat="false" ht="15" hidden="false" customHeight="false" outlineLevel="0" collapsed="false">
      <c r="A1245" s="34"/>
      <c r="B1245" s="9"/>
      <c r="C1245" s="34"/>
      <c r="D1245" s="34"/>
      <c r="E1245" s="34"/>
      <c r="F1245" s="35"/>
      <c r="G1245" s="9"/>
      <c r="H1245" s="9"/>
      <c r="I1245" s="34"/>
      <c r="J1245" s="30" t="str">
        <f aca="false">IF(F1245="","",G1245-B1245)</f>
        <v/>
      </c>
      <c r="K1245" s="31" t="str">
        <f aca="false">IF(F1245="","",IF(H1245&lt;&gt;"",H1245,MAX('Vade Sapması'!$D$3,G1245)))</f>
        <v/>
      </c>
      <c r="L1245" s="30" t="str">
        <f aca="false">IF(F1245="","",K1245-B1245)</f>
        <v/>
      </c>
      <c r="M1245" s="30" t="str">
        <f aca="false">IF(F1245="","",L1245-J1245)</f>
        <v/>
      </c>
      <c r="N1245" s="32" t="str">
        <f aca="false">IF(F1245="","",IF(H1245&lt;&gt;"","Kapandı",IF('Vade Sapması'!$D$3&gt;G1245,"Açık · vadesi geçti","Açık · vadesi gelmedi")))</f>
        <v/>
      </c>
      <c r="O1245" s="30" t="str">
        <f aca="false">IF(F1245="","",IF(AND(H1245="",'Vade Sapması'!$D$3&gt;G1245),'Vade Sapması'!$D$3-G1245,0))</f>
        <v/>
      </c>
      <c r="P1245" s="33" t="str">
        <f aca="false">IF(F1245="","",F1245*J1245)</f>
        <v/>
      </c>
      <c r="Q1245" s="33" t="str">
        <f aca="false">IF(F1245="","",F1245*L1245)</f>
        <v/>
      </c>
      <c r="R1245" s="33" t="str">
        <f aca="false">IF(F1245="","",IF(H1245="",F1245,0))</f>
        <v/>
      </c>
      <c r="S1245" s="32" t="str">
        <f aca="false">IF(F1245="","",IF(N(O1245)=0,"",IF(O1245&lt;=30,"1-30",IF(O1245&lt;=60,"31-60",IF(O1245&lt;=90,"61-90","90+")))))</f>
        <v/>
      </c>
      <c r="T1245" s="32" t="str">
        <f aca="false">IF(F1245="","",IF(E1245="","Diğer",E1245))</f>
        <v/>
      </c>
      <c r="U1245" s="32" t="str">
        <f aca="false">IF(OR(F1245="",C1245=""),"",IF(COUNTIF($C$2:C1245,C1245)=1,MAX($U$1:U1244)+1,""))</f>
        <v/>
      </c>
    </row>
    <row r="1246" customFormat="false" ht="15" hidden="false" customHeight="false" outlineLevel="0" collapsed="false">
      <c r="A1246" s="34"/>
      <c r="B1246" s="9"/>
      <c r="C1246" s="34"/>
      <c r="D1246" s="34"/>
      <c r="E1246" s="34"/>
      <c r="F1246" s="35"/>
      <c r="G1246" s="9"/>
      <c r="H1246" s="9"/>
      <c r="I1246" s="34"/>
      <c r="J1246" s="30" t="str">
        <f aca="false">IF(F1246="","",G1246-B1246)</f>
        <v/>
      </c>
      <c r="K1246" s="31" t="str">
        <f aca="false">IF(F1246="","",IF(H1246&lt;&gt;"",H1246,MAX('Vade Sapması'!$D$3,G1246)))</f>
        <v/>
      </c>
      <c r="L1246" s="30" t="str">
        <f aca="false">IF(F1246="","",K1246-B1246)</f>
        <v/>
      </c>
      <c r="M1246" s="30" t="str">
        <f aca="false">IF(F1246="","",L1246-J1246)</f>
        <v/>
      </c>
      <c r="N1246" s="32" t="str">
        <f aca="false">IF(F1246="","",IF(H1246&lt;&gt;"","Kapandı",IF('Vade Sapması'!$D$3&gt;G1246,"Açık · vadesi geçti","Açık · vadesi gelmedi")))</f>
        <v/>
      </c>
      <c r="O1246" s="30" t="str">
        <f aca="false">IF(F1246="","",IF(AND(H1246="",'Vade Sapması'!$D$3&gt;G1246),'Vade Sapması'!$D$3-G1246,0))</f>
        <v/>
      </c>
      <c r="P1246" s="33" t="str">
        <f aca="false">IF(F1246="","",F1246*J1246)</f>
        <v/>
      </c>
      <c r="Q1246" s="33" t="str">
        <f aca="false">IF(F1246="","",F1246*L1246)</f>
        <v/>
      </c>
      <c r="R1246" s="33" t="str">
        <f aca="false">IF(F1246="","",IF(H1246="",F1246,0))</f>
        <v/>
      </c>
      <c r="S1246" s="32" t="str">
        <f aca="false">IF(F1246="","",IF(N(O1246)=0,"",IF(O1246&lt;=30,"1-30",IF(O1246&lt;=60,"31-60",IF(O1246&lt;=90,"61-90","90+")))))</f>
        <v/>
      </c>
      <c r="T1246" s="32" t="str">
        <f aca="false">IF(F1246="","",IF(E1246="","Diğer",E1246))</f>
        <v/>
      </c>
      <c r="U1246" s="32" t="str">
        <f aca="false">IF(OR(F1246="",C1246=""),"",IF(COUNTIF($C$2:C1246,C1246)=1,MAX($U$1:U1245)+1,""))</f>
        <v/>
      </c>
    </row>
    <row r="1247" customFormat="false" ht="15" hidden="false" customHeight="false" outlineLevel="0" collapsed="false">
      <c r="A1247" s="34"/>
      <c r="B1247" s="9"/>
      <c r="C1247" s="34"/>
      <c r="D1247" s="34"/>
      <c r="E1247" s="34"/>
      <c r="F1247" s="35"/>
      <c r="G1247" s="9"/>
      <c r="H1247" s="9"/>
      <c r="I1247" s="34"/>
      <c r="J1247" s="30" t="str">
        <f aca="false">IF(F1247="","",G1247-B1247)</f>
        <v/>
      </c>
      <c r="K1247" s="31" t="str">
        <f aca="false">IF(F1247="","",IF(H1247&lt;&gt;"",H1247,MAX('Vade Sapması'!$D$3,G1247)))</f>
        <v/>
      </c>
      <c r="L1247" s="30" t="str">
        <f aca="false">IF(F1247="","",K1247-B1247)</f>
        <v/>
      </c>
      <c r="M1247" s="30" t="str">
        <f aca="false">IF(F1247="","",L1247-J1247)</f>
        <v/>
      </c>
      <c r="N1247" s="32" t="str">
        <f aca="false">IF(F1247="","",IF(H1247&lt;&gt;"","Kapandı",IF('Vade Sapması'!$D$3&gt;G1247,"Açık · vadesi geçti","Açık · vadesi gelmedi")))</f>
        <v/>
      </c>
      <c r="O1247" s="30" t="str">
        <f aca="false">IF(F1247="","",IF(AND(H1247="",'Vade Sapması'!$D$3&gt;G1247),'Vade Sapması'!$D$3-G1247,0))</f>
        <v/>
      </c>
      <c r="P1247" s="33" t="str">
        <f aca="false">IF(F1247="","",F1247*J1247)</f>
        <v/>
      </c>
      <c r="Q1247" s="33" t="str">
        <f aca="false">IF(F1247="","",F1247*L1247)</f>
        <v/>
      </c>
      <c r="R1247" s="33" t="str">
        <f aca="false">IF(F1247="","",IF(H1247="",F1247,0))</f>
        <v/>
      </c>
      <c r="S1247" s="32" t="str">
        <f aca="false">IF(F1247="","",IF(N(O1247)=0,"",IF(O1247&lt;=30,"1-30",IF(O1247&lt;=60,"31-60",IF(O1247&lt;=90,"61-90","90+")))))</f>
        <v/>
      </c>
      <c r="T1247" s="32" t="str">
        <f aca="false">IF(F1247="","",IF(E1247="","Diğer",E1247))</f>
        <v/>
      </c>
      <c r="U1247" s="32" t="str">
        <f aca="false">IF(OR(F1247="",C1247=""),"",IF(COUNTIF($C$2:C1247,C1247)=1,MAX($U$1:U1246)+1,""))</f>
        <v/>
      </c>
    </row>
    <row r="1248" customFormat="false" ht="15" hidden="false" customHeight="false" outlineLevel="0" collapsed="false">
      <c r="A1248" s="34"/>
      <c r="B1248" s="9"/>
      <c r="C1248" s="34"/>
      <c r="D1248" s="34"/>
      <c r="E1248" s="34"/>
      <c r="F1248" s="35"/>
      <c r="G1248" s="9"/>
      <c r="H1248" s="9"/>
      <c r="I1248" s="34"/>
      <c r="J1248" s="30" t="str">
        <f aca="false">IF(F1248="","",G1248-B1248)</f>
        <v/>
      </c>
      <c r="K1248" s="31" t="str">
        <f aca="false">IF(F1248="","",IF(H1248&lt;&gt;"",H1248,MAX('Vade Sapması'!$D$3,G1248)))</f>
        <v/>
      </c>
      <c r="L1248" s="30" t="str">
        <f aca="false">IF(F1248="","",K1248-B1248)</f>
        <v/>
      </c>
      <c r="M1248" s="30" t="str">
        <f aca="false">IF(F1248="","",L1248-J1248)</f>
        <v/>
      </c>
      <c r="N1248" s="32" t="str">
        <f aca="false">IF(F1248="","",IF(H1248&lt;&gt;"","Kapandı",IF('Vade Sapması'!$D$3&gt;G1248,"Açık · vadesi geçti","Açık · vadesi gelmedi")))</f>
        <v/>
      </c>
      <c r="O1248" s="30" t="str">
        <f aca="false">IF(F1248="","",IF(AND(H1248="",'Vade Sapması'!$D$3&gt;G1248),'Vade Sapması'!$D$3-G1248,0))</f>
        <v/>
      </c>
      <c r="P1248" s="33" t="str">
        <f aca="false">IF(F1248="","",F1248*J1248)</f>
        <v/>
      </c>
      <c r="Q1248" s="33" t="str">
        <f aca="false">IF(F1248="","",F1248*L1248)</f>
        <v/>
      </c>
      <c r="R1248" s="33" t="str">
        <f aca="false">IF(F1248="","",IF(H1248="",F1248,0))</f>
        <v/>
      </c>
      <c r="S1248" s="32" t="str">
        <f aca="false">IF(F1248="","",IF(N(O1248)=0,"",IF(O1248&lt;=30,"1-30",IF(O1248&lt;=60,"31-60",IF(O1248&lt;=90,"61-90","90+")))))</f>
        <v/>
      </c>
      <c r="T1248" s="32" t="str">
        <f aca="false">IF(F1248="","",IF(E1248="","Diğer",E1248))</f>
        <v/>
      </c>
      <c r="U1248" s="32" t="str">
        <f aca="false">IF(OR(F1248="",C1248=""),"",IF(COUNTIF($C$2:C1248,C1248)=1,MAX($U$1:U1247)+1,""))</f>
        <v/>
      </c>
    </row>
    <row r="1249" customFormat="false" ht="15" hidden="false" customHeight="false" outlineLevel="0" collapsed="false">
      <c r="A1249" s="34"/>
      <c r="B1249" s="9"/>
      <c r="C1249" s="34"/>
      <c r="D1249" s="34"/>
      <c r="E1249" s="34"/>
      <c r="F1249" s="35"/>
      <c r="G1249" s="9"/>
      <c r="H1249" s="9"/>
      <c r="I1249" s="34"/>
      <c r="J1249" s="30" t="str">
        <f aca="false">IF(F1249="","",G1249-B1249)</f>
        <v/>
      </c>
      <c r="K1249" s="31" t="str">
        <f aca="false">IF(F1249="","",IF(H1249&lt;&gt;"",H1249,MAX('Vade Sapması'!$D$3,G1249)))</f>
        <v/>
      </c>
      <c r="L1249" s="30" t="str">
        <f aca="false">IF(F1249="","",K1249-B1249)</f>
        <v/>
      </c>
      <c r="M1249" s="30" t="str">
        <f aca="false">IF(F1249="","",L1249-J1249)</f>
        <v/>
      </c>
      <c r="N1249" s="32" t="str">
        <f aca="false">IF(F1249="","",IF(H1249&lt;&gt;"","Kapandı",IF('Vade Sapması'!$D$3&gt;G1249,"Açık · vadesi geçti","Açık · vadesi gelmedi")))</f>
        <v/>
      </c>
      <c r="O1249" s="30" t="str">
        <f aca="false">IF(F1249="","",IF(AND(H1249="",'Vade Sapması'!$D$3&gt;G1249),'Vade Sapması'!$D$3-G1249,0))</f>
        <v/>
      </c>
      <c r="P1249" s="33" t="str">
        <f aca="false">IF(F1249="","",F1249*J1249)</f>
        <v/>
      </c>
      <c r="Q1249" s="33" t="str">
        <f aca="false">IF(F1249="","",F1249*L1249)</f>
        <v/>
      </c>
      <c r="R1249" s="33" t="str">
        <f aca="false">IF(F1249="","",IF(H1249="",F1249,0))</f>
        <v/>
      </c>
      <c r="S1249" s="32" t="str">
        <f aca="false">IF(F1249="","",IF(N(O1249)=0,"",IF(O1249&lt;=30,"1-30",IF(O1249&lt;=60,"31-60",IF(O1249&lt;=90,"61-90","90+")))))</f>
        <v/>
      </c>
      <c r="T1249" s="32" t="str">
        <f aca="false">IF(F1249="","",IF(E1249="","Diğer",E1249))</f>
        <v/>
      </c>
      <c r="U1249" s="32" t="str">
        <f aca="false">IF(OR(F1249="",C1249=""),"",IF(COUNTIF($C$2:C1249,C1249)=1,MAX($U$1:U1248)+1,""))</f>
        <v/>
      </c>
    </row>
    <row r="1250" customFormat="false" ht="15" hidden="false" customHeight="false" outlineLevel="0" collapsed="false">
      <c r="A1250" s="34"/>
      <c r="B1250" s="9"/>
      <c r="C1250" s="34"/>
      <c r="D1250" s="34"/>
      <c r="E1250" s="34"/>
      <c r="F1250" s="35"/>
      <c r="G1250" s="9"/>
      <c r="H1250" s="9"/>
      <c r="I1250" s="34"/>
      <c r="J1250" s="30" t="str">
        <f aca="false">IF(F1250="","",G1250-B1250)</f>
        <v/>
      </c>
      <c r="K1250" s="31" t="str">
        <f aca="false">IF(F1250="","",IF(H1250&lt;&gt;"",H1250,MAX('Vade Sapması'!$D$3,G1250)))</f>
        <v/>
      </c>
      <c r="L1250" s="30" t="str">
        <f aca="false">IF(F1250="","",K1250-B1250)</f>
        <v/>
      </c>
      <c r="M1250" s="30" t="str">
        <f aca="false">IF(F1250="","",L1250-J1250)</f>
        <v/>
      </c>
      <c r="N1250" s="32" t="str">
        <f aca="false">IF(F1250="","",IF(H1250&lt;&gt;"","Kapandı",IF('Vade Sapması'!$D$3&gt;G1250,"Açık · vadesi geçti","Açık · vadesi gelmedi")))</f>
        <v/>
      </c>
      <c r="O1250" s="30" t="str">
        <f aca="false">IF(F1250="","",IF(AND(H1250="",'Vade Sapması'!$D$3&gt;G1250),'Vade Sapması'!$D$3-G1250,0))</f>
        <v/>
      </c>
      <c r="P1250" s="33" t="str">
        <f aca="false">IF(F1250="","",F1250*J1250)</f>
        <v/>
      </c>
      <c r="Q1250" s="33" t="str">
        <f aca="false">IF(F1250="","",F1250*L1250)</f>
        <v/>
      </c>
      <c r="R1250" s="33" t="str">
        <f aca="false">IF(F1250="","",IF(H1250="",F1250,0))</f>
        <v/>
      </c>
      <c r="S1250" s="32" t="str">
        <f aca="false">IF(F1250="","",IF(N(O1250)=0,"",IF(O1250&lt;=30,"1-30",IF(O1250&lt;=60,"31-60",IF(O1250&lt;=90,"61-90","90+")))))</f>
        <v/>
      </c>
      <c r="T1250" s="32" t="str">
        <f aca="false">IF(F1250="","",IF(E1250="","Diğer",E1250))</f>
        <v/>
      </c>
      <c r="U1250" s="32" t="str">
        <f aca="false">IF(OR(F1250="",C1250=""),"",IF(COUNTIF($C$2:C1250,C1250)=1,MAX($U$1:U1249)+1,""))</f>
        <v/>
      </c>
    </row>
    <row r="1251" customFormat="false" ht="15" hidden="false" customHeight="false" outlineLevel="0" collapsed="false">
      <c r="A1251" s="34"/>
      <c r="B1251" s="9"/>
      <c r="C1251" s="34"/>
      <c r="D1251" s="34"/>
      <c r="E1251" s="34"/>
      <c r="F1251" s="35"/>
      <c r="G1251" s="9"/>
      <c r="H1251" s="9"/>
      <c r="I1251" s="34"/>
      <c r="J1251" s="30" t="str">
        <f aca="false">IF(F1251="","",G1251-B1251)</f>
        <v/>
      </c>
      <c r="K1251" s="31" t="str">
        <f aca="false">IF(F1251="","",IF(H1251&lt;&gt;"",H1251,MAX('Vade Sapması'!$D$3,G1251)))</f>
        <v/>
      </c>
      <c r="L1251" s="30" t="str">
        <f aca="false">IF(F1251="","",K1251-B1251)</f>
        <v/>
      </c>
      <c r="M1251" s="30" t="str">
        <f aca="false">IF(F1251="","",L1251-J1251)</f>
        <v/>
      </c>
      <c r="N1251" s="32" t="str">
        <f aca="false">IF(F1251="","",IF(H1251&lt;&gt;"","Kapandı",IF('Vade Sapması'!$D$3&gt;G1251,"Açık · vadesi geçti","Açık · vadesi gelmedi")))</f>
        <v/>
      </c>
      <c r="O1251" s="30" t="str">
        <f aca="false">IF(F1251="","",IF(AND(H1251="",'Vade Sapması'!$D$3&gt;G1251),'Vade Sapması'!$D$3-G1251,0))</f>
        <v/>
      </c>
      <c r="P1251" s="33" t="str">
        <f aca="false">IF(F1251="","",F1251*J1251)</f>
        <v/>
      </c>
      <c r="Q1251" s="33" t="str">
        <f aca="false">IF(F1251="","",F1251*L1251)</f>
        <v/>
      </c>
      <c r="R1251" s="33" t="str">
        <f aca="false">IF(F1251="","",IF(H1251="",F1251,0))</f>
        <v/>
      </c>
      <c r="S1251" s="32" t="str">
        <f aca="false">IF(F1251="","",IF(N(O1251)=0,"",IF(O1251&lt;=30,"1-30",IF(O1251&lt;=60,"31-60",IF(O1251&lt;=90,"61-90","90+")))))</f>
        <v/>
      </c>
      <c r="T1251" s="32" t="str">
        <f aca="false">IF(F1251="","",IF(E1251="","Diğer",E1251))</f>
        <v/>
      </c>
      <c r="U1251" s="32" t="str">
        <f aca="false">IF(OR(F1251="",C1251=""),"",IF(COUNTIF($C$2:C1251,C1251)=1,MAX($U$1:U1250)+1,""))</f>
        <v/>
      </c>
    </row>
    <row r="1252" customFormat="false" ht="15" hidden="false" customHeight="false" outlineLevel="0" collapsed="false">
      <c r="A1252" s="34"/>
      <c r="B1252" s="9"/>
      <c r="C1252" s="34"/>
      <c r="D1252" s="34"/>
      <c r="E1252" s="34"/>
      <c r="F1252" s="35"/>
      <c r="G1252" s="9"/>
      <c r="H1252" s="9"/>
      <c r="I1252" s="34"/>
      <c r="J1252" s="30" t="str">
        <f aca="false">IF(F1252="","",G1252-B1252)</f>
        <v/>
      </c>
      <c r="K1252" s="31" t="str">
        <f aca="false">IF(F1252="","",IF(H1252&lt;&gt;"",H1252,MAX('Vade Sapması'!$D$3,G1252)))</f>
        <v/>
      </c>
      <c r="L1252" s="30" t="str">
        <f aca="false">IF(F1252="","",K1252-B1252)</f>
        <v/>
      </c>
      <c r="M1252" s="30" t="str">
        <f aca="false">IF(F1252="","",L1252-J1252)</f>
        <v/>
      </c>
      <c r="N1252" s="32" t="str">
        <f aca="false">IF(F1252="","",IF(H1252&lt;&gt;"","Kapandı",IF('Vade Sapması'!$D$3&gt;G1252,"Açık · vadesi geçti","Açık · vadesi gelmedi")))</f>
        <v/>
      </c>
      <c r="O1252" s="30" t="str">
        <f aca="false">IF(F1252="","",IF(AND(H1252="",'Vade Sapması'!$D$3&gt;G1252),'Vade Sapması'!$D$3-G1252,0))</f>
        <v/>
      </c>
      <c r="P1252" s="33" t="str">
        <f aca="false">IF(F1252="","",F1252*J1252)</f>
        <v/>
      </c>
      <c r="Q1252" s="33" t="str">
        <f aca="false">IF(F1252="","",F1252*L1252)</f>
        <v/>
      </c>
      <c r="R1252" s="33" t="str">
        <f aca="false">IF(F1252="","",IF(H1252="",F1252,0))</f>
        <v/>
      </c>
      <c r="S1252" s="32" t="str">
        <f aca="false">IF(F1252="","",IF(N(O1252)=0,"",IF(O1252&lt;=30,"1-30",IF(O1252&lt;=60,"31-60",IF(O1252&lt;=90,"61-90","90+")))))</f>
        <v/>
      </c>
      <c r="T1252" s="32" t="str">
        <f aca="false">IF(F1252="","",IF(E1252="","Diğer",E1252))</f>
        <v/>
      </c>
      <c r="U1252" s="32" t="str">
        <f aca="false">IF(OR(F1252="",C1252=""),"",IF(COUNTIF($C$2:C1252,C1252)=1,MAX($U$1:U1251)+1,""))</f>
        <v/>
      </c>
    </row>
    <row r="1253" customFormat="false" ht="15" hidden="false" customHeight="false" outlineLevel="0" collapsed="false">
      <c r="A1253" s="34"/>
      <c r="B1253" s="9"/>
      <c r="C1253" s="34"/>
      <c r="D1253" s="34"/>
      <c r="E1253" s="34"/>
      <c r="F1253" s="35"/>
      <c r="G1253" s="9"/>
      <c r="H1253" s="9"/>
      <c r="I1253" s="34"/>
      <c r="J1253" s="30" t="str">
        <f aca="false">IF(F1253="","",G1253-B1253)</f>
        <v/>
      </c>
      <c r="K1253" s="31" t="str">
        <f aca="false">IF(F1253="","",IF(H1253&lt;&gt;"",H1253,MAX('Vade Sapması'!$D$3,G1253)))</f>
        <v/>
      </c>
      <c r="L1253" s="30" t="str">
        <f aca="false">IF(F1253="","",K1253-B1253)</f>
        <v/>
      </c>
      <c r="M1253" s="30" t="str">
        <f aca="false">IF(F1253="","",L1253-J1253)</f>
        <v/>
      </c>
      <c r="N1253" s="32" t="str">
        <f aca="false">IF(F1253="","",IF(H1253&lt;&gt;"","Kapandı",IF('Vade Sapması'!$D$3&gt;G1253,"Açık · vadesi geçti","Açık · vadesi gelmedi")))</f>
        <v/>
      </c>
      <c r="O1253" s="30" t="str">
        <f aca="false">IF(F1253="","",IF(AND(H1253="",'Vade Sapması'!$D$3&gt;G1253),'Vade Sapması'!$D$3-G1253,0))</f>
        <v/>
      </c>
      <c r="P1253" s="33" t="str">
        <f aca="false">IF(F1253="","",F1253*J1253)</f>
        <v/>
      </c>
      <c r="Q1253" s="33" t="str">
        <f aca="false">IF(F1253="","",F1253*L1253)</f>
        <v/>
      </c>
      <c r="R1253" s="33" t="str">
        <f aca="false">IF(F1253="","",IF(H1253="",F1253,0))</f>
        <v/>
      </c>
      <c r="S1253" s="32" t="str">
        <f aca="false">IF(F1253="","",IF(N(O1253)=0,"",IF(O1253&lt;=30,"1-30",IF(O1253&lt;=60,"31-60",IF(O1253&lt;=90,"61-90","90+")))))</f>
        <v/>
      </c>
      <c r="T1253" s="32" t="str">
        <f aca="false">IF(F1253="","",IF(E1253="","Diğer",E1253))</f>
        <v/>
      </c>
      <c r="U1253" s="32" t="str">
        <f aca="false">IF(OR(F1253="",C1253=""),"",IF(COUNTIF($C$2:C1253,C1253)=1,MAX($U$1:U1252)+1,""))</f>
        <v/>
      </c>
    </row>
    <row r="1254" customFormat="false" ht="15" hidden="false" customHeight="false" outlineLevel="0" collapsed="false">
      <c r="A1254" s="34"/>
      <c r="B1254" s="9"/>
      <c r="C1254" s="34"/>
      <c r="D1254" s="34"/>
      <c r="E1254" s="34"/>
      <c r="F1254" s="35"/>
      <c r="G1254" s="9"/>
      <c r="H1254" s="9"/>
      <c r="I1254" s="34"/>
      <c r="J1254" s="30" t="str">
        <f aca="false">IF(F1254="","",G1254-B1254)</f>
        <v/>
      </c>
      <c r="K1254" s="31" t="str">
        <f aca="false">IF(F1254="","",IF(H1254&lt;&gt;"",H1254,MAX('Vade Sapması'!$D$3,G1254)))</f>
        <v/>
      </c>
      <c r="L1254" s="30" t="str">
        <f aca="false">IF(F1254="","",K1254-B1254)</f>
        <v/>
      </c>
      <c r="M1254" s="30" t="str">
        <f aca="false">IF(F1254="","",L1254-J1254)</f>
        <v/>
      </c>
      <c r="N1254" s="32" t="str">
        <f aca="false">IF(F1254="","",IF(H1254&lt;&gt;"","Kapandı",IF('Vade Sapması'!$D$3&gt;G1254,"Açık · vadesi geçti","Açık · vadesi gelmedi")))</f>
        <v/>
      </c>
      <c r="O1254" s="30" t="str">
        <f aca="false">IF(F1254="","",IF(AND(H1254="",'Vade Sapması'!$D$3&gt;G1254),'Vade Sapması'!$D$3-G1254,0))</f>
        <v/>
      </c>
      <c r="P1254" s="33" t="str">
        <f aca="false">IF(F1254="","",F1254*J1254)</f>
        <v/>
      </c>
      <c r="Q1254" s="33" t="str">
        <f aca="false">IF(F1254="","",F1254*L1254)</f>
        <v/>
      </c>
      <c r="R1254" s="33" t="str">
        <f aca="false">IF(F1254="","",IF(H1254="",F1254,0))</f>
        <v/>
      </c>
      <c r="S1254" s="32" t="str">
        <f aca="false">IF(F1254="","",IF(N(O1254)=0,"",IF(O1254&lt;=30,"1-30",IF(O1254&lt;=60,"31-60",IF(O1254&lt;=90,"61-90","90+")))))</f>
        <v/>
      </c>
      <c r="T1254" s="32" t="str">
        <f aca="false">IF(F1254="","",IF(E1254="","Diğer",E1254))</f>
        <v/>
      </c>
      <c r="U1254" s="32" t="str">
        <f aca="false">IF(OR(F1254="",C1254=""),"",IF(COUNTIF($C$2:C1254,C1254)=1,MAX($U$1:U1253)+1,""))</f>
        <v/>
      </c>
    </row>
    <row r="1255" customFormat="false" ht="15" hidden="false" customHeight="false" outlineLevel="0" collapsed="false">
      <c r="A1255" s="34"/>
      <c r="B1255" s="9"/>
      <c r="C1255" s="34"/>
      <c r="D1255" s="34"/>
      <c r="E1255" s="34"/>
      <c r="F1255" s="35"/>
      <c r="G1255" s="9"/>
      <c r="H1255" s="9"/>
      <c r="I1255" s="34"/>
      <c r="J1255" s="30" t="str">
        <f aca="false">IF(F1255="","",G1255-B1255)</f>
        <v/>
      </c>
      <c r="K1255" s="31" t="str">
        <f aca="false">IF(F1255="","",IF(H1255&lt;&gt;"",H1255,MAX('Vade Sapması'!$D$3,G1255)))</f>
        <v/>
      </c>
      <c r="L1255" s="30" t="str">
        <f aca="false">IF(F1255="","",K1255-B1255)</f>
        <v/>
      </c>
      <c r="M1255" s="30" t="str">
        <f aca="false">IF(F1255="","",L1255-J1255)</f>
        <v/>
      </c>
      <c r="N1255" s="32" t="str">
        <f aca="false">IF(F1255="","",IF(H1255&lt;&gt;"","Kapandı",IF('Vade Sapması'!$D$3&gt;G1255,"Açık · vadesi geçti","Açık · vadesi gelmedi")))</f>
        <v/>
      </c>
      <c r="O1255" s="30" t="str">
        <f aca="false">IF(F1255="","",IF(AND(H1255="",'Vade Sapması'!$D$3&gt;G1255),'Vade Sapması'!$D$3-G1255,0))</f>
        <v/>
      </c>
      <c r="P1255" s="33" t="str">
        <f aca="false">IF(F1255="","",F1255*J1255)</f>
        <v/>
      </c>
      <c r="Q1255" s="33" t="str">
        <f aca="false">IF(F1255="","",F1255*L1255)</f>
        <v/>
      </c>
      <c r="R1255" s="33" t="str">
        <f aca="false">IF(F1255="","",IF(H1255="",F1255,0))</f>
        <v/>
      </c>
      <c r="S1255" s="32" t="str">
        <f aca="false">IF(F1255="","",IF(N(O1255)=0,"",IF(O1255&lt;=30,"1-30",IF(O1255&lt;=60,"31-60",IF(O1255&lt;=90,"61-90","90+")))))</f>
        <v/>
      </c>
      <c r="T1255" s="32" t="str">
        <f aca="false">IF(F1255="","",IF(E1255="","Diğer",E1255))</f>
        <v/>
      </c>
      <c r="U1255" s="32" t="str">
        <f aca="false">IF(OR(F1255="",C1255=""),"",IF(COUNTIF($C$2:C1255,C1255)=1,MAX($U$1:U1254)+1,""))</f>
        <v/>
      </c>
    </row>
    <row r="1256" customFormat="false" ht="15" hidden="false" customHeight="false" outlineLevel="0" collapsed="false">
      <c r="A1256" s="34"/>
      <c r="B1256" s="9"/>
      <c r="C1256" s="34"/>
      <c r="D1256" s="34"/>
      <c r="E1256" s="34"/>
      <c r="F1256" s="35"/>
      <c r="G1256" s="9"/>
      <c r="H1256" s="9"/>
      <c r="I1256" s="34"/>
      <c r="J1256" s="30" t="str">
        <f aca="false">IF(F1256="","",G1256-B1256)</f>
        <v/>
      </c>
      <c r="K1256" s="31" t="str">
        <f aca="false">IF(F1256="","",IF(H1256&lt;&gt;"",H1256,MAX('Vade Sapması'!$D$3,G1256)))</f>
        <v/>
      </c>
      <c r="L1256" s="30" t="str">
        <f aca="false">IF(F1256="","",K1256-B1256)</f>
        <v/>
      </c>
      <c r="M1256" s="30" t="str">
        <f aca="false">IF(F1256="","",L1256-J1256)</f>
        <v/>
      </c>
      <c r="N1256" s="32" t="str">
        <f aca="false">IF(F1256="","",IF(H1256&lt;&gt;"","Kapandı",IF('Vade Sapması'!$D$3&gt;G1256,"Açık · vadesi geçti","Açık · vadesi gelmedi")))</f>
        <v/>
      </c>
      <c r="O1256" s="30" t="str">
        <f aca="false">IF(F1256="","",IF(AND(H1256="",'Vade Sapması'!$D$3&gt;G1256),'Vade Sapması'!$D$3-G1256,0))</f>
        <v/>
      </c>
      <c r="P1256" s="33" t="str">
        <f aca="false">IF(F1256="","",F1256*J1256)</f>
        <v/>
      </c>
      <c r="Q1256" s="33" t="str">
        <f aca="false">IF(F1256="","",F1256*L1256)</f>
        <v/>
      </c>
      <c r="R1256" s="33" t="str">
        <f aca="false">IF(F1256="","",IF(H1256="",F1256,0))</f>
        <v/>
      </c>
      <c r="S1256" s="32" t="str">
        <f aca="false">IF(F1256="","",IF(N(O1256)=0,"",IF(O1256&lt;=30,"1-30",IF(O1256&lt;=60,"31-60",IF(O1256&lt;=90,"61-90","90+")))))</f>
        <v/>
      </c>
      <c r="T1256" s="32" t="str">
        <f aca="false">IF(F1256="","",IF(E1256="","Diğer",E1256))</f>
        <v/>
      </c>
      <c r="U1256" s="32" t="str">
        <f aca="false">IF(OR(F1256="",C1256=""),"",IF(COUNTIF($C$2:C1256,C1256)=1,MAX($U$1:U1255)+1,""))</f>
        <v/>
      </c>
    </row>
    <row r="1257" customFormat="false" ht="15" hidden="false" customHeight="false" outlineLevel="0" collapsed="false">
      <c r="A1257" s="34"/>
      <c r="B1257" s="9"/>
      <c r="C1257" s="34"/>
      <c r="D1257" s="34"/>
      <c r="E1257" s="34"/>
      <c r="F1257" s="35"/>
      <c r="G1257" s="9"/>
      <c r="H1257" s="9"/>
      <c r="I1257" s="34"/>
      <c r="J1257" s="30" t="str">
        <f aca="false">IF(F1257="","",G1257-B1257)</f>
        <v/>
      </c>
      <c r="K1257" s="31" t="str">
        <f aca="false">IF(F1257="","",IF(H1257&lt;&gt;"",H1257,MAX('Vade Sapması'!$D$3,G1257)))</f>
        <v/>
      </c>
      <c r="L1257" s="30" t="str">
        <f aca="false">IF(F1257="","",K1257-B1257)</f>
        <v/>
      </c>
      <c r="M1257" s="30" t="str">
        <f aca="false">IF(F1257="","",L1257-J1257)</f>
        <v/>
      </c>
      <c r="N1257" s="32" t="str">
        <f aca="false">IF(F1257="","",IF(H1257&lt;&gt;"","Kapandı",IF('Vade Sapması'!$D$3&gt;G1257,"Açık · vadesi geçti","Açık · vadesi gelmedi")))</f>
        <v/>
      </c>
      <c r="O1257" s="30" t="str">
        <f aca="false">IF(F1257="","",IF(AND(H1257="",'Vade Sapması'!$D$3&gt;G1257),'Vade Sapması'!$D$3-G1257,0))</f>
        <v/>
      </c>
      <c r="P1257" s="33" t="str">
        <f aca="false">IF(F1257="","",F1257*J1257)</f>
        <v/>
      </c>
      <c r="Q1257" s="33" t="str">
        <f aca="false">IF(F1257="","",F1257*L1257)</f>
        <v/>
      </c>
      <c r="R1257" s="33" t="str">
        <f aca="false">IF(F1257="","",IF(H1257="",F1257,0))</f>
        <v/>
      </c>
      <c r="S1257" s="32" t="str">
        <f aca="false">IF(F1257="","",IF(N(O1257)=0,"",IF(O1257&lt;=30,"1-30",IF(O1257&lt;=60,"31-60",IF(O1257&lt;=90,"61-90","90+")))))</f>
        <v/>
      </c>
      <c r="T1257" s="32" t="str">
        <f aca="false">IF(F1257="","",IF(E1257="","Diğer",E1257))</f>
        <v/>
      </c>
      <c r="U1257" s="32" t="str">
        <f aca="false">IF(OR(F1257="",C1257=""),"",IF(COUNTIF($C$2:C1257,C1257)=1,MAX($U$1:U1256)+1,""))</f>
        <v/>
      </c>
    </row>
    <row r="1258" customFormat="false" ht="15" hidden="false" customHeight="false" outlineLevel="0" collapsed="false">
      <c r="A1258" s="34"/>
      <c r="B1258" s="9"/>
      <c r="C1258" s="34"/>
      <c r="D1258" s="34"/>
      <c r="E1258" s="34"/>
      <c r="F1258" s="35"/>
      <c r="G1258" s="9"/>
      <c r="H1258" s="9"/>
      <c r="I1258" s="34"/>
      <c r="J1258" s="30" t="str">
        <f aca="false">IF(F1258="","",G1258-B1258)</f>
        <v/>
      </c>
      <c r="K1258" s="31" t="str">
        <f aca="false">IF(F1258="","",IF(H1258&lt;&gt;"",H1258,MAX('Vade Sapması'!$D$3,G1258)))</f>
        <v/>
      </c>
      <c r="L1258" s="30" t="str">
        <f aca="false">IF(F1258="","",K1258-B1258)</f>
        <v/>
      </c>
      <c r="M1258" s="30" t="str">
        <f aca="false">IF(F1258="","",L1258-J1258)</f>
        <v/>
      </c>
      <c r="N1258" s="32" t="str">
        <f aca="false">IF(F1258="","",IF(H1258&lt;&gt;"","Kapandı",IF('Vade Sapması'!$D$3&gt;G1258,"Açık · vadesi geçti","Açık · vadesi gelmedi")))</f>
        <v/>
      </c>
      <c r="O1258" s="30" t="str">
        <f aca="false">IF(F1258="","",IF(AND(H1258="",'Vade Sapması'!$D$3&gt;G1258),'Vade Sapması'!$D$3-G1258,0))</f>
        <v/>
      </c>
      <c r="P1258" s="33" t="str">
        <f aca="false">IF(F1258="","",F1258*J1258)</f>
        <v/>
      </c>
      <c r="Q1258" s="33" t="str">
        <f aca="false">IF(F1258="","",F1258*L1258)</f>
        <v/>
      </c>
      <c r="R1258" s="33" t="str">
        <f aca="false">IF(F1258="","",IF(H1258="",F1258,0))</f>
        <v/>
      </c>
      <c r="S1258" s="32" t="str">
        <f aca="false">IF(F1258="","",IF(N(O1258)=0,"",IF(O1258&lt;=30,"1-30",IF(O1258&lt;=60,"31-60",IF(O1258&lt;=90,"61-90","90+")))))</f>
        <v/>
      </c>
      <c r="T1258" s="32" t="str">
        <f aca="false">IF(F1258="","",IF(E1258="","Diğer",E1258))</f>
        <v/>
      </c>
      <c r="U1258" s="32" t="str">
        <f aca="false">IF(OR(F1258="",C1258=""),"",IF(COUNTIF($C$2:C1258,C1258)=1,MAX($U$1:U1257)+1,""))</f>
        <v/>
      </c>
    </row>
    <row r="1259" customFormat="false" ht="15" hidden="false" customHeight="false" outlineLevel="0" collapsed="false">
      <c r="A1259" s="34"/>
      <c r="B1259" s="9"/>
      <c r="C1259" s="34"/>
      <c r="D1259" s="34"/>
      <c r="E1259" s="34"/>
      <c r="F1259" s="35"/>
      <c r="G1259" s="9"/>
      <c r="H1259" s="9"/>
      <c r="I1259" s="34"/>
      <c r="J1259" s="30" t="str">
        <f aca="false">IF(F1259="","",G1259-B1259)</f>
        <v/>
      </c>
      <c r="K1259" s="31" t="str">
        <f aca="false">IF(F1259="","",IF(H1259&lt;&gt;"",H1259,MAX('Vade Sapması'!$D$3,G1259)))</f>
        <v/>
      </c>
      <c r="L1259" s="30" t="str">
        <f aca="false">IF(F1259="","",K1259-B1259)</f>
        <v/>
      </c>
      <c r="M1259" s="30" t="str">
        <f aca="false">IF(F1259="","",L1259-J1259)</f>
        <v/>
      </c>
      <c r="N1259" s="32" t="str">
        <f aca="false">IF(F1259="","",IF(H1259&lt;&gt;"","Kapandı",IF('Vade Sapması'!$D$3&gt;G1259,"Açık · vadesi geçti","Açık · vadesi gelmedi")))</f>
        <v/>
      </c>
      <c r="O1259" s="30" t="str">
        <f aca="false">IF(F1259="","",IF(AND(H1259="",'Vade Sapması'!$D$3&gt;G1259),'Vade Sapması'!$D$3-G1259,0))</f>
        <v/>
      </c>
      <c r="P1259" s="33" t="str">
        <f aca="false">IF(F1259="","",F1259*J1259)</f>
        <v/>
      </c>
      <c r="Q1259" s="33" t="str">
        <f aca="false">IF(F1259="","",F1259*L1259)</f>
        <v/>
      </c>
      <c r="R1259" s="33" t="str">
        <f aca="false">IF(F1259="","",IF(H1259="",F1259,0))</f>
        <v/>
      </c>
      <c r="S1259" s="32" t="str">
        <f aca="false">IF(F1259="","",IF(N(O1259)=0,"",IF(O1259&lt;=30,"1-30",IF(O1259&lt;=60,"31-60",IF(O1259&lt;=90,"61-90","90+")))))</f>
        <v/>
      </c>
      <c r="T1259" s="32" t="str">
        <f aca="false">IF(F1259="","",IF(E1259="","Diğer",E1259))</f>
        <v/>
      </c>
      <c r="U1259" s="32" t="str">
        <f aca="false">IF(OR(F1259="",C1259=""),"",IF(COUNTIF($C$2:C1259,C1259)=1,MAX($U$1:U1258)+1,""))</f>
        <v/>
      </c>
    </row>
    <row r="1260" customFormat="false" ht="15" hidden="false" customHeight="false" outlineLevel="0" collapsed="false">
      <c r="A1260" s="34"/>
      <c r="B1260" s="9"/>
      <c r="C1260" s="34"/>
      <c r="D1260" s="34"/>
      <c r="E1260" s="34"/>
      <c r="F1260" s="35"/>
      <c r="G1260" s="9"/>
      <c r="H1260" s="9"/>
      <c r="I1260" s="34"/>
      <c r="J1260" s="30" t="str">
        <f aca="false">IF(F1260="","",G1260-B1260)</f>
        <v/>
      </c>
      <c r="K1260" s="31" t="str">
        <f aca="false">IF(F1260="","",IF(H1260&lt;&gt;"",H1260,MAX('Vade Sapması'!$D$3,G1260)))</f>
        <v/>
      </c>
      <c r="L1260" s="30" t="str">
        <f aca="false">IF(F1260="","",K1260-B1260)</f>
        <v/>
      </c>
      <c r="M1260" s="30" t="str">
        <f aca="false">IF(F1260="","",L1260-J1260)</f>
        <v/>
      </c>
      <c r="N1260" s="32" t="str">
        <f aca="false">IF(F1260="","",IF(H1260&lt;&gt;"","Kapandı",IF('Vade Sapması'!$D$3&gt;G1260,"Açık · vadesi geçti","Açık · vadesi gelmedi")))</f>
        <v/>
      </c>
      <c r="O1260" s="30" t="str">
        <f aca="false">IF(F1260="","",IF(AND(H1260="",'Vade Sapması'!$D$3&gt;G1260),'Vade Sapması'!$D$3-G1260,0))</f>
        <v/>
      </c>
      <c r="P1260" s="33" t="str">
        <f aca="false">IF(F1260="","",F1260*J1260)</f>
        <v/>
      </c>
      <c r="Q1260" s="33" t="str">
        <f aca="false">IF(F1260="","",F1260*L1260)</f>
        <v/>
      </c>
      <c r="R1260" s="33" t="str">
        <f aca="false">IF(F1260="","",IF(H1260="",F1260,0))</f>
        <v/>
      </c>
      <c r="S1260" s="32" t="str">
        <f aca="false">IF(F1260="","",IF(N(O1260)=0,"",IF(O1260&lt;=30,"1-30",IF(O1260&lt;=60,"31-60",IF(O1260&lt;=90,"61-90","90+")))))</f>
        <v/>
      </c>
      <c r="T1260" s="32" t="str">
        <f aca="false">IF(F1260="","",IF(E1260="","Diğer",E1260))</f>
        <v/>
      </c>
      <c r="U1260" s="32" t="str">
        <f aca="false">IF(OR(F1260="",C1260=""),"",IF(COUNTIF($C$2:C1260,C1260)=1,MAX($U$1:U1259)+1,""))</f>
        <v/>
      </c>
    </row>
    <row r="1261" customFormat="false" ht="15" hidden="false" customHeight="false" outlineLevel="0" collapsed="false">
      <c r="A1261" s="34"/>
      <c r="B1261" s="9"/>
      <c r="C1261" s="34"/>
      <c r="D1261" s="34"/>
      <c r="E1261" s="34"/>
      <c r="F1261" s="35"/>
      <c r="G1261" s="9"/>
      <c r="H1261" s="9"/>
      <c r="I1261" s="34"/>
      <c r="J1261" s="30" t="str">
        <f aca="false">IF(F1261="","",G1261-B1261)</f>
        <v/>
      </c>
      <c r="K1261" s="31" t="str">
        <f aca="false">IF(F1261="","",IF(H1261&lt;&gt;"",H1261,MAX('Vade Sapması'!$D$3,G1261)))</f>
        <v/>
      </c>
      <c r="L1261" s="30" t="str">
        <f aca="false">IF(F1261="","",K1261-B1261)</f>
        <v/>
      </c>
      <c r="M1261" s="30" t="str">
        <f aca="false">IF(F1261="","",L1261-J1261)</f>
        <v/>
      </c>
      <c r="N1261" s="32" t="str">
        <f aca="false">IF(F1261="","",IF(H1261&lt;&gt;"","Kapandı",IF('Vade Sapması'!$D$3&gt;G1261,"Açık · vadesi geçti","Açık · vadesi gelmedi")))</f>
        <v/>
      </c>
      <c r="O1261" s="30" t="str">
        <f aca="false">IF(F1261="","",IF(AND(H1261="",'Vade Sapması'!$D$3&gt;G1261),'Vade Sapması'!$D$3-G1261,0))</f>
        <v/>
      </c>
      <c r="P1261" s="33" t="str">
        <f aca="false">IF(F1261="","",F1261*J1261)</f>
        <v/>
      </c>
      <c r="Q1261" s="33" t="str">
        <f aca="false">IF(F1261="","",F1261*L1261)</f>
        <v/>
      </c>
      <c r="R1261" s="33" t="str">
        <f aca="false">IF(F1261="","",IF(H1261="",F1261,0))</f>
        <v/>
      </c>
      <c r="S1261" s="32" t="str">
        <f aca="false">IF(F1261="","",IF(N(O1261)=0,"",IF(O1261&lt;=30,"1-30",IF(O1261&lt;=60,"31-60",IF(O1261&lt;=90,"61-90","90+")))))</f>
        <v/>
      </c>
      <c r="T1261" s="32" t="str">
        <f aca="false">IF(F1261="","",IF(E1261="","Diğer",E1261))</f>
        <v/>
      </c>
      <c r="U1261" s="32" t="str">
        <f aca="false">IF(OR(F1261="",C1261=""),"",IF(COUNTIF($C$2:C1261,C1261)=1,MAX($U$1:U1260)+1,""))</f>
        <v/>
      </c>
    </row>
    <row r="1262" customFormat="false" ht="15" hidden="false" customHeight="false" outlineLevel="0" collapsed="false">
      <c r="A1262" s="34"/>
      <c r="B1262" s="9"/>
      <c r="C1262" s="34"/>
      <c r="D1262" s="34"/>
      <c r="E1262" s="34"/>
      <c r="F1262" s="35"/>
      <c r="G1262" s="9"/>
      <c r="H1262" s="9"/>
      <c r="I1262" s="34"/>
      <c r="J1262" s="30" t="str">
        <f aca="false">IF(F1262="","",G1262-B1262)</f>
        <v/>
      </c>
      <c r="K1262" s="31" t="str">
        <f aca="false">IF(F1262="","",IF(H1262&lt;&gt;"",H1262,MAX('Vade Sapması'!$D$3,G1262)))</f>
        <v/>
      </c>
      <c r="L1262" s="30" t="str">
        <f aca="false">IF(F1262="","",K1262-B1262)</f>
        <v/>
      </c>
      <c r="M1262" s="30" t="str">
        <f aca="false">IF(F1262="","",L1262-J1262)</f>
        <v/>
      </c>
      <c r="N1262" s="32" t="str">
        <f aca="false">IF(F1262="","",IF(H1262&lt;&gt;"","Kapandı",IF('Vade Sapması'!$D$3&gt;G1262,"Açık · vadesi geçti","Açık · vadesi gelmedi")))</f>
        <v/>
      </c>
      <c r="O1262" s="30" t="str">
        <f aca="false">IF(F1262="","",IF(AND(H1262="",'Vade Sapması'!$D$3&gt;G1262),'Vade Sapması'!$D$3-G1262,0))</f>
        <v/>
      </c>
      <c r="P1262" s="33" t="str">
        <f aca="false">IF(F1262="","",F1262*J1262)</f>
        <v/>
      </c>
      <c r="Q1262" s="33" t="str">
        <f aca="false">IF(F1262="","",F1262*L1262)</f>
        <v/>
      </c>
      <c r="R1262" s="33" t="str">
        <f aca="false">IF(F1262="","",IF(H1262="",F1262,0))</f>
        <v/>
      </c>
      <c r="S1262" s="32" t="str">
        <f aca="false">IF(F1262="","",IF(N(O1262)=0,"",IF(O1262&lt;=30,"1-30",IF(O1262&lt;=60,"31-60",IF(O1262&lt;=90,"61-90","90+")))))</f>
        <v/>
      </c>
      <c r="T1262" s="32" t="str">
        <f aca="false">IF(F1262="","",IF(E1262="","Diğer",E1262))</f>
        <v/>
      </c>
      <c r="U1262" s="32" t="str">
        <f aca="false">IF(OR(F1262="",C1262=""),"",IF(COUNTIF($C$2:C1262,C1262)=1,MAX($U$1:U1261)+1,""))</f>
        <v/>
      </c>
    </row>
    <row r="1263" customFormat="false" ht="15" hidden="false" customHeight="false" outlineLevel="0" collapsed="false">
      <c r="A1263" s="34"/>
      <c r="B1263" s="9"/>
      <c r="C1263" s="34"/>
      <c r="D1263" s="34"/>
      <c r="E1263" s="34"/>
      <c r="F1263" s="35"/>
      <c r="G1263" s="9"/>
      <c r="H1263" s="9"/>
      <c r="I1263" s="34"/>
      <c r="J1263" s="30" t="str">
        <f aca="false">IF(F1263="","",G1263-B1263)</f>
        <v/>
      </c>
      <c r="K1263" s="31" t="str">
        <f aca="false">IF(F1263="","",IF(H1263&lt;&gt;"",H1263,MAX('Vade Sapması'!$D$3,G1263)))</f>
        <v/>
      </c>
      <c r="L1263" s="30" t="str">
        <f aca="false">IF(F1263="","",K1263-B1263)</f>
        <v/>
      </c>
      <c r="M1263" s="30" t="str">
        <f aca="false">IF(F1263="","",L1263-J1263)</f>
        <v/>
      </c>
      <c r="N1263" s="32" t="str">
        <f aca="false">IF(F1263="","",IF(H1263&lt;&gt;"","Kapandı",IF('Vade Sapması'!$D$3&gt;G1263,"Açık · vadesi geçti","Açık · vadesi gelmedi")))</f>
        <v/>
      </c>
      <c r="O1263" s="30" t="str">
        <f aca="false">IF(F1263="","",IF(AND(H1263="",'Vade Sapması'!$D$3&gt;G1263),'Vade Sapması'!$D$3-G1263,0))</f>
        <v/>
      </c>
      <c r="P1263" s="33" t="str">
        <f aca="false">IF(F1263="","",F1263*J1263)</f>
        <v/>
      </c>
      <c r="Q1263" s="33" t="str">
        <f aca="false">IF(F1263="","",F1263*L1263)</f>
        <v/>
      </c>
      <c r="R1263" s="33" t="str">
        <f aca="false">IF(F1263="","",IF(H1263="",F1263,0))</f>
        <v/>
      </c>
      <c r="S1263" s="32" t="str">
        <f aca="false">IF(F1263="","",IF(N(O1263)=0,"",IF(O1263&lt;=30,"1-30",IF(O1263&lt;=60,"31-60",IF(O1263&lt;=90,"61-90","90+")))))</f>
        <v/>
      </c>
      <c r="T1263" s="32" t="str">
        <f aca="false">IF(F1263="","",IF(E1263="","Diğer",E1263))</f>
        <v/>
      </c>
      <c r="U1263" s="32" t="str">
        <f aca="false">IF(OR(F1263="",C1263=""),"",IF(COUNTIF($C$2:C1263,C1263)=1,MAX($U$1:U1262)+1,""))</f>
        <v/>
      </c>
    </row>
    <row r="1264" customFormat="false" ht="15" hidden="false" customHeight="false" outlineLevel="0" collapsed="false">
      <c r="A1264" s="34"/>
      <c r="B1264" s="9"/>
      <c r="C1264" s="34"/>
      <c r="D1264" s="34"/>
      <c r="E1264" s="34"/>
      <c r="F1264" s="35"/>
      <c r="G1264" s="9"/>
      <c r="H1264" s="9"/>
      <c r="I1264" s="34"/>
      <c r="J1264" s="30" t="str">
        <f aca="false">IF(F1264="","",G1264-B1264)</f>
        <v/>
      </c>
      <c r="K1264" s="31" t="str">
        <f aca="false">IF(F1264="","",IF(H1264&lt;&gt;"",H1264,MAX('Vade Sapması'!$D$3,G1264)))</f>
        <v/>
      </c>
      <c r="L1264" s="30" t="str">
        <f aca="false">IF(F1264="","",K1264-B1264)</f>
        <v/>
      </c>
      <c r="M1264" s="30" t="str">
        <f aca="false">IF(F1264="","",L1264-J1264)</f>
        <v/>
      </c>
      <c r="N1264" s="32" t="str">
        <f aca="false">IF(F1264="","",IF(H1264&lt;&gt;"","Kapandı",IF('Vade Sapması'!$D$3&gt;G1264,"Açık · vadesi geçti","Açık · vadesi gelmedi")))</f>
        <v/>
      </c>
      <c r="O1264" s="30" t="str">
        <f aca="false">IF(F1264="","",IF(AND(H1264="",'Vade Sapması'!$D$3&gt;G1264),'Vade Sapması'!$D$3-G1264,0))</f>
        <v/>
      </c>
      <c r="P1264" s="33" t="str">
        <f aca="false">IF(F1264="","",F1264*J1264)</f>
        <v/>
      </c>
      <c r="Q1264" s="33" t="str">
        <f aca="false">IF(F1264="","",F1264*L1264)</f>
        <v/>
      </c>
      <c r="R1264" s="33" t="str">
        <f aca="false">IF(F1264="","",IF(H1264="",F1264,0))</f>
        <v/>
      </c>
      <c r="S1264" s="32" t="str">
        <f aca="false">IF(F1264="","",IF(N(O1264)=0,"",IF(O1264&lt;=30,"1-30",IF(O1264&lt;=60,"31-60",IF(O1264&lt;=90,"61-90","90+")))))</f>
        <v/>
      </c>
      <c r="T1264" s="32" t="str">
        <f aca="false">IF(F1264="","",IF(E1264="","Diğer",E1264))</f>
        <v/>
      </c>
      <c r="U1264" s="32" t="str">
        <f aca="false">IF(OR(F1264="",C1264=""),"",IF(COUNTIF($C$2:C1264,C1264)=1,MAX($U$1:U1263)+1,""))</f>
        <v/>
      </c>
    </row>
    <row r="1265" customFormat="false" ht="15" hidden="false" customHeight="false" outlineLevel="0" collapsed="false">
      <c r="A1265" s="34"/>
      <c r="B1265" s="9"/>
      <c r="C1265" s="34"/>
      <c r="D1265" s="34"/>
      <c r="E1265" s="34"/>
      <c r="F1265" s="35"/>
      <c r="G1265" s="9"/>
      <c r="H1265" s="9"/>
      <c r="I1265" s="34"/>
      <c r="J1265" s="30" t="str">
        <f aca="false">IF(F1265="","",G1265-B1265)</f>
        <v/>
      </c>
      <c r="K1265" s="31" t="str">
        <f aca="false">IF(F1265="","",IF(H1265&lt;&gt;"",H1265,MAX('Vade Sapması'!$D$3,G1265)))</f>
        <v/>
      </c>
      <c r="L1265" s="30" t="str">
        <f aca="false">IF(F1265="","",K1265-B1265)</f>
        <v/>
      </c>
      <c r="M1265" s="30" t="str">
        <f aca="false">IF(F1265="","",L1265-J1265)</f>
        <v/>
      </c>
      <c r="N1265" s="32" t="str">
        <f aca="false">IF(F1265="","",IF(H1265&lt;&gt;"","Kapandı",IF('Vade Sapması'!$D$3&gt;G1265,"Açık · vadesi geçti","Açık · vadesi gelmedi")))</f>
        <v/>
      </c>
      <c r="O1265" s="30" t="str">
        <f aca="false">IF(F1265="","",IF(AND(H1265="",'Vade Sapması'!$D$3&gt;G1265),'Vade Sapması'!$D$3-G1265,0))</f>
        <v/>
      </c>
      <c r="P1265" s="33" t="str">
        <f aca="false">IF(F1265="","",F1265*J1265)</f>
        <v/>
      </c>
      <c r="Q1265" s="33" t="str">
        <f aca="false">IF(F1265="","",F1265*L1265)</f>
        <v/>
      </c>
      <c r="R1265" s="33" t="str">
        <f aca="false">IF(F1265="","",IF(H1265="",F1265,0))</f>
        <v/>
      </c>
      <c r="S1265" s="32" t="str">
        <f aca="false">IF(F1265="","",IF(N(O1265)=0,"",IF(O1265&lt;=30,"1-30",IF(O1265&lt;=60,"31-60",IF(O1265&lt;=90,"61-90","90+")))))</f>
        <v/>
      </c>
      <c r="T1265" s="32" t="str">
        <f aca="false">IF(F1265="","",IF(E1265="","Diğer",E1265))</f>
        <v/>
      </c>
      <c r="U1265" s="32" t="str">
        <f aca="false">IF(OR(F1265="",C1265=""),"",IF(COUNTIF($C$2:C1265,C1265)=1,MAX($U$1:U1264)+1,""))</f>
        <v/>
      </c>
    </row>
    <row r="1266" customFormat="false" ht="15" hidden="false" customHeight="false" outlineLevel="0" collapsed="false">
      <c r="A1266" s="34"/>
      <c r="B1266" s="9"/>
      <c r="C1266" s="34"/>
      <c r="D1266" s="34"/>
      <c r="E1266" s="34"/>
      <c r="F1266" s="35"/>
      <c r="G1266" s="9"/>
      <c r="H1266" s="9"/>
      <c r="I1266" s="34"/>
      <c r="J1266" s="30" t="str">
        <f aca="false">IF(F1266="","",G1266-B1266)</f>
        <v/>
      </c>
      <c r="K1266" s="31" t="str">
        <f aca="false">IF(F1266="","",IF(H1266&lt;&gt;"",H1266,MAX('Vade Sapması'!$D$3,G1266)))</f>
        <v/>
      </c>
      <c r="L1266" s="30" t="str">
        <f aca="false">IF(F1266="","",K1266-B1266)</f>
        <v/>
      </c>
      <c r="M1266" s="30" t="str">
        <f aca="false">IF(F1266="","",L1266-J1266)</f>
        <v/>
      </c>
      <c r="N1266" s="32" t="str">
        <f aca="false">IF(F1266="","",IF(H1266&lt;&gt;"","Kapandı",IF('Vade Sapması'!$D$3&gt;G1266,"Açık · vadesi geçti","Açık · vadesi gelmedi")))</f>
        <v/>
      </c>
      <c r="O1266" s="30" t="str">
        <f aca="false">IF(F1266="","",IF(AND(H1266="",'Vade Sapması'!$D$3&gt;G1266),'Vade Sapması'!$D$3-G1266,0))</f>
        <v/>
      </c>
      <c r="P1266" s="33" t="str">
        <f aca="false">IF(F1266="","",F1266*J1266)</f>
        <v/>
      </c>
      <c r="Q1266" s="33" t="str">
        <f aca="false">IF(F1266="","",F1266*L1266)</f>
        <v/>
      </c>
      <c r="R1266" s="33" t="str">
        <f aca="false">IF(F1266="","",IF(H1266="",F1266,0))</f>
        <v/>
      </c>
      <c r="S1266" s="32" t="str">
        <f aca="false">IF(F1266="","",IF(N(O1266)=0,"",IF(O1266&lt;=30,"1-30",IF(O1266&lt;=60,"31-60",IF(O1266&lt;=90,"61-90","90+")))))</f>
        <v/>
      </c>
      <c r="T1266" s="32" t="str">
        <f aca="false">IF(F1266="","",IF(E1266="","Diğer",E1266))</f>
        <v/>
      </c>
      <c r="U1266" s="32" t="str">
        <f aca="false">IF(OR(F1266="",C1266=""),"",IF(COUNTIF($C$2:C1266,C1266)=1,MAX($U$1:U1265)+1,""))</f>
        <v/>
      </c>
    </row>
    <row r="1267" customFormat="false" ht="15" hidden="false" customHeight="false" outlineLevel="0" collapsed="false">
      <c r="A1267" s="34"/>
      <c r="B1267" s="9"/>
      <c r="C1267" s="34"/>
      <c r="D1267" s="34"/>
      <c r="E1267" s="34"/>
      <c r="F1267" s="35"/>
      <c r="G1267" s="9"/>
      <c r="H1267" s="9"/>
      <c r="I1267" s="34"/>
      <c r="J1267" s="30" t="str">
        <f aca="false">IF(F1267="","",G1267-B1267)</f>
        <v/>
      </c>
      <c r="K1267" s="31" t="str">
        <f aca="false">IF(F1267="","",IF(H1267&lt;&gt;"",H1267,MAX('Vade Sapması'!$D$3,G1267)))</f>
        <v/>
      </c>
      <c r="L1267" s="30" t="str">
        <f aca="false">IF(F1267="","",K1267-B1267)</f>
        <v/>
      </c>
      <c r="M1267" s="30" t="str">
        <f aca="false">IF(F1267="","",L1267-J1267)</f>
        <v/>
      </c>
      <c r="N1267" s="32" t="str">
        <f aca="false">IF(F1267="","",IF(H1267&lt;&gt;"","Kapandı",IF('Vade Sapması'!$D$3&gt;G1267,"Açık · vadesi geçti","Açık · vadesi gelmedi")))</f>
        <v/>
      </c>
      <c r="O1267" s="30" t="str">
        <f aca="false">IF(F1267="","",IF(AND(H1267="",'Vade Sapması'!$D$3&gt;G1267),'Vade Sapması'!$D$3-G1267,0))</f>
        <v/>
      </c>
      <c r="P1267" s="33" t="str">
        <f aca="false">IF(F1267="","",F1267*J1267)</f>
        <v/>
      </c>
      <c r="Q1267" s="33" t="str">
        <f aca="false">IF(F1267="","",F1267*L1267)</f>
        <v/>
      </c>
      <c r="R1267" s="33" t="str">
        <f aca="false">IF(F1267="","",IF(H1267="",F1267,0))</f>
        <v/>
      </c>
      <c r="S1267" s="32" t="str">
        <f aca="false">IF(F1267="","",IF(N(O1267)=0,"",IF(O1267&lt;=30,"1-30",IF(O1267&lt;=60,"31-60",IF(O1267&lt;=90,"61-90","90+")))))</f>
        <v/>
      </c>
      <c r="T1267" s="32" t="str">
        <f aca="false">IF(F1267="","",IF(E1267="","Diğer",E1267))</f>
        <v/>
      </c>
      <c r="U1267" s="32" t="str">
        <f aca="false">IF(OR(F1267="",C1267=""),"",IF(COUNTIF($C$2:C1267,C1267)=1,MAX($U$1:U1266)+1,""))</f>
        <v/>
      </c>
    </row>
    <row r="1268" customFormat="false" ht="15" hidden="false" customHeight="false" outlineLevel="0" collapsed="false">
      <c r="A1268" s="34"/>
      <c r="B1268" s="9"/>
      <c r="C1268" s="34"/>
      <c r="D1268" s="34"/>
      <c r="E1268" s="34"/>
      <c r="F1268" s="35"/>
      <c r="G1268" s="9"/>
      <c r="H1268" s="9"/>
      <c r="I1268" s="34"/>
      <c r="J1268" s="30" t="str">
        <f aca="false">IF(F1268="","",G1268-B1268)</f>
        <v/>
      </c>
      <c r="K1268" s="31" t="str">
        <f aca="false">IF(F1268="","",IF(H1268&lt;&gt;"",H1268,MAX('Vade Sapması'!$D$3,G1268)))</f>
        <v/>
      </c>
      <c r="L1268" s="30" t="str">
        <f aca="false">IF(F1268="","",K1268-B1268)</f>
        <v/>
      </c>
      <c r="M1268" s="30" t="str">
        <f aca="false">IF(F1268="","",L1268-J1268)</f>
        <v/>
      </c>
      <c r="N1268" s="32" t="str">
        <f aca="false">IF(F1268="","",IF(H1268&lt;&gt;"","Kapandı",IF('Vade Sapması'!$D$3&gt;G1268,"Açık · vadesi geçti","Açık · vadesi gelmedi")))</f>
        <v/>
      </c>
      <c r="O1268" s="30" t="str">
        <f aca="false">IF(F1268="","",IF(AND(H1268="",'Vade Sapması'!$D$3&gt;G1268),'Vade Sapması'!$D$3-G1268,0))</f>
        <v/>
      </c>
      <c r="P1268" s="33" t="str">
        <f aca="false">IF(F1268="","",F1268*J1268)</f>
        <v/>
      </c>
      <c r="Q1268" s="33" t="str">
        <f aca="false">IF(F1268="","",F1268*L1268)</f>
        <v/>
      </c>
      <c r="R1268" s="33" t="str">
        <f aca="false">IF(F1268="","",IF(H1268="",F1268,0))</f>
        <v/>
      </c>
      <c r="S1268" s="32" t="str">
        <f aca="false">IF(F1268="","",IF(N(O1268)=0,"",IF(O1268&lt;=30,"1-30",IF(O1268&lt;=60,"31-60",IF(O1268&lt;=90,"61-90","90+")))))</f>
        <v/>
      </c>
      <c r="T1268" s="32" t="str">
        <f aca="false">IF(F1268="","",IF(E1268="","Diğer",E1268))</f>
        <v/>
      </c>
      <c r="U1268" s="32" t="str">
        <f aca="false">IF(OR(F1268="",C1268=""),"",IF(COUNTIF($C$2:C1268,C1268)=1,MAX($U$1:U1267)+1,""))</f>
        <v/>
      </c>
    </row>
    <row r="1269" customFormat="false" ht="15" hidden="false" customHeight="false" outlineLevel="0" collapsed="false">
      <c r="A1269" s="34"/>
      <c r="B1269" s="9"/>
      <c r="C1269" s="34"/>
      <c r="D1269" s="34"/>
      <c r="E1269" s="34"/>
      <c r="F1269" s="35"/>
      <c r="G1269" s="9"/>
      <c r="H1269" s="9"/>
      <c r="I1269" s="34"/>
      <c r="J1269" s="30" t="str">
        <f aca="false">IF(F1269="","",G1269-B1269)</f>
        <v/>
      </c>
      <c r="K1269" s="31" t="str">
        <f aca="false">IF(F1269="","",IF(H1269&lt;&gt;"",H1269,MAX('Vade Sapması'!$D$3,G1269)))</f>
        <v/>
      </c>
      <c r="L1269" s="30" t="str">
        <f aca="false">IF(F1269="","",K1269-B1269)</f>
        <v/>
      </c>
      <c r="M1269" s="30" t="str">
        <f aca="false">IF(F1269="","",L1269-J1269)</f>
        <v/>
      </c>
      <c r="N1269" s="32" t="str">
        <f aca="false">IF(F1269="","",IF(H1269&lt;&gt;"","Kapandı",IF('Vade Sapması'!$D$3&gt;G1269,"Açık · vadesi geçti","Açık · vadesi gelmedi")))</f>
        <v/>
      </c>
      <c r="O1269" s="30" t="str">
        <f aca="false">IF(F1269="","",IF(AND(H1269="",'Vade Sapması'!$D$3&gt;G1269),'Vade Sapması'!$D$3-G1269,0))</f>
        <v/>
      </c>
      <c r="P1269" s="33" t="str">
        <f aca="false">IF(F1269="","",F1269*J1269)</f>
        <v/>
      </c>
      <c r="Q1269" s="33" t="str">
        <f aca="false">IF(F1269="","",F1269*L1269)</f>
        <v/>
      </c>
      <c r="R1269" s="33" t="str">
        <f aca="false">IF(F1269="","",IF(H1269="",F1269,0))</f>
        <v/>
      </c>
      <c r="S1269" s="32" t="str">
        <f aca="false">IF(F1269="","",IF(N(O1269)=0,"",IF(O1269&lt;=30,"1-30",IF(O1269&lt;=60,"31-60",IF(O1269&lt;=90,"61-90","90+")))))</f>
        <v/>
      </c>
      <c r="T1269" s="32" t="str">
        <f aca="false">IF(F1269="","",IF(E1269="","Diğer",E1269))</f>
        <v/>
      </c>
      <c r="U1269" s="32" t="str">
        <f aca="false">IF(OR(F1269="",C1269=""),"",IF(COUNTIF($C$2:C1269,C1269)=1,MAX($U$1:U1268)+1,""))</f>
        <v/>
      </c>
    </row>
    <row r="1270" customFormat="false" ht="15" hidden="false" customHeight="false" outlineLevel="0" collapsed="false">
      <c r="A1270" s="34"/>
      <c r="B1270" s="9"/>
      <c r="C1270" s="34"/>
      <c r="D1270" s="34"/>
      <c r="E1270" s="34"/>
      <c r="F1270" s="35"/>
      <c r="G1270" s="9"/>
      <c r="H1270" s="9"/>
      <c r="I1270" s="34"/>
      <c r="J1270" s="30" t="str">
        <f aca="false">IF(F1270="","",G1270-B1270)</f>
        <v/>
      </c>
      <c r="K1270" s="31" t="str">
        <f aca="false">IF(F1270="","",IF(H1270&lt;&gt;"",H1270,MAX('Vade Sapması'!$D$3,G1270)))</f>
        <v/>
      </c>
      <c r="L1270" s="30" t="str">
        <f aca="false">IF(F1270="","",K1270-B1270)</f>
        <v/>
      </c>
      <c r="M1270" s="30" t="str">
        <f aca="false">IF(F1270="","",L1270-J1270)</f>
        <v/>
      </c>
      <c r="N1270" s="32" t="str">
        <f aca="false">IF(F1270="","",IF(H1270&lt;&gt;"","Kapandı",IF('Vade Sapması'!$D$3&gt;G1270,"Açık · vadesi geçti","Açık · vadesi gelmedi")))</f>
        <v/>
      </c>
      <c r="O1270" s="30" t="str">
        <f aca="false">IF(F1270="","",IF(AND(H1270="",'Vade Sapması'!$D$3&gt;G1270),'Vade Sapması'!$D$3-G1270,0))</f>
        <v/>
      </c>
      <c r="P1270" s="33" t="str">
        <f aca="false">IF(F1270="","",F1270*J1270)</f>
        <v/>
      </c>
      <c r="Q1270" s="33" t="str">
        <f aca="false">IF(F1270="","",F1270*L1270)</f>
        <v/>
      </c>
      <c r="R1270" s="33" t="str">
        <f aca="false">IF(F1270="","",IF(H1270="",F1270,0))</f>
        <v/>
      </c>
      <c r="S1270" s="32" t="str">
        <f aca="false">IF(F1270="","",IF(N(O1270)=0,"",IF(O1270&lt;=30,"1-30",IF(O1270&lt;=60,"31-60",IF(O1270&lt;=90,"61-90","90+")))))</f>
        <v/>
      </c>
      <c r="T1270" s="32" t="str">
        <f aca="false">IF(F1270="","",IF(E1270="","Diğer",E1270))</f>
        <v/>
      </c>
      <c r="U1270" s="32" t="str">
        <f aca="false">IF(OR(F1270="",C1270=""),"",IF(COUNTIF($C$2:C1270,C1270)=1,MAX($U$1:U1269)+1,""))</f>
        <v/>
      </c>
    </row>
    <row r="1271" customFormat="false" ht="15" hidden="false" customHeight="false" outlineLevel="0" collapsed="false">
      <c r="A1271" s="34"/>
      <c r="B1271" s="9"/>
      <c r="C1271" s="34"/>
      <c r="D1271" s="34"/>
      <c r="E1271" s="34"/>
      <c r="F1271" s="35"/>
      <c r="G1271" s="9"/>
      <c r="H1271" s="9"/>
      <c r="I1271" s="34"/>
      <c r="J1271" s="30" t="str">
        <f aca="false">IF(F1271="","",G1271-B1271)</f>
        <v/>
      </c>
      <c r="K1271" s="31" t="str">
        <f aca="false">IF(F1271="","",IF(H1271&lt;&gt;"",H1271,MAX('Vade Sapması'!$D$3,G1271)))</f>
        <v/>
      </c>
      <c r="L1271" s="30" t="str">
        <f aca="false">IF(F1271="","",K1271-B1271)</f>
        <v/>
      </c>
      <c r="M1271" s="30" t="str">
        <f aca="false">IF(F1271="","",L1271-J1271)</f>
        <v/>
      </c>
      <c r="N1271" s="32" t="str">
        <f aca="false">IF(F1271="","",IF(H1271&lt;&gt;"","Kapandı",IF('Vade Sapması'!$D$3&gt;G1271,"Açık · vadesi geçti","Açık · vadesi gelmedi")))</f>
        <v/>
      </c>
      <c r="O1271" s="30" t="str">
        <f aca="false">IF(F1271="","",IF(AND(H1271="",'Vade Sapması'!$D$3&gt;G1271),'Vade Sapması'!$D$3-G1271,0))</f>
        <v/>
      </c>
      <c r="P1271" s="33" t="str">
        <f aca="false">IF(F1271="","",F1271*J1271)</f>
        <v/>
      </c>
      <c r="Q1271" s="33" t="str">
        <f aca="false">IF(F1271="","",F1271*L1271)</f>
        <v/>
      </c>
      <c r="R1271" s="33" t="str">
        <f aca="false">IF(F1271="","",IF(H1271="",F1271,0))</f>
        <v/>
      </c>
      <c r="S1271" s="32" t="str">
        <f aca="false">IF(F1271="","",IF(N(O1271)=0,"",IF(O1271&lt;=30,"1-30",IF(O1271&lt;=60,"31-60",IF(O1271&lt;=90,"61-90","90+")))))</f>
        <v/>
      </c>
      <c r="T1271" s="32" t="str">
        <f aca="false">IF(F1271="","",IF(E1271="","Diğer",E1271))</f>
        <v/>
      </c>
      <c r="U1271" s="32" t="str">
        <f aca="false">IF(OR(F1271="",C1271=""),"",IF(COUNTIF($C$2:C1271,C1271)=1,MAX($U$1:U1270)+1,""))</f>
        <v/>
      </c>
    </row>
    <row r="1272" customFormat="false" ht="15" hidden="false" customHeight="false" outlineLevel="0" collapsed="false">
      <c r="A1272" s="34"/>
      <c r="B1272" s="9"/>
      <c r="C1272" s="34"/>
      <c r="D1272" s="34"/>
      <c r="E1272" s="34"/>
      <c r="F1272" s="35"/>
      <c r="G1272" s="9"/>
      <c r="H1272" s="9"/>
      <c r="I1272" s="34"/>
      <c r="J1272" s="30" t="str">
        <f aca="false">IF(F1272="","",G1272-B1272)</f>
        <v/>
      </c>
      <c r="K1272" s="31" t="str">
        <f aca="false">IF(F1272="","",IF(H1272&lt;&gt;"",H1272,MAX('Vade Sapması'!$D$3,G1272)))</f>
        <v/>
      </c>
      <c r="L1272" s="30" t="str">
        <f aca="false">IF(F1272="","",K1272-B1272)</f>
        <v/>
      </c>
      <c r="M1272" s="30" t="str">
        <f aca="false">IF(F1272="","",L1272-J1272)</f>
        <v/>
      </c>
      <c r="N1272" s="32" t="str">
        <f aca="false">IF(F1272="","",IF(H1272&lt;&gt;"","Kapandı",IF('Vade Sapması'!$D$3&gt;G1272,"Açık · vadesi geçti","Açık · vadesi gelmedi")))</f>
        <v/>
      </c>
      <c r="O1272" s="30" t="str">
        <f aca="false">IF(F1272="","",IF(AND(H1272="",'Vade Sapması'!$D$3&gt;G1272),'Vade Sapması'!$D$3-G1272,0))</f>
        <v/>
      </c>
      <c r="P1272" s="33" t="str">
        <f aca="false">IF(F1272="","",F1272*J1272)</f>
        <v/>
      </c>
      <c r="Q1272" s="33" t="str">
        <f aca="false">IF(F1272="","",F1272*L1272)</f>
        <v/>
      </c>
      <c r="R1272" s="33" t="str">
        <f aca="false">IF(F1272="","",IF(H1272="",F1272,0))</f>
        <v/>
      </c>
      <c r="S1272" s="32" t="str">
        <f aca="false">IF(F1272="","",IF(N(O1272)=0,"",IF(O1272&lt;=30,"1-30",IF(O1272&lt;=60,"31-60",IF(O1272&lt;=90,"61-90","90+")))))</f>
        <v/>
      </c>
      <c r="T1272" s="32" t="str">
        <f aca="false">IF(F1272="","",IF(E1272="","Diğer",E1272))</f>
        <v/>
      </c>
      <c r="U1272" s="32" t="str">
        <f aca="false">IF(OR(F1272="",C1272=""),"",IF(COUNTIF($C$2:C1272,C1272)=1,MAX($U$1:U1271)+1,""))</f>
        <v/>
      </c>
    </row>
    <row r="1273" customFormat="false" ht="15" hidden="false" customHeight="false" outlineLevel="0" collapsed="false">
      <c r="A1273" s="34"/>
      <c r="B1273" s="9"/>
      <c r="C1273" s="34"/>
      <c r="D1273" s="34"/>
      <c r="E1273" s="34"/>
      <c r="F1273" s="35"/>
      <c r="G1273" s="9"/>
      <c r="H1273" s="9"/>
      <c r="I1273" s="34"/>
      <c r="J1273" s="30" t="str">
        <f aca="false">IF(F1273="","",G1273-B1273)</f>
        <v/>
      </c>
      <c r="K1273" s="31" t="str">
        <f aca="false">IF(F1273="","",IF(H1273&lt;&gt;"",H1273,MAX('Vade Sapması'!$D$3,G1273)))</f>
        <v/>
      </c>
      <c r="L1273" s="30" t="str">
        <f aca="false">IF(F1273="","",K1273-B1273)</f>
        <v/>
      </c>
      <c r="M1273" s="30" t="str">
        <f aca="false">IF(F1273="","",L1273-J1273)</f>
        <v/>
      </c>
      <c r="N1273" s="32" t="str">
        <f aca="false">IF(F1273="","",IF(H1273&lt;&gt;"","Kapandı",IF('Vade Sapması'!$D$3&gt;G1273,"Açık · vadesi geçti","Açık · vadesi gelmedi")))</f>
        <v/>
      </c>
      <c r="O1273" s="30" t="str">
        <f aca="false">IF(F1273="","",IF(AND(H1273="",'Vade Sapması'!$D$3&gt;G1273),'Vade Sapması'!$D$3-G1273,0))</f>
        <v/>
      </c>
      <c r="P1273" s="33" t="str">
        <f aca="false">IF(F1273="","",F1273*J1273)</f>
        <v/>
      </c>
      <c r="Q1273" s="33" t="str">
        <f aca="false">IF(F1273="","",F1273*L1273)</f>
        <v/>
      </c>
      <c r="R1273" s="33" t="str">
        <f aca="false">IF(F1273="","",IF(H1273="",F1273,0))</f>
        <v/>
      </c>
      <c r="S1273" s="32" t="str">
        <f aca="false">IF(F1273="","",IF(N(O1273)=0,"",IF(O1273&lt;=30,"1-30",IF(O1273&lt;=60,"31-60",IF(O1273&lt;=90,"61-90","90+")))))</f>
        <v/>
      </c>
      <c r="T1273" s="32" t="str">
        <f aca="false">IF(F1273="","",IF(E1273="","Diğer",E1273))</f>
        <v/>
      </c>
      <c r="U1273" s="32" t="str">
        <f aca="false">IF(OR(F1273="",C1273=""),"",IF(COUNTIF($C$2:C1273,C1273)=1,MAX($U$1:U1272)+1,""))</f>
        <v/>
      </c>
    </row>
    <row r="1274" customFormat="false" ht="15" hidden="false" customHeight="false" outlineLevel="0" collapsed="false">
      <c r="A1274" s="34"/>
      <c r="B1274" s="9"/>
      <c r="C1274" s="34"/>
      <c r="D1274" s="34"/>
      <c r="E1274" s="34"/>
      <c r="F1274" s="35"/>
      <c r="G1274" s="9"/>
      <c r="H1274" s="9"/>
      <c r="I1274" s="34"/>
      <c r="J1274" s="30" t="str">
        <f aca="false">IF(F1274="","",G1274-B1274)</f>
        <v/>
      </c>
      <c r="K1274" s="31" t="str">
        <f aca="false">IF(F1274="","",IF(H1274&lt;&gt;"",H1274,MAX('Vade Sapması'!$D$3,G1274)))</f>
        <v/>
      </c>
      <c r="L1274" s="30" t="str">
        <f aca="false">IF(F1274="","",K1274-B1274)</f>
        <v/>
      </c>
      <c r="M1274" s="30" t="str">
        <f aca="false">IF(F1274="","",L1274-J1274)</f>
        <v/>
      </c>
      <c r="N1274" s="32" t="str">
        <f aca="false">IF(F1274="","",IF(H1274&lt;&gt;"","Kapandı",IF('Vade Sapması'!$D$3&gt;G1274,"Açık · vadesi geçti","Açık · vadesi gelmedi")))</f>
        <v/>
      </c>
      <c r="O1274" s="30" t="str">
        <f aca="false">IF(F1274="","",IF(AND(H1274="",'Vade Sapması'!$D$3&gt;G1274),'Vade Sapması'!$D$3-G1274,0))</f>
        <v/>
      </c>
      <c r="P1274" s="33" t="str">
        <f aca="false">IF(F1274="","",F1274*J1274)</f>
        <v/>
      </c>
      <c r="Q1274" s="33" t="str">
        <f aca="false">IF(F1274="","",F1274*L1274)</f>
        <v/>
      </c>
      <c r="R1274" s="33" t="str">
        <f aca="false">IF(F1274="","",IF(H1274="",F1274,0))</f>
        <v/>
      </c>
      <c r="S1274" s="32" t="str">
        <f aca="false">IF(F1274="","",IF(N(O1274)=0,"",IF(O1274&lt;=30,"1-30",IF(O1274&lt;=60,"31-60",IF(O1274&lt;=90,"61-90","90+")))))</f>
        <v/>
      </c>
      <c r="T1274" s="32" t="str">
        <f aca="false">IF(F1274="","",IF(E1274="","Diğer",E1274))</f>
        <v/>
      </c>
      <c r="U1274" s="32" t="str">
        <f aca="false">IF(OR(F1274="",C1274=""),"",IF(COUNTIF($C$2:C1274,C1274)=1,MAX($U$1:U1273)+1,""))</f>
        <v/>
      </c>
    </row>
    <row r="1275" customFormat="false" ht="15" hidden="false" customHeight="false" outlineLevel="0" collapsed="false">
      <c r="A1275" s="34"/>
      <c r="B1275" s="9"/>
      <c r="C1275" s="34"/>
      <c r="D1275" s="34"/>
      <c r="E1275" s="34"/>
      <c r="F1275" s="35"/>
      <c r="G1275" s="9"/>
      <c r="H1275" s="9"/>
      <c r="I1275" s="34"/>
      <c r="J1275" s="30" t="str">
        <f aca="false">IF(F1275="","",G1275-B1275)</f>
        <v/>
      </c>
      <c r="K1275" s="31" t="str">
        <f aca="false">IF(F1275="","",IF(H1275&lt;&gt;"",H1275,MAX('Vade Sapması'!$D$3,G1275)))</f>
        <v/>
      </c>
      <c r="L1275" s="30" t="str">
        <f aca="false">IF(F1275="","",K1275-B1275)</f>
        <v/>
      </c>
      <c r="M1275" s="30" t="str">
        <f aca="false">IF(F1275="","",L1275-J1275)</f>
        <v/>
      </c>
      <c r="N1275" s="32" t="str">
        <f aca="false">IF(F1275="","",IF(H1275&lt;&gt;"","Kapandı",IF('Vade Sapması'!$D$3&gt;G1275,"Açık · vadesi geçti","Açık · vadesi gelmedi")))</f>
        <v/>
      </c>
      <c r="O1275" s="30" t="str">
        <f aca="false">IF(F1275="","",IF(AND(H1275="",'Vade Sapması'!$D$3&gt;G1275),'Vade Sapması'!$D$3-G1275,0))</f>
        <v/>
      </c>
      <c r="P1275" s="33" t="str">
        <f aca="false">IF(F1275="","",F1275*J1275)</f>
        <v/>
      </c>
      <c r="Q1275" s="33" t="str">
        <f aca="false">IF(F1275="","",F1275*L1275)</f>
        <v/>
      </c>
      <c r="R1275" s="33" t="str">
        <f aca="false">IF(F1275="","",IF(H1275="",F1275,0))</f>
        <v/>
      </c>
      <c r="S1275" s="32" t="str">
        <f aca="false">IF(F1275="","",IF(N(O1275)=0,"",IF(O1275&lt;=30,"1-30",IF(O1275&lt;=60,"31-60",IF(O1275&lt;=90,"61-90","90+")))))</f>
        <v/>
      </c>
      <c r="T1275" s="32" t="str">
        <f aca="false">IF(F1275="","",IF(E1275="","Diğer",E1275))</f>
        <v/>
      </c>
      <c r="U1275" s="32" t="str">
        <f aca="false">IF(OR(F1275="",C1275=""),"",IF(COUNTIF($C$2:C1275,C1275)=1,MAX($U$1:U1274)+1,""))</f>
        <v/>
      </c>
    </row>
    <row r="1276" customFormat="false" ht="15" hidden="false" customHeight="false" outlineLevel="0" collapsed="false">
      <c r="A1276" s="34"/>
      <c r="B1276" s="9"/>
      <c r="C1276" s="34"/>
      <c r="D1276" s="34"/>
      <c r="E1276" s="34"/>
      <c r="F1276" s="35"/>
      <c r="G1276" s="9"/>
      <c r="H1276" s="9"/>
      <c r="I1276" s="34"/>
      <c r="J1276" s="30" t="str">
        <f aca="false">IF(F1276="","",G1276-B1276)</f>
        <v/>
      </c>
      <c r="K1276" s="31" t="str">
        <f aca="false">IF(F1276="","",IF(H1276&lt;&gt;"",H1276,MAX('Vade Sapması'!$D$3,G1276)))</f>
        <v/>
      </c>
      <c r="L1276" s="30" t="str">
        <f aca="false">IF(F1276="","",K1276-B1276)</f>
        <v/>
      </c>
      <c r="M1276" s="30" t="str">
        <f aca="false">IF(F1276="","",L1276-J1276)</f>
        <v/>
      </c>
      <c r="N1276" s="32" t="str">
        <f aca="false">IF(F1276="","",IF(H1276&lt;&gt;"","Kapandı",IF('Vade Sapması'!$D$3&gt;G1276,"Açık · vadesi geçti","Açık · vadesi gelmedi")))</f>
        <v/>
      </c>
      <c r="O1276" s="30" t="str">
        <f aca="false">IF(F1276="","",IF(AND(H1276="",'Vade Sapması'!$D$3&gt;G1276),'Vade Sapması'!$D$3-G1276,0))</f>
        <v/>
      </c>
      <c r="P1276" s="33" t="str">
        <f aca="false">IF(F1276="","",F1276*J1276)</f>
        <v/>
      </c>
      <c r="Q1276" s="33" t="str">
        <f aca="false">IF(F1276="","",F1276*L1276)</f>
        <v/>
      </c>
      <c r="R1276" s="33" t="str">
        <f aca="false">IF(F1276="","",IF(H1276="",F1276,0))</f>
        <v/>
      </c>
      <c r="S1276" s="32" t="str">
        <f aca="false">IF(F1276="","",IF(N(O1276)=0,"",IF(O1276&lt;=30,"1-30",IF(O1276&lt;=60,"31-60",IF(O1276&lt;=90,"61-90","90+")))))</f>
        <v/>
      </c>
      <c r="T1276" s="32" t="str">
        <f aca="false">IF(F1276="","",IF(E1276="","Diğer",E1276))</f>
        <v/>
      </c>
      <c r="U1276" s="32" t="str">
        <f aca="false">IF(OR(F1276="",C1276=""),"",IF(COUNTIF($C$2:C1276,C1276)=1,MAX($U$1:U1275)+1,""))</f>
        <v/>
      </c>
    </row>
    <row r="1277" customFormat="false" ht="15" hidden="false" customHeight="false" outlineLevel="0" collapsed="false">
      <c r="A1277" s="34"/>
      <c r="B1277" s="9"/>
      <c r="C1277" s="34"/>
      <c r="D1277" s="34"/>
      <c r="E1277" s="34"/>
      <c r="F1277" s="35"/>
      <c r="G1277" s="9"/>
      <c r="H1277" s="9"/>
      <c r="I1277" s="34"/>
      <c r="J1277" s="30" t="str">
        <f aca="false">IF(F1277="","",G1277-B1277)</f>
        <v/>
      </c>
      <c r="K1277" s="31" t="str">
        <f aca="false">IF(F1277="","",IF(H1277&lt;&gt;"",H1277,MAX('Vade Sapması'!$D$3,G1277)))</f>
        <v/>
      </c>
      <c r="L1277" s="30" t="str">
        <f aca="false">IF(F1277="","",K1277-B1277)</f>
        <v/>
      </c>
      <c r="M1277" s="30" t="str">
        <f aca="false">IF(F1277="","",L1277-J1277)</f>
        <v/>
      </c>
      <c r="N1277" s="32" t="str">
        <f aca="false">IF(F1277="","",IF(H1277&lt;&gt;"","Kapandı",IF('Vade Sapması'!$D$3&gt;G1277,"Açık · vadesi geçti","Açık · vadesi gelmedi")))</f>
        <v/>
      </c>
      <c r="O1277" s="30" t="str">
        <f aca="false">IF(F1277="","",IF(AND(H1277="",'Vade Sapması'!$D$3&gt;G1277),'Vade Sapması'!$D$3-G1277,0))</f>
        <v/>
      </c>
      <c r="P1277" s="33" t="str">
        <f aca="false">IF(F1277="","",F1277*J1277)</f>
        <v/>
      </c>
      <c r="Q1277" s="33" t="str">
        <f aca="false">IF(F1277="","",F1277*L1277)</f>
        <v/>
      </c>
      <c r="R1277" s="33" t="str">
        <f aca="false">IF(F1277="","",IF(H1277="",F1277,0))</f>
        <v/>
      </c>
      <c r="S1277" s="32" t="str">
        <f aca="false">IF(F1277="","",IF(N(O1277)=0,"",IF(O1277&lt;=30,"1-30",IF(O1277&lt;=60,"31-60",IF(O1277&lt;=90,"61-90","90+")))))</f>
        <v/>
      </c>
      <c r="T1277" s="32" t="str">
        <f aca="false">IF(F1277="","",IF(E1277="","Diğer",E1277))</f>
        <v/>
      </c>
      <c r="U1277" s="32" t="str">
        <f aca="false">IF(OR(F1277="",C1277=""),"",IF(COUNTIF($C$2:C1277,C1277)=1,MAX($U$1:U1276)+1,""))</f>
        <v/>
      </c>
    </row>
    <row r="1278" customFormat="false" ht="15" hidden="false" customHeight="false" outlineLevel="0" collapsed="false">
      <c r="A1278" s="34"/>
      <c r="B1278" s="9"/>
      <c r="C1278" s="34"/>
      <c r="D1278" s="34"/>
      <c r="E1278" s="34"/>
      <c r="F1278" s="35"/>
      <c r="G1278" s="9"/>
      <c r="H1278" s="9"/>
      <c r="I1278" s="34"/>
      <c r="J1278" s="30" t="str">
        <f aca="false">IF(F1278="","",G1278-B1278)</f>
        <v/>
      </c>
      <c r="K1278" s="31" t="str">
        <f aca="false">IF(F1278="","",IF(H1278&lt;&gt;"",H1278,MAX('Vade Sapması'!$D$3,G1278)))</f>
        <v/>
      </c>
      <c r="L1278" s="30" t="str">
        <f aca="false">IF(F1278="","",K1278-B1278)</f>
        <v/>
      </c>
      <c r="M1278" s="30" t="str">
        <f aca="false">IF(F1278="","",L1278-J1278)</f>
        <v/>
      </c>
      <c r="N1278" s="32" t="str">
        <f aca="false">IF(F1278="","",IF(H1278&lt;&gt;"","Kapandı",IF('Vade Sapması'!$D$3&gt;G1278,"Açık · vadesi geçti","Açık · vadesi gelmedi")))</f>
        <v/>
      </c>
      <c r="O1278" s="30" t="str">
        <f aca="false">IF(F1278="","",IF(AND(H1278="",'Vade Sapması'!$D$3&gt;G1278),'Vade Sapması'!$D$3-G1278,0))</f>
        <v/>
      </c>
      <c r="P1278" s="33" t="str">
        <f aca="false">IF(F1278="","",F1278*J1278)</f>
        <v/>
      </c>
      <c r="Q1278" s="33" t="str">
        <f aca="false">IF(F1278="","",F1278*L1278)</f>
        <v/>
      </c>
      <c r="R1278" s="33" t="str">
        <f aca="false">IF(F1278="","",IF(H1278="",F1278,0))</f>
        <v/>
      </c>
      <c r="S1278" s="32" t="str">
        <f aca="false">IF(F1278="","",IF(N(O1278)=0,"",IF(O1278&lt;=30,"1-30",IF(O1278&lt;=60,"31-60",IF(O1278&lt;=90,"61-90","90+")))))</f>
        <v/>
      </c>
      <c r="T1278" s="32" t="str">
        <f aca="false">IF(F1278="","",IF(E1278="","Diğer",E1278))</f>
        <v/>
      </c>
      <c r="U1278" s="32" t="str">
        <f aca="false">IF(OR(F1278="",C1278=""),"",IF(COUNTIF($C$2:C1278,C1278)=1,MAX($U$1:U1277)+1,""))</f>
        <v/>
      </c>
    </row>
    <row r="1279" customFormat="false" ht="15" hidden="false" customHeight="false" outlineLevel="0" collapsed="false">
      <c r="A1279" s="34"/>
      <c r="B1279" s="9"/>
      <c r="C1279" s="34"/>
      <c r="D1279" s="34"/>
      <c r="E1279" s="34"/>
      <c r="F1279" s="35"/>
      <c r="G1279" s="9"/>
      <c r="H1279" s="9"/>
      <c r="I1279" s="34"/>
      <c r="J1279" s="30" t="str">
        <f aca="false">IF(F1279="","",G1279-B1279)</f>
        <v/>
      </c>
      <c r="K1279" s="31" t="str">
        <f aca="false">IF(F1279="","",IF(H1279&lt;&gt;"",H1279,MAX('Vade Sapması'!$D$3,G1279)))</f>
        <v/>
      </c>
      <c r="L1279" s="30" t="str">
        <f aca="false">IF(F1279="","",K1279-B1279)</f>
        <v/>
      </c>
      <c r="M1279" s="30" t="str">
        <f aca="false">IF(F1279="","",L1279-J1279)</f>
        <v/>
      </c>
      <c r="N1279" s="32" t="str">
        <f aca="false">IF(F1279="","",IF(H1279&lt;&gt;"","Kapandı",IF('Vade Sapması'!$D$3&gt;G1279,"Açık · vadesi geçti","Açık · vadesi gelmedi")))</f>
        <v/>
      </c>
      <c r="O1279" s="30" t="str">
        <f aca="false">IF(F1279="","",IF(AND(H1279="",'Vade Sapması'!$D$3&gt;G1279),'Vade Sapması'!$D$3-G1279,0))</f>
        <v/>
      </c>
      <c r="P1279" s="33" t="str">
        <f aca="false">IF(F1279="","",F1279*J1279)</f>
        <v/>
      </c>
      <c r="Q1279" s="33" t="str">
        <f aca="false">IF(F1279="","",F1279*L1279)</f>
        <v/>
      </c>
      <c r="R1279" s="33" t="str">
        <f aca="false">IF(F1279="","",IF(H1279="",F1279,0))</f>
        <v/>
      </c>
      <c r="S1279" s="32" t="str">
        <f aca="false">IF(F1279="","",IF(N(O1279)=0,"",IF(O1279&lt;=30,"1-30",IF(O1279&lt;=60,"31-60",IF(O1279&lt;=90,"61-90","90+")))))</f>
        <v/>
      </c>
      <c r="T1279" s="32" t="str">
        <f aca="false">IF(F1279="","",IF(E1279="","Diğer",E1279))</f>
        <v/>
      </c>
      <c r="U1279" s="32" t="str">
        <f aca="false">IF(OR(F1279="",C1279=""),"",IF(COUNTIF($C$2:C1279,C1279)=1,MAX($U$1:U1278)+1,""))</f>
        <v/>
      </c>
    </row>
    <row r="1280" customFormat="false" ht="15" hidden="false" customHeight="false" outlineLevel="0" collapsed="false">
      <c r="A1280" s="34"/>
      <c r="B1280" s="9"/>
      <c r="C1280" s="34"/>
      <c r="D1280" s="34"/>
      <c r="E1280" s="34"/>
      <c r="F1280" s="35"/>
      <c r="G1280" s="9"/>
      <c r="H1280" s="9"/>
      <c r="I1280" s="34"/>
      <c r="J1280" s="30" t="str">
        <f aca="false">IF(F1280="","",G1280-B1280)</f>
        <v/>
      </c>
      <c r="K1280" s="31" t="str">
        <f aca="false">IF(F1280="","",IF(H1280&lt;&gt;"",H1280,MAX('Vade Sapması'!$D$3,G1280)))</f>
        <v/>
      </c>
      <c r="L1280" s="30" t="str">
        <f aca="false">IF(F1280="","",K1280-B1280)</f>
        <v/>
      </c>
      <c r="M1280" s="30" t="str">
        <f aca="false">IF(F1280="","",L1280-J1280)</f>
        <v/>
      </c>
      <c r="N1280" s="32" t="str">
        <f aca="false">IF(F1280="","",IF(H1280&lt;&gt;"","Kapandı",IF('Vade Sapması'!$D$3&gt;G1280,"Açık · vadesi geçti","Açık · vadesi gelmedi")))</f>
        <v/>
      </c>
      <c r="O1280" s="30" t="str">
        <f aca="false">IF(F1280="","",IF(AND(H1280="",'Vade Sapması'!$D$3&gt;G1280),'Vade Sapması'!$D$3-G1280,0))</f>
        <v/>
      </c>
      <c r="P1280" s="33" t="str">
        <f aca="false">IF(F1280="","",F1280*J1280)</f>
        <v/>
      </c>
      <c r="Q1280" s="33" t="str">
        <f aca="false">IF(F1280="","",F1280*L1280)</f>
        <v/>
      </c>
      <c r="R1280" s="33" t="str">
        <f aca="false">IF(F1280="","",IF(H1280="",F1280,0))</f>
        <v/>
      </c>
      <c r="S1280" s="32" t="str">
        <f aca="false">IF(F1280="","",IF(N(O1280)=0,"",IF(O1280&lt;=30,"1-30",IF(O1280&lt;=60,"31-60",IF(O1280&lt;=90,"61-90","90+")))))</f>
        <v/>
      </c>
      <c r="T1280" s="32" t="str">
        <f aca="false">IF(F1280="","",IF(E1280="","Diğer",E1280))</f>
        <v/>
      </c>
      <c r="U1280" s="32" t="str">
        <f aca="false">IF(OR(F1280="",C1280=""),"",IF(COUNTIF($C$2:C1280,C1280)=1,MAX($U$1:U1279)+1,""))</f>
        <v/>
      </c>
    </row>
    <row r="1281" customFormat="false" ht="15" hidden="false" customHeight="false" outlineLevel="0" collapsed="false">
      <c r="A1281" s="34"/>
      <c r="B1281" s="9"/>
      <c r="C1281" s="34"/>
      <c r="D1281" s="34"/>
      <c r="E1281" s="34"/>
      <c r="F1281" s="35"/>
      <c r="G1281" s="9"/>
      <c r="H1281" s="9"/>
      <c r="I1281" s="34"/>
      <c r="J1281" s="30" t="str">
        <f aca="false">IF(F1281="","",G1281-B1281)</f>
        <v/>
      </c>
      <c r="K1281" s="31" t="str">
        <f aca="false">IF(F1281="","",IF(H1281&lt;&gt;"",H1281,MAX('Vade Sapması'!$D$3,G1281)))</f>
        <v/>
      </c>
      <c r="L1281" s="30" t="str">
        <f aca="false">IF(F1281="","",K1281-B1281)</f>
        <v/>
      </c>
      <c r="M1281" s="30" t="str">
        <f aca="false">IF(F1281="","",L1281-J1281)</f>
        <v/>
      </c>
      <c r="N1281" s="32" t="str">
        <f aca="false">IF(F1281="","",IF(H1281&lt;&gt;"","Kapandı",IF('Vade Sapması'!$D$3&gt;G1281,"Açık · vadesi geçti","Açık · vadesi gelmedi")))</f>
        <v/>
      </c>
      <c r="O1281" s="30" t="str">
        <f aca="false">IF(F1281="","",IF(AND(H1281="",'Vade Sapması'!$D$3&gt;G1281),'Vade Sapması'!$D$3-G1281,0))</f>
        <v/>
      </c>
      <c r="P1281" s="33" t="str">
        <f aca="false">IF(F1281="","",F1281*J1281)</f>
        <v/>
      </c>
      <c r="Q1281" s="33" t="str">
        <f aca="false">IF(F1281="","",F1281*L1281)</f>
        <v/>
      </c>
      <c r="R1281" s="33" t="str">
        <f aca="false">IF(F1281="","",IF(H1281="",F1281,0))</f>
        <v/>
      </c>
      <c r="S1281" s="32" t="str">
        <f aca="false">IF(F1281="","",IF(N(O1281)=0,"",IF(O1281&lt;=30,"1-30",IF(O1281&lt;=60,"31-60",IF(O1281&lt;=90,"61-90","90+")))))</f>
        <v/>
      </c>
      <c r="T1281" s="32" t="str">
        <f aca="false">IF(F1281="","",IF(E1281="","Diğer",E1281))</f>
        <v/>
      </c>
      <c r="U1281" s="32" t="str">
        <f aca="false">IF(OR(F1281="",C1281=""),"",IF(COUNTIF($C$2:C1281,C1281)=1,MAX($U$1:U1280)+1,""))</f>
        <v/>
      </c>
    </row>
    <row r="1282" customFormat="false" ht="15" hidden="false" customHeight="false" outlineLevel="0" collapsed="false">
      <c r="A1282" s="34"/>
      <c r="B1282" s="9"/>
      <c r="C1282" s="34"/>
      <c r="D1282" s="34"/>
      <c r="E1282" s="34"/>
      <c r="F1282" s="35"/>
      <c r="G1282" s="9"/>
      <c r="H1282" s="9"/>
      <c r="I1282" s="34"/>
      <c r="J1282" s="30" t="str">
        <f aca="false">IF(F1282="","",G1282-B1282)</f>
        <v/>
      </c>
      <c r="K1282" s="31" t="str">
        <f aca="false">IF(F1282="","",IF(H1282&lt;&gt;"",H1282,MAX('Vade Sapması'!$D$3,G1282)))</f>
        <v/>
      </c>
      <c r="L1282" s="30" t="str">
        <f aca="false">IF(F1282="","",K1282-B1282)</f>
        <v/>
      </c>
      <c r="M1282" s="30" t="str">
        <f aca="false">IF(F1282="","",L1282-J1282)</f>
        <v/>
      </c>
      <c r="N1282" s="32" t="str">
        <f aca="false">IF(F1282="","",IF(H1282&lt;&gt;"","Kapandı",IF('Vade Sapması'!$D$3&gt;G1282,"Açık · vadesi geçti","Açık · vadesi gelmedi")))</f>
        <v/>
      </c>
      <c r="O1282" s="30" t="str">
        <f aca="false">IF(F1282="","",IF(AND(H1282="",'Vade Sapması'!$D$3&gt;G1282),'Vade Sapması'!$D$3-G1282,0))</f>
        <v/>
      </c>
      <c r="P1282" s="33" t="str">
        <f aca="false">IF(F1282="","",F1282*J1282)</f>
        <v/>
      </c>
      <c r="Q1282" s="33" t="str">
        <f aca="false">IF(F1282="","",F1282*L1282)</f>
        <v/>
      </c>
      <c r="R1282" s="33" t="str">
        <f aca="false">IF(F1282="","",IF(H1282="",F1282,0))</f>
        <v/>
      </c>
      <c r="S1282" s="32" t="str">
        <f aca="false">IF(F1282="","",IF(N(O1282)=0,"",IF(O1282&lt;=30,"1-30",IF(O1282&lt;=60,"31-60",IF(O1282&lt;=90,"61-90","90+")))))</f>
        <v/>
      </c>
      <c r="T1282" s="32" t="str">
        <f aca="false">IF(F1282="","",IF(E1282="","Diğer",E1282))</f>
        <v/>
      </c>
      <c r="U1282" s="32" t="str">
        <f aca="false">IF(OR(F1282="",C1282=""),"",IF(COUNTIF($C$2:C1282,C1282)=1,MAX($U$1:U1281)+1,""))</f>
        <v/>
      </c>
    </row>
    <row r="1283" customFormat="false" ht="15" hidden="false" customHeight="false" outlineLevel="0" collapsed="false">
      <c r="A1283" s="34"/>
      <c r="B1283" s="9"/>
      <c r="C1283" s="34"/>
      <c r="D1283" s="34"/>
      <c r="E1283" s="34"/>
      <c r="F1283" s="35"/>
      <c r="G1283" s="9"/>
      <c r="H1283" s="9"/>
      <c r="I1283" s="34"/>
      <c r="J1283" s="30" t="str">
        <f aca="false">IF(F1283="","",G1283-B1283)</f>
        <v/>
      </c>
      <c r="K1283" s="31" t="str">
        <f aca="false">IF(F1283="","",IF(H1283&lt;&gt;"",H1283,MAX('Vade Sapması'!$D$3,G1283)))</f>
        <v/>
      </c>
      <c r="L1283" s="30" t="str">
        <f aca="false">IF(F1283="","",K1283-B1283)</f>
        <v/>
      </c>
      <c r="M1283" s="30" t="str">
        <f aca="false">IF(F1283="","",L1283-J1283)</f>
        <v/>
      </c>
      <c r="N1283" s="32" t="str">
        <f aca="false">IF(F1283="","",IF(H1283&lt;&gt;"","Kapandı",IF('Vade Sapması'!$D$3&gt;G1283,"Açık · vadesi geçti","Açık · vadesi gelmedi")))</f>
        <v/>
      </c>
      <c r="O1283" s="30" t="str">
        <f aca="false">IF(F1283="","",IF(AND(H1283="",'Vade Sapması'!$D$3&gt;G1283),'Vade Sapması'!$D$3-G1283,0))</f>
        <v/>
      </c>
      <c r="P1283" s="33" t="str">
        <f aca="false">IF(F1283="","",F1283*J1283)</f>
        <v/>
      </c>
      <c r="Q1283" s="33" t="str">
        <f aca="false">IF(F1283="","",F1283*L1283)</f>
        <v/>
      </c>
      <c r="R1283" s="33" t="str">
        <f aca="false">IF(F1283="","",IF(H1283="",F1283,0))</f>
        <v/>
      </c>
      <c r="S1283" s="32" t="str">
        <f aca="false">IF(F1283="","",IF(N(O1283)=0,"",IF(O1283&lt;=30,"1-30",IF(O1283&lt;=60,"31-60",IF(O1283&lt;=90,"61-90","90+")))))</f>
        <v/>
      </c>
      <c r="T1283" s="32" t="str">
        <f aca="false">IF(F1283="","",IF(E1283="","Diğer",E1283))</f>
        <v/>
      </c>
      <c r="U1283" s="32" t="str">
        <f aca="false">IF(OR(F1283="",C1283=""),"",IF(COUNTIF($C$2:C1283,C1283)=1,MAX($U$1:U1282)+1,""))</f>
        <v/>
      </c>
    </row>
    <row r="1284" customFormat="false" ht="15" hidden="false" customHeight="false" outlineLevel="0" collapsed="false">
      <c r="A1284" s="34"/>
      <c r="B1284" s="9"/>
      <c r="C1284" s="34"/>
      <c r="D1284" s="34"/>
      <c r="E1284" s="34"/>
      <c r="F1284" s="35"/>
      <c r="G1284" s="9"/>
      <c r="H1284" s="9"/>
      <c r="I1284" s="34"/>
      <c r="J1284" s="30" t="str">
        <f aca="false">IF(F1284="","",G1284-B1284)</f>
        <v/>
      </c>
      <c r="K1284" s="31" t="str">
        <f aca="false">IF(F1284="","",IF(H1284&lt;&gt;"",H1284,MAX('Vade Sapması'!$D$3,G1284)))</f>
        <v/>
      </c>
      <c r="L1284" s="30" t="str">
        <f aca="false">IF(F1284="","",K1284-B1284)</f>
        <v/>
      </c>
      <c r="M1284" s="30" t="str">
        <f aca="false">IF(F1284="","",L1284-J1284)</f>
        <v/>
      </c>
      <c r="N1284" s="32" t="str">
        <f aca="false">IF(F1284="","",IF(H1284&lt;&gt;"","Kapandı",IF('Vade Sapması'!$D$3&gt;G1284,"Açık · vadesi geçti","Açık · vadesi gelmedi")))</f>
        <v/>
      </c>
      <c r="O1284" s="30" t="str">
        <f aca="false">IF(F1284="","",IF(AND(H1284="",'Vade Sapması'!$D$3&gt;G1284),'Vade Sapması'!$D$3-G1284,0))</f>
        <v/>
      </c>
      <c r="P1284" s="33" t="str">
        <f aca="false">IF(F1284="","",F1284*J1284)</f>
        <v/>
      </c>
      <c r="Q1284" s="33" t="str">
        <f aca="false">IF(F1284="","",F1284*L1284)</f>
        <v/>
      </c>
      <c r="R1284" s="33" t="str">
        <f aca="false">IF(F1284="","",IF(H1284="",F1284,0))</f>
        <v/>
      </c>
      <c r="S1284" s="32" t="str">
        <f aca="false">IF(F1284="","",IF(N(O1284)=0,"",IF(O1284&lt;=30,"1-30",IF(O1284&lt;=60,"31-60",IF(O1284&lt;=90,"61-90","90+")))))</f>
        <v/>
      </c>
      <c r="T1284" s="32" t="str">
        <f aca="false">IF(F1284="","",IF(E1284="","Diğer",E1284))</f>
        <v/>
      </c>
      <c r="U1284" s="32" t="str">
        <f aca="false">IF(OR(F1284="",C1284=""),"",IF(COUNTIF($C$2:C1284,C1284)=1,MAX($U$1:U1283)+1,""))</f>
        <v/>
      </c>
    </row>
    <row r="1285" customFormat="false" ht="15" hidden="false" customHeight="false" outlineLevel="0" collapsed="false">
      <c r="A1285" s="34"/>
      <c r="B1285" s="9"/>
      <c r="C1285" s="34"/>
      <c r="D1285" s="34"/>
      <c r="E1285" s="34"/>
      <c r="F1285" s="35"/>
      <c r="G1285" s="9"/>
      <c r="H1285" s="9"/>
      <c r="I1285" s="34"/>
      <c r="J1285" s="30" t="str">
        <f aca="false">IF(F1285="","",G1285-B1285)</f>
        <v/>
      </c>
      <c r="K1285" s="31" t="str">
        <f aca="false">IF(F1285="","",IF(H1285&lt;&gt;"",H1285,MAX('Vade Sapması'!$D$3,G1285)))</f>
        <v/>
      </c>
      <c r="L1285" s="30" t="str">
        <f aca="false">IF(F1285="","",K1285-B1285)</f>
        <v/>
      </c>
      <c r="M1285" s="30" t="str">
        <f aca="false">IF(F1285="","",L1285-J1285)</f>
        <v/>
      </c>
      <c r="N1285" s="32" t="str">
        <f aca="false">IF(F1285="","",IF(H1285&lt;&gt;"","Kapandı",IF('Vade Sapması'!$D$3&gt;G1285,"Açık · vadesi geçti","Açık · vadesi gelmedi")))</f>
        <v/>
      </c>
      <c r="O1285" s="30" t="str">
        <f aca="false">IF(F1285="","",IF(AND(H1285="",'Vade Sapması'!$D$3&gt;G1285),'Vade Sapması'!$D$3-G1285,0))</f>
        <v/>
      </c>
      <c r="P1285" s="33" t="str">
        <f aca="false">IF(F1285="","",F1285*J1285)</f>
        <v/>
      </c>
      <c r="Q1285" s="33" t="str">
        <f aca="false">IF(F1285="","",F1285*L1285)</f>
        <v/>
      </c>
      <c r="R1285" s="33" t="str">
        <f aca="false">IF(F1285="","",IF(H1285="",F1285,0))</f>
        <v/>
      </c>
      <c r="S1285" s="32" t="str">
        <f aca="false">IF(F1285="","",IF(N(O1285)=0,"",IF(O1285&lt;=30,"1-30",IF(O1285&lt;=60,"31-60",IF(O1285&lt;=90,"61-90","90+")))))</f>
        <v/>
      </c>
      <c r="T1285" s="32" t="str">
        <f aca="false">IF(F1285="","",IF(E1285="","Diğer",E1285))</f>
        <v/>
      </c>
      <c r="U1285" s="32" t="str">
        <f aca="false">IF(OR(F1285="",C1285=""),"",IF(COUNTIF($C$2:C1285,C1285)=1,MAX($U$1:U1284)+1,""))</f>
        <v/>
      </c>
    </row>
    <row r="1286" customFormat="false" ht="15" hidden="false" customHeight="false" outlineLevel="0" collapsed="false">
      <c r="A1286" s="34"/>
      <c r="B1286" s="9"/>
      <c r="C1286" s="34"/>
      <c r="D1286" s="34"/>
      <c r="E1286" s="34"/>
      <c r="F1286" s="35"/>
      <c r="G1286" s="9"/>
      <c r="H1286" s="9"/>
      <c r="I1286" s="34"/>
      <c r="J1286" s="30" t="str">
        <f aca="false">IF(F1286="","",G1286-B1286)</f>
        <v/>
      </c>
      <c r="K1286" s="31" t="str">
        <f aca="false">IF(F1286="","",IF(H1286&lt;&gt;"",H1286,MAX('Vade Sapması'!$D$3,G1286)))</f>
        <v/>
      </c>
      <c r="L1286" s="30" t="str">
        <f aca="false">IF(F1286="","",K1286-B1286)</f>
        <v/>
      </c>
      <c r="M1286" s="30" t="str">
        <f aca="false">IF(F1286="","",L1286-J1286)</f>
        <v/>
      </c>
      <c r="N1286" s="32" t="str">
        <f aca="false">IF(F1286="","",IF(H1286&lt;&gt;"","Kapandı",IF('Vade Sapması'!$D$3&gt;G1286,"Açık · vadesi geçti","Açık · vadesi gelmedi")))</f>
        <v/>
      </c>
      <c r="O1286" s="30" t="str">
        <f aca="false">IF(F1286="","",IF(AND(H1286="",'Vade Sapması'!$D$3&gt;G1286),'Vade Sapması'!$D$3-G1286,0))</f>
        <v/>
      </c>
      <c r="P1286" s="33" t="str">
        <f aca="false">IF(F1286="","",F1286*J1286)</f>
        <v/>
      </c>
      <c r="Q1286" s="33" t="str">
        <f aca="false">IF(F1286="","",F1286*L1286)</f>
        <v/>
      </c>
      <c r="R1286" s="33" t="str">
        <f aca="false">IF(F1286="","",IF(H1286="",F1286,0))</f>
        <v/>
      </c>
      <c r="S1286" s="32" t="str">
        <f aca="false">IF(F1286="","",IF(N(O1286)=0,"",IF(O1286&lt;=30,"1-30",IF(O1286&lt;=60,"31-60",IF(O1286&lt;=90,"61-90","90+")))))</f>
        <v/>
      </c>
      <c r="T1286" s="32" t="str">
        <f aca="false">IF(F1286="","",IF(E1286="","Diğer",E1286))</f>
        <v/>
      </c>
      <c r="U1286" s="32" t="str">
        <f aca="false">IF(OR(F1286="",C1286=""),"",IF(COUNTIF($C$2:C1286,C1286)=1,MAX($U$1:U1285)+1,""))</f>
        <v/>
      </c>
    </row>
    <row r="1287" customFormat="false" ht="15" hidden="false" customHeight="false" outlineLevel="0" collapsed="false">
      <c r="A1287" s="34"/>
      <c r="B1287" s="9"/>
      <c r="C1287" s="34"/>
      <c r="D1287" s="34"/>
      <c r="E1287" s="34"/>
      <c r="F1287" s="35"/>
      <c r="G1287" s="9"/>
      <c r="H1287" s="9"/>
      <c r="I1287" s="34"/>
      <c r="J1287" s="30" t="str">
        <f aca="false">IF(F1287="","",G1287-B1287)</f>
        <v/>
      </c>
      <c r="K1287" s="31" t="str">
        <f aca="false">IF(F1287="","",IF(H1287&lt;&gt;"",H1287,MAX('Vade Sapması'!$D$3,G1287)))</f>
        <v/>
      </c>
      <c r="L1287" s="30" t="str">
        <f aca="false">IF(F1287="","",K1287-B1287)</f>
        <v/>
      </c>
      <c r="M1287" s="30" t="str">
        <f aca="false">IF(F1287="","",L1287-J1287)</f>
        <v/>
      </c>
      <c r="N1287" s="32" t="str">
        <f aca="false">IF(F1287="","",IF(H1287&lt;&gt;"","Kapandı",IF('Vade Sapması'!$D$3&gt;G1287,"Açık · vadesi geçti","Açık · vadesi gelmedi")))</f>
        <v/>
      </c>
      <c r="O1287" s="30" t="str">
        <f aca="false">IF(F1287="","",IF(AND(H1287="",'Vade Sapması'!$D$3&gt;G1287),'Vade Sapması'!$D$3-G1287,0))</f>
        <v/>
      </c>
      <c r="P1287" s="33" t="str">
        <f aca="false">IF(F1287="","",F1287*J1287)</f>
        <v/>
      </c>
      <c r="Q1287" s="33" t="str">
        <f aca="false">IF(F1287="","",F1287*L1287)</f>
        <v/>
      </c>
      <c r="R1287" s="33" t="str">
        <f aca="false">IF(F1287="","",IF(H1287="",F1287,0))</f>
        <v/>
      </c>
      <c r="S1287" s="32" t="str">
        <f aca="false">IF(F1287="","",IF(N(O1287)=0,"",IF(O1287&lt;=30,"1-30",IF(O1287&lt;=60,"31-60",IF(O1287&lt;=90,"61-90","90+")))))</f>
        <v/>
      </c>
      <c r="T1287" s="32" t="str">
        <f aca="false">IF(F1287="","",IF(E1287="","Diğer",E1287))</f>
        <v/>
      </c>
      <c r="U1287" s="32" t="str">
        <f aca="false">IF(OR(F1287="",C1287=""),"",IF(COUNTIF($C$2:C1287,C1287)=1,MAX($U$1:U1286)+1,""))</f>
        <v/>
      </c>
    </row>
    <row r="1288" customFormat="false" ht="15" hidden="false" customHeight="false" outlineLevel="0" collapsed="false">
      <c r="A1288" s="34"/>
      <c r="B1288" s="9"/>
      <c r="C1288" s="34"/>
      <c r="D1288" s="34"/>
      <c r="E1288" s="34"/>
      <c r="F1288" s="35"/>
      <c r="G1288" s="9"/>
      <c r="H1288" s="9"/>
      <c r="I1288" s="34"/>
      <c r="J1288" s="30" t="str">
        <f aca="false">IF(F1288="","",G1288-B1288)</f>
        <v/>
      </c>
      <c r="K1288" s="31" t="str">
        <f aca="false">IF(F1288="","",IF(H1288&lt;&gt;"",H1288,MAX('Vade Sapması'!$D$3,G1288)))</f>
        <v/>
      </c>
      <c r="L1288" s="30" t="str">
        <f aca="false">IF(F1288="","",K1288-B1288)</f>
        <v/>
      </c>
      <c r="M1288" s="30" t="str">
        <f aca="false">IF(F1288="","",L1288-J1288)</f>
        <v/>
      </c>
      <c r="N1288" s="32" t="str">
        <f aca="false">IF(F1288="","",IF(H1288&lt;&gt;"","Kapandı",IF('Vade Sapması'!$D$3&gt;G1288,"Açık · vadesi geçti","Açık · vadesi gelmedi")))</f>
        <v/>
      </c>
      <c r="O1288" s="30" t="str">
        <f aca="false">IF(F1288="","",IF(AND(H1288="",'Vade Sapması'!$D$3&gt;G1288),'Vade Sapması'!$D$3-G1288,0))</f>
        <v/>
      </c>
      <c r="P1288" s="33" t="str">
        <f aca="false">IF(F1288="","",F1288*J1288)</f>
        <v/>
      </c>
      <c r="Q1288" s="33" t="str">
        <f aca="false">IF(F1288="","",F1288*L1288)</f>
        <v/>
      </c>
      <c r="R1288" s="33" t="str">
        <f aca="false">IF(F1288="","",IF(H1288="",F1288,0))</f>
        <v/>
      </c>
      <c r="S1288" s="32" t="str">
        <f aca="false">IF(F1288="","",IF(N(O1288)=0,"",IF(O1288&lt;=30,"1-30",IF(O1288&lt;=60,"31-60",IF(O1288&lt;=90,"61-90","90+")))))</f>
        <v/>
      </c>
      <c r="T1288" s="32" t="str">
        <f aca="false">IF(F1288="","",IF(E1288="","Diğer",E1288))</f>
        <v/>
      </c>
      <c r="U1288" s="32" t="str">
        <f aca="false">IF(OR(F1288="",C1288=""),"",IF(COUNTIF($C$2:C1288,C1288)=1,MAX($U$1:U1287)+1,""))</f>
        <v/>
      </c>
    </row>
    <row r="1289" customFormat="false" ht="15" hidden="false" customHeight="false" outlineLevel="0" collapsed="false">
      <c r="A1289" s="34"/>
      <c r="B1289" s="9"/>
      <c r="C1289" s="34"/>
      <c r="D1289" s="34"/>
      <c r="E1289" s="34"/>
      <c r="F1289" s="35"/>
      <c r="G1289" s="9"/>
      <c r="H1289" s="9"/>
      <c r="I1289" s="34"/>
      <c r="J1289" s="30" t="str">
        <f aca="false">IF(F1289="","",G1289-B1289)</f>
        <v/>
      </c>
      <c r="K1289" s="31" t="str">
        <f aca="false">IF(F1289="","",IF(H1289&lt;&gt;"",H1289,MAX('Vade Sapması'!$D$3,G1289)))</f>
        <v/>
      </c>
      <c r="L1289" s="30" t="str">
        <f aca="false">IF(F1289="","",K1289-B1289)</f>
        <v/>
      </c>
      <c r="M1289" s="30" t="str">
        <f aca="false">IF(F1289="","",L1289-J1289)</f>
        <v/>
      </c>
      <c r="N1289" s="32" t="str">
        <f aca="false">IF(F1289="","",IF(H1289&lt;&gt;"","Kapandı",IF('Vade Sapması'!$D$3&gt;G1289,"Açık · vadesi geçti","Açık · vadesi gelmedi")))</f>
        <v/>
      </c>
      <c r="O1289" s="30" t="str">
        <f aca="false">IF(F1289="","",IF(AND(H1289="",'Vade Sapması'!$D$3&gt;G1289),'Vade Sapması'!$D$3-G1289,0))</f>
        <v/>
      </c>
      <c r="P1289" s="33" t="str">
        <f aca="false">IF(F1289="","",F1289*J1289)</f>
        <v/>
      </c>
      <c r="Q1289" s="33" t="str">
        <f aca="false">IF(F1289="","",F1289*L1289)</f>
        <v/>
      </c>
      <c r="R1289" s="33" t="str">
        <f aca="false">IF(F1289="","",IF(H1289="",F1289,0))</f>
        <v/>
      </c>
      <c r="S1289" s="32" t="str">
        <f aca="false">IF(F1289="","",IF(N(O1289)=0,"",IF(O1289&lt;=30,"1-30",IF(O1289&lt;=60,"31-60",IF(O1289&lt;=90,"61-90","90+")))))</f>
        <v/>
      </c>
      <c r="T1289" s="32" t="str">
        <f aca="false">IF(F1289="","",IF(E1289="","Diğer",E1289))</f>
        <v/>
      </c>
      <c r="U1289" s="32" t="str">
        <f aca="false">IF(OR(F1289="",C1289=""),"",IF(COUNTIF($C$2:C1289,C1289)=1,MAX($U$1:U1288)+1,""))</f>
        <v/>
      </c>
    </row>
    <row r="1290" customFormat="false" ht="15" hidden="false" customHeight="false" outlineLevel="0" collapsed="false">
      <c r="A1290" s="34"/>
      <c r="B1290" s="9"/>
      <c r="C1290" s="34"/>
      <c r="D1290" s="34"/>
      <c r="E1290" s="34"/>
      <c r="F1290" s="35"/>
      <c r="G1290" s="9"/>
      <c r="H1290" s="9"/>
      <c r="I1290" s="34"/>
      <c r="J1290" s="30" t="str">
        <f aca="false">IF(F1290="","",G1290-B1290)</f>
        <v/>
      </c>
      <c r="K1290" s="31" t="str">
        <f aca="false">IF(F1290="","",IF(H1290&lt;&gt;"",H1290,MAX('Vade Sapması'!$D$3,G1290)))</f>
        <v/>
      </c>
      <c r="L1290" s="30" t="str">
        <f aca="false">IF(F1290="","",K1290-B1290)</f>
        <v/>
      </c>
      <c r="M1290" s="30" t="str">
        <f aca="false">IF(F1290="","",L1290-J1290)</f>
        <v/>
      </c>
      <c r="N1290" s="32" t="str">
        <f aca="false">IF(F1290="","",IF(H1290&lt;&gt;"","Kapandı",IF('Vade Sapması'!$D$3&gt;G1290,"Açık · vadesi geçti","Açık · vadesi gelmedi")))</f>
        <v/>
      </c>
      <c r="O1290" s="30" t="str">
        <f aca="false">IF(F1290="","",IF(AND(H1290="",'Vade Sapması'!$D$3&gt;G1290),'Vade Sapması'!$D$3-G1290,0))</f>
        <v/>
      </c>
      <c r="P1290" s="33" t="str">
        <f aca="false">IF(F1290="","",F1290*J1290)</f>
        <v/>
      </c>
      <c r="Q1290" s="33" t="str">
        <f aca="false">IF(F1290="","",F1290*L1290)</f>
        <v/>
      </c>
      <c r="R1290" s="33" t="str">
        <f aca="false">IF(F1290="","",IF(H1290="",F1290,0))</f>
        <v/>
      </c>
      <c r="S1290" s="32" t="str">
        <f aca="false">IF(F1290="","",IF(N(O1290)=0,"",IF(O1290&lt;=30,"1-30",IF(O1290&lt;=60,"31-60",IF(O1290&lt;=90,"61-90","90+")))))</f>
        <v/>
      </c>
      <c r="T1290" s="32" t="str">
        <f aca="false">IF(F1290="","",IF(E1290="","Diğer",E1290))</f>
        <v/>
      </c>
      <c r="U1290" s="32" t="str">
        <f aca="false">IF(OR(F1290="",C1290=""),"",IF(COUNTIF($C$2:C1290,C1290)=1,MAX($U$1:U1289)+1,""))</f>
        <v/>
      </c>
    </row>
    <row r="1291" customFormat="false" ht="15" hidden="false" customHeight="false" outlineLevel="0" collapsed="false">
      <c r="A1291" s="34"/>
      <c r="B1291" s="9"/>
      <c r="C1291" s="34"/>
      <c r="D1291" s="34"/>
      <c r="E1291" s="34"/>
      <c r="F1291" s="35"/>
      <c r="G1291" s="9"/>
      <c r="H1291" s="9"/>
      <c r="I1291" s="34"/>
      <c r="J1291" s="30" t="str">
        <f aca="false">IF(F1291="","",G1291-B1291)</f>
        <v/>
      </c>
      <c r="K1291" s="31" t="str">
        <f aca="false">IF(F1291="","",IF(H1291&lt;&gt;"",H1291,MAX('Vade Sapması'!$D$3,G1291)))</f>
        <v/>
      </c>
      <c r="L1291" s="30" t="str">
        <f aca="false">IF(F1291="","",K1291-B1291)</f>
        <v/>
      </c>
      <c r="M1291" s="30" t="str">
        <f aca="false">IF(F1291="","",L1291-J1291)</f>
        <v/>
      </c>
      <c r="N1291" s="32" t="str">
        <f aca="false">IF(F1291="","",IF(H1291&lt;&gt;"","Kapandı",IF('Vade Sapması'!$D$3&gt;G1291,"Açık · vadesi geçti","Açık · vadesi gelmedi")))</f>
        <v/>
      </c>
      <c r="O1291" s="30" t="str">
        <f aca="false">IF(F1291="","",IF(AND(H1291="",'Vade Sapması'!$D$3&gt;G1291),'Vade Sapması'!$D$3-G1291,0))</f>
        <v/>
      </c>
      <c r="P1291" s="33" t="str">
        <f aca="false">IF(F1291="","",F1291*J1291)</f>
        <v/>
      </c>
      <c r="Q1291" s="33" t="str">
        <f aca="false">IF(F1291="","",F1291*L1291)</f>
        <v/>
      </c>
      <c r="R1291" s="33" t="str">
        <f aca="false">IF(F1291="","",IF(H1291="",F1291,0))</f>
        <v/>
      </c>
      <c r="S1291" s="32" t="str">
        <f aca="false">IF(F1291="","",IF(N(O1291)=0,"",IF(O1291&lt;=30,"1-30",IF(O1291&lt;=60,"31-60",IF(O1291&lt;=90,"61-90","90+")))))</f>
        <v/>
      </c>
      <c r="T1291" s="32" t="str">
        <f aca="false">IF(F1291="","",IF(E1291="","Diğer",E1291))</f>
        <v/>
      </c>
      <c r="U1291" s="32" t="str">
        <f aca="false">IF(OR(F1291="",C1291=""),"",IF(COUNTIF($C$2:C1291,C1291)=1,MAX($U$1:U1290)+1,""))</f>
        <v/>
      </c>
    </row>
    <row r="1292" customFormat="false" ht="15" hidden="false" customHeight="false" outlineLevel="0" collapsed="false">
      <c r="A1292" s="34"/>
      <c r="B1292" s="9"/>
      <c r="C1292" s="34"/>
      <c r="D1292" s="34"/>
      <c r="E1292" s="34"/>
      <c r="F1292" s="35"/>
      <c r="G1292" s="9"/>
      <c r="H1292" s="9"/>
      <c r="I1292" s="34"/>
      <c r="J1292" s="30" t="str">
        <f aca="false">IF(F1292="","",G1292-B1292)</f>
        <v/>
      </c>
      <c r="K1292" s="31" t="str">
        <f aca="false">IF(F1292="","",IF(H1292&lt;&gt;"",H1292,MAX('Vade Sapması'!$D$3,G1292)))</f>
        <v/>
      </c>
      <c r="L1292" s="30" t="str">
        <f aca="false">IF(F1292="","",K1292-B1292)</f>
        <v/>
      </c>
      <c r="M1292" s="30" t="str">
        <f aca="false">IF(F1292="","",L1292-J1292)</f>
        <v/>
      </c>
      <c r="N1292" s="32" t="str">
        <f aca="false">IF(F1292="","",IF(H1292&lt;&gt;"","Kapandı",IF('Vade Sapması'!$D$3&gt;G1292,"Açık · vadesi geçti","Açık · vadesi gelmedi")))</f>
        <v/>
      </c>
      <c r="O1292" s="30" t="str">
        <f aca="false">IF(F1292="","",IF(AND(H1292="",'Vade Sapması'!$D$3&gt;G1292),'Vade Sapması'!$D$3-G1292,0))</f>
        <v/>
      </c>
      <c r="P1292" s="33" t="str">
        <f aca="false">IF(F1292="","",F1292*J1292)</f>
        <v/>
      </c>
      <c r="Q1292" s="33" t="str">
        <f aca="false">IF(F1292="","",F1292*L1292)</f>
        <v/>
      </c>
      <c r="R1292" s="33" t="str">
        <f aca="false">IF(F1292="","",IF(H1292="",F1292,0))</f>
        <v/>
      </c>
      <c r="S1292" s="32" t="str">
        <f aca="false">IF(F1292="","",IF(N(O1292)=0,"",IF(O1292&lt;=30,"1-30",IF(O1292&lt;=60,"31-60",IF(O1292&lt;=90,"61-90","90+")))))</f>
        <v/>
      </c>
      <c r="T1292" s="32" t="str">
        <f aca="false">IF(F1292="","",IF(E1292="","Diğer",E1292))</f>
        <v/>
      </c>
      <c r="U1292" s="32" t="str">
        <f aca="false">IF(OR(F1292="",C1292=""),"",IF(COUNTIF($C$2:C1292,C1292)=1,MAX($U$1:U1291)+1,""))</f>
        <v/>
      </c>
    </row>
    <row r="1293" customFormat="false" ht="15" hidden="false" customHeight="false" outlineLevel="0" collapsed="false">
      <c r="A1293" s="34"/>
      <c r="B1293" s="9"/>
      <c r="C1293" s="34"/>
      <c r="D1293" s="34"/>
      <c r="E1293" s="34"/>
      <c r="F1293" s="35"/>
      <c r="G1293" s="9"/>
      <c r="H1293" s="9"/>
      <c r="I1293" s="34"/>
      <c r="J1293" s="30" t="str">
        <f aca="false">IF(F1293="","",G1293-B1293)</f>
        <v/>
      </c>
      <c r="K1293" s="31" t="str">
        <f aca="false">IF(F1293="","",IF(H1293&lt;&gt;"",H1293,MAX('Vade Sapması'!$D$3,G1293)))</f>
        <v/>
      </c>
      <c r="L1293" s="30" t="str">
        <f aca="false">IF(F1293="","",K1293-B1293)</f>
        <v/>
      </c>
      <c r="M1293" s="30" t="str">
        <f aca="false">IF(F1293="","",L1293-J1293)</f>
        <v/>
      </c>
      <c r="N1293" s="32" t="str">
        <f aca="false">IF(F1293="","",IF(H1293&lt;&gt;"","Kapandı",IF('Vade Sapması'!$D$3&gt;G1293,"Açık · vadesi geçti","Açık · vadesi gelmedi")))</f>
        <v/>
      </c>
      <c r="O1293" s="30" t="str">
        <f aca="false">IF(F1293="","",IF(AND(H1293="",'Vade Sapması'!$D$3&gt;G1293),'Vade Sapması'!$D$3-G1293,0))</f>
        <v/>
      </c>
      <c r="P1293" s="33" t="str">
        <f aca="false">IF(F1293="","",F1293*J1293)</f>
        <v/>
      </c>
      <c r="Q1293" s="33" t="str">
        <f aca="false">IF(F1293="","",F1293*L1293)</f>
        <v/>
      </c>
      <c r="R1293" s="33" t="str">
        <f aca="false">IF(F1293="","",IF(H1293="",F1293,0))</f>
        <v/>
      </c>
      <c r="S1293" s="32" t="str">
        <f aca="false">IF(F1293="","",IF(N(O1293)=0,"",IF(O1293&lt;=30,"1-30",IF(O1293&lt;=60,"31-60",IF(O1293&lt;=90,"61-90","90+")))))</f>
        <v/>
      </c>
      <c r="T1293" s="32" t="str">
        <f aca="false">IF(F1293="","",IF(E1293="","Diğer",E1293))</f>
        <v/>
      </c>
      <c r="U1293" s="32" t="str">
        <f aca="false">IF(OR(F1293="",C1293=""),"",IF(COUNTIF($C$2:C1293,C1293)=1,MAX($U$1:U1292)+1,""))</f>
        <v/>
      </c>
    </row>
    <row r="1294" customFormat="false" ht="15" hidden="false" customHeight="false" outlineLevel="0" collapsed="false">
      <c r="A1294" s="34"/>
      <c r="B1294" s="9"/>
      <c r="C1294" s="34"/>
      <c r="D1294" s="34"/>
      <c r="E1294" s="34"/>
      <c r="F1294" s="35"/>
      <c r="G1294" s="9"/>
      <c r="H1294" s="9"/>
      <c r="I1294" s="34"/>
      <c r="J1294" s="30" t="str">
        <f aca="false">IF(F1294="","",G1294-B1294)</f>
        <v/>
      </c>
      <c r="K1294" s="31" t="str">
        <f aca="false">IF(F1294="","",IF(H1294&lt;&gt;"",H1294,MAX('Vade Sapması'!$D$3,G1294)))</f>
        <v/>
      </c>
      <c r="L1294" s="30" t="str">
        <f aca="false">IF(F1294="","",K1294-B1294)</f>
        <v/>
      </c>
      <c r="M1294" s="30" t="str">
        <f aca="false">IF(F1294="","",L1294-J1294)</f>
        <v/>
      </c>
      <c r="N1294" s="32" t="str">
        <f aca="false">IF(F1294="","",IF(H1294&lt;&gt;"","Kapandı",IF('Vade Sapması'!$D$3&gt;G1294,"Açık · vadesi geçti","Açık · vadesi gelmedi")))</f>
        <v/>
      </c>
      <c r="O1294" s="30" t="str">
        <f aca="false">IF(F1294="","",IF(AND(H1294="",'Vade Sapması'!$D$3&gt;G1294),'Vade Sapması'!$D$3-G1294,0))</f>
        <v/>
      </c>
      <c r="P1294" s="33" t="str">
        <f aca="false">IF(F1294="","",F1294*J1294)</f>
        <v/>
      </c>
      <c r="Q1294" s="33" t="str">
        <f aca="false">IF(F1294="","",F1294*L1294)</f>
        <v/>
      </c>
      <c r="R1294" s="33" t="str">
        <f aca="false">IF(F1294="","",IF(H1294="",F1294,0))</f>
        <v/>
      </c>
      <c r="S1294" s="32" t="str">
        <f aca="false">IF(F1294="","",IF(N(O1294)=0,"",IF(O1294&lt;=30,"1-30",IF(O1294&lt;=60,"31-60",IF(O1294&lt;=90,"61-90","90+")))))</f>
        <v/>
      </c>
      <c r="T1294" s="32" t="str">
        <f aca="false">IF(F1294="","",IF(E1294="","Diğer",E1294))</f>
        <v/>
      </c>
      <c r="U1294" s="32" t="str">
        <f aca="false">IF(OR(F1294="",C1294=""),"",IF(COUNTIF($C$2:C1294,C1294)=1,MAX($U$1:U1293)+1,""))</f>
        <v/>
      </c>
    </row>
    <row r="1295" customFormat="false" ht="15" hidden="false" customHeight="false" outlineLevel="0" collapsed="false">
      <c r="A1295" s="34"/>
      <c r="B1295" s="9"/>
      <c r="C1295" s="34"/>
      <c r="D1295" s="34"/>
      <c r="E1295" s="34"/>
      <c r="F1295" s="35"/>
      <c r="G1295" s="9"/>
      <c r="H1295" s="9"/>
      <c r="I1295" s="34"/>
      <c r="J1295" s="30" t="str">
        <f aca="false">IF(F1295="","",G1295-B1295)</f>
        <v/>
      </c>
      <c r="K1295" s="31" t="str">
        <f aca="false">IF(F1295="","",IF(H1295&lt;&gt;"",H1295,MAX('Vade Sapması'!$D$3,G1295)))</f>
        <v/>
      </c>
      <c r="L1295" s="30" t="str">
        <f aca="false">IF(F1295="","",K1295-B1295)</f>
        <v/>
      </c>
      <c r="M1295" s="30" t="str">
        <f aca="false">IF(F1295="","",L1295-J1295)</f>
        <v/>
      </c>
      <c r="N1295" s="32" t="str">
        <f aca="false">IF(F1295="","",IF(H1295&lt;&gt;"","Kapandı",IF('Vade Sapması'!$D$3&gt;G1295,"Açık · vadesi geçti","Açık · vadesi gelmedi")))</f>
        <v/>
      </c>
      <c r="O1295" s="30" t="str">
        <f aca="false">IF(F1295="","",IF(AND(H1295="",'Vade Sapması'!$D$3&gt;G1295),'Vade Sapması'!$D$3-G1295,0))</f>
        <v/>
      </c>
      <c r="P1295" s="33" t="str">
        <f aca="false">IF(F1295="","",F1295*J1295)</f>
        <v/>
      </c>
      <c r="Q1295" s="33" t="str">
        <f aca="false">IF(F1295="","",F1295*L1295)</f>
        <v/>
      </c>
      <c r="R1295" s="33" t="str">
        <f aca="false">IF(F1295="","",IF(H1295="",F1295,0))</f>
        <v/>
      </c>
      <c r="S1295" s="32" t="str">
        <f aca="false">IF(F1295="","",IF(N(O1295)=0,"",IF(O1295&lt;=30,"1-30",IF(O1295&lt;=60,"31-60",IF(O1295&lt;=90,"61-90","90+")))))</f>
        <v/>
      </c>
      <c r="T1295" s="32" t="str">
        <f aca="false">IF(F1295="","",IF(E1295="","Diğer",E1295))</f>
        <v/>
      </c>
      <c r="U1295" s="32" t="str">
        <f aca="false">IF(OR(F1295="",C1295=""),"",IF(COUNTIF($C$2:C1295,C1295)=1,MAX($U$1:U1294)+1,""))</f>
        <v/>
      </c>
    </row>
    <row r="1296" customFormat="false" ht="15" hidden="false" customHeight="false" outlineLevel="0" collapsed="false">
      <c r="A1296" s="34"/>
      <c r="B1296" s="9"/>
      <c r="C1296" s="34"/>
      <c r="D1296" s="34"/>
      <c r="E1296" s="34"/>
      <c r="F1296" s="35"/>
      <c r="G1296" s="9"/>
      <c r="H1296" s="9"/>
      <c r="I1296" s="34"/>
      <c r="J1296" s="30" t="str">
        <f aca="false">IF(F1296="","",G1296-B1296)</f>
        <v/>
      </c>
      <c r="K1296" s="31" t="str">
        <f aca="false">IF(F1296="","",IF(H1296&lt;&gt;"",H1296,MAX('Vade Sapması'!$D$3,G1296)))</f>
        <v/>
      </c>
      <c r="L1296" s="30" t="str">
        <f aca="false">IF(F1296="","",K1296-B1296)</f>
        <v/>
      </c>
      <c r="M1296" s="30" t="str">
        <f aca="false">IF(F1296="","",L1296-J1296)</f>
        <v/>
      </c>
      <c r="N1296" s="32" t="str">
        <f aca="false">IF(F1296="","",IF(H1296&lt;&gt;"","Kapandı",IF('Vade Sapması'!$D$3&gt;G1296,"Açık · vadesi geçti","Açık · vadesi gelmedi")))</f>
        <v/>
      </c>
      <c r="O1296" s="30" t="str">
        <f aca="false">IF(F1296="","",IF(AND(H1296="",'Vade Sapması'!$D$3&gt;G1296),'Vade Sapması'!$D$3-G1296,0))</f>
        <v/>
      </c>
      <c r="P1296" s="33" t="str">
        <f aca="false">IF(F1296="","",F1296*J1296)</f>
        <v/>
      </c>
      <c r="Q1296" s="33" t="str">
        <f aca="false">IF(F1296="","",F1296*L1296)</f>
        <v/>
      </c>
      <c r="R1296" s="33" t="str">
        <f aca="false">IF(F1296="","",IF(H1296="",F1296,0))</f>
        <v/>
      </c>
      <c r="S1296" s="32" t="str">
        <f aca="false">IF(F1296="","",IF(N(O1296)=0,"",IF(O1296&lt;=30,"1-30",IF(O1296&lt;=60,"31-60",IF(O1296&lt;=90,"61-90","90+")))))</f>
        <v/>
      </c>
      <c r="T1296" s="32" t="str">
        <f aca="false">IF(F1296="","",IF(E1296="","Diğer",E1296))</f>
        <v/>
      </c>
      <c r="U1296" s="32" t="str">
        <f aca="false">IF(OR(F1296="",C1296=""),"",IF(COUNTIF($C$2:C1296,C1296)=1,MAX($U$1:U1295)+1,""))</f>
        <v/>
      </c>
    </row>
    <row r="1297" customFormat="false" ht="15" hidden="false" customHeight="false" outlineLevel="0" collapsed="false">
      <c r="A1297" s="34"/>
      <c r="B1297" s="9"/>
      <c r="C1297" s="34"/>
      <c r="D1297" s="34"/>
      <c r="E1297" s="34"/>
      <c r="F1297" s="35"/>
      <c r="G1297" s="9"/>
      <c r="H1297" s="9"/>
      <c r="I1297" s="34"/>
      <c r="J1297" s="30" t="str">
        <f aca="false">IF(F1297="","",G1297-B1297)</f>
        <v/>
      </c>
      <c r="K1297" s="31" t="str">
        <f aca="false">IF(F1297="","",IF(H1297&lt;&gt;"",H1297,MAX('Vade Sapması'!$D$3,G1297)))</f>
        <v/>
      </c>
      <c r="L1297" s="30" t="str">
        <f aca="false">IF(F1297="","",K1297-B1297)</f>
        <v/>
      </c>
      <c r="M1297" s="30" t="str">
        <f aca="false">IF(F1297="","",L1297-J1297)</f>
        <v/>
      </c>
      <c r="N1297" s="32" t="str">
        <f aca="false">IF(F1297="","",IF(H1297&lt;&gt;"","Kapandı",IF('Vade Sapması'!$D$3&gt;G1297,"Açık · vadesi geçti","Açık · vadesi gelmedi")))</f>
        <v/>
      </c>
      <c r="O1297" s="30" t="str">
        <f aca="false">IF(F1297="","",IF(AND(H1297="",'Vade Sapması'!$D$3&gt;G1297),'Vade Sapması'!$D$3-G1297,0))</f>
        <v/>
      </c>
      <c r="P1297" s="33" t="str">
        <f aca="false">IF(F1297="","",F1297*J1297)</f>
        <v/>
      </c>
      <c r="Q1297" s="33" t="str">
        <f aca="false">IF(F1297="","",F1297*L1297)</f>
        <v/>
      </c>
      <c r="R1297" s="33" t="str">
        <f aca="false">IF(F1297="","",IF(H1297="",F1297,0))</f>
        <v/>
      </c>
      <c r="S1297" s="32" t="str">
        <f aca="false">IF(F1297="","",IF(N(O1297)=0,"",IF(O1297&lt;=30,"1-30",IF(O1297&lt;=60,"31-60",IF(O1297&lt;=90,"61-90","90+")))))</f>
        <v/>
      </c>
      <c r="T1297" s="32" t="str">
        <f aca="false">IF(F1297="","",IF(E1297="","Diğer",E1297))</f>
        <v/>
      </c>
      <c r="U1297" s="32" t="str">
        <f aca="false">IF(OR(F1297="",C1297=""),"",IF(COUNTIF($C$2:C1297,C1297)=1,MAX($U$1:U1296)+1,""))</f>
        <v/>
      </c>
    </row>
    <row r="1298" customFormat="false" ht="15" hidden="false" customHeight="false" outlineLevel="0" collapsed="false">
      <c r="A1298" s="34"/>
      <c r="B1298" s="9"/>
      <c r="C1298" s="34"/>
      <c r="D1298" s="34"/>
      <c r="E1298" s="34"/>
      <c r="F1298" s="35"/>
      <c r="G1298" s="9"/>
      <c r="H1298" s="9"/>
      <c r="I1298" s="34"/>
      <c r="J1298" s="30" t="str">
        <f aca="false">IF(F1298="","",G1298-B1298)</f>
        <v/>
      </c>
      <c r="K1298" s="31" t="str">
        <f aca="false">IF(F1298="","",IF(H1298&lt;&gt;"",H1298,MAX('Vade Sapması'!$D$3,G1298)))</f>
        <v/>
      </c>
      <c r="L1298" s="30" t="str">
        <f aca="false">IF(F1298="","",K1298-B1298)</f>
        <v/>
      </c>
      <c r="M1298" s="30" t="str">
        <f aca="false">IF(F1298="","",L1298-J1298)</f>
        <v/>
      </c>
      <c r="N1298" s="32" t="str">
        <f aca="false">IF(F1298="","",IF(H1298&lt;&gt;"","Kapandı",IF('Vade Sapması'!$D$3&gt;G1298,"Açık · vadesi geçti","Açık · vadesi gelmedi")))</f>
        <v/>
      </c>
      <c r="O1298" s="30" t="str">
        <f aca="false">IF(F1298="","",IF(AND(H1298="",'Vade Sapması'!$D$3&gt;G1298),'Vade Sapması'!$D$3-G1298,0))</f>
        <v/>
      </c>
      <c r="P1298" s="33" t="str">
        <f aca="false">IF(F1298="","",F1298*J1298)</f>
        <v/>
      </c>
      <c r="Q1298" s="33" t="str">
        <f aca="false">IF(F1298="","",F1298*L1298)</f>
        <v/>
      </c>
      <c r="R1298" s="33" t="str">
        <f aca="false">IF(F1298="","",IF(H1298="",F1298,0))</f>
        <v/>
      </c>
      <c r="S1298" s="32" t="str">
        <f aca="false">IF(F1298="","",IF(N(O1298)=0,"",IF(O1298&lt;=30,"1-30",IF(O1298&lt;=60,"31-60",IF(O1298&lt;=90,"61-90","90+")))))</f>
        <v/>
      </c>
      <c r="T1298" s="32" t="str">
        <f aca="false">IF(F1298="","",IF(E1298="","Diğer",E1298))</f>
        <v/>
      </c>
      <c r="U1298" s="32" t="str">
        <f aca="false">IF(OR(F1298="",C1298=""),"",IF(COUNTIF($C$2:C1298,C1298)=1,MAX($U$1:U1297)+1,""))</f>
        <v/>
      </c>
    </row>
    <row r="1299" customFormat="false" ht="15" hidden="false" customHeight="false" outlineLevel="0" collapsed="false">
      <c r="A1299" s="34"/>
      <c r="B1299" s="9"/>
      <c r="C1299" s="34"/>
      <c r="D1299" s="34"/>
      <c r="E1299" s="34"/>
      <c r="F1299" s="35"/>
      <c r="G1299" s="9"/>
      <c r="H1299" s="9"/>
      <c r="I1299" s="34"/>
      <c r="J1299" s="30" t="str">
        <f aca="false">IF(F1299="","",G1299-B1299)</f>
        <v/>
      </c>
      <c r="K1299" s="31" t="str">
        <f aca="false">IF(F1299="","",IF(H1299&lt;&gt;"",H1299,MAX('Vade Sapması'!$D$3,G1299)))</f>
        <v/>
      </c>
      <c r="L1299" s="30" t="str">
        <f aca="false">IF(F1299="","",K1299-B1299)</f>
        <v/>
      </c>
      <c r="M1299" s="30" t="str">
        <f aca="false">IF(F1299="","",L1299-J1299)</f>
        <v/>
      </c>
      <c r="N1299" s="32" t="str">
        <f aca="false">IF(F1299="","",IF(H1299&lt;&gt;"","Kapandı",IF('Vade Sapması'!$D$3&gt;G1299,"Açık · vadesi geçti","Açık · vadesi gelmedi")))</f>
        <v/>
      </c>
      <c r="O1299" s="30" t="str">
        <f aca="false">IF(F1299="","",IF(AND(H1299="",'Vade Sapması'!$D$3&gt;G1299),'Vade Sapması'!$D$3-G1299,0))</f>
        <v/>
      </c>
      <c r="P1299" s="33" t="str">
        <f aca="false">IF(F1299="","",F1299*J1299)</f>
        <v/>
      </c>
      <c r="Q1299" s="33" t="str">
        <f aca="false">IF(F1299="","",F1299*L1299)</f>
        <v/>
      </c>
      <c r="R1299" s="33" t="str">
        <f aca="false">IF(F1299="","",IF(H1299="",F1299,0))</f>
        <v/>
      </c>
      <c r="S1299" s="32" t="str">
        <f aca="false">IF(F1299="","",IF(N(O1299)=0,"",IF(O1299&lt;=30,"1-30",IF(O1299&lt;=60,"31-60",IF(O1299&lt;=90,"61-90","90+")))))</f>
        <v/>
      </c>
      <c r="T1299" s="32" t="str">
        <f aca="false">IF(F1299="","",IF(E1299="","Diğer",E1299))</f>
        <v/>
      </c>
      <c r="U1299" s="32" t="str">
        <f aca="false">IF(OR(F1299="",C1299=""),"",IF(COUNTIF($C$2:C1299,C1299)=1,MAX($U$1:U1298)+1,""))</f>
        <v/>
      </c>
    </row>
    <row r="1300" customFormat="false" ht="15" hidden="false" customHeight="false" outlineLevel="0" collapsed="false">
      <c r="A1300" s="34"/>
      <c r="B1300" s="9"/>
      <c r="C1300" s="34"/>
      <c r="D1300" s="34"/>
      <c r="E1300" s="34"/>
      <c r="F1300" s="35"/>
      <c r="G1300" s="9"/>
      <c r="H1300" s="9"/>
      <c r="I1300" s="34"/>
      <c r="J1300" s="30" t="str">
        <f aca="false">IF(F1300="","",G1300-B1300)</f>
        <v/>
      </c>
      <c r="K1300" s="31" t="str">
        <f aca="false">IF(F1300="","",IF(H1300&lt;&gt;"",H1300,MAX('Vade Sapması'!$D$3,G1300)))</f>
        <v/>
      </c>
      <c r="L1300" s="30" t="str">
        <f aca="false">IF(F1300="","",K1300-B1300)</f>
        <v/>
      </c>
      <c r="M1300" s="30" t="str">
        <f aca="false">IF(F1300="","",L1300-J1300)</f>
        <v/>
      </c>
      <c r="N1300" s="32" t="str">
        <f aca="false">IF(F1300="","",IF(H1300&lt;&gt;"","Kapandı",IF('Vade Sapması'!$D$3&gt;G1300,"Açık · vadesi geçti","Açık · vadesi gelmedi")))</f>
        <v/>
      </c>
      <c r="O1300" s="30" t="str">
        <f aca="false">IF(F1300="","",IF(AND(H1300="",'Vade Sapması'!$D$3&gt;G1300),'Vade Sapması'!$D$3-G1300,0))</f>
        <v/>
      </c>
      <c r="P1300" s="33" t="str">
        <f aca="false">IF(F1300="","",F1300*J1300)</f>
        <v/>
      </c>
      <c r="Q1300" s="33" t="str">
        <f aca="false">IF(F1300="","",F1300*L1300)</f>
        <v/>
      </c>
      <c r="R1300" s="33" t="str">
        <f aca="false">IF(F1300="","",IF(H1300="",F1300,0))</f>
        <v/>
      </c>
      <c r="S1300" s="32" t="str">
        <f aca="false">IF(F1300="","",IF(N(O1300)=0,"",IF(O1300&lt;=30,"1-30",IF(O1300&lt;=60,"31-60",IF(O1300&lt;=90,"61-90","90+")))))</f>
        <v/>
      </c>
      <c r="T1300" s="32" t="str">
        <f aca="false">IF(F1300="","",IF(E1300="","Diğer",E1300))</f>
        <v/>
      </c>
      <c r="U1300" s="32" t="str">
        <f aca="false">IF(OR(F1300="",C1300=""),"",IF(COUNTIF($C$2:C1300,C1300)=1,MAX($U$1:U1299)+1,""))</f>
        <v/>
      </c>
    </row>
    <row r="1301" customFormat="false" ht="15" hidden="false" customHeight="false" outlineLevel="0" collapsed="false">
      <c r="A1301" s="34"/>
      <c r="B1301" s="9"/>
      <c r="C1301" s="34"/>
      <c r="D1301" s="34"/>
      <c r="E1301" s="34"/>
      <c r="F1301" s="35"/>
      <c r="G1301" s="9"/>
      <c r="H1301" s="9"/>
      <c r="I1301" s="34"/>
      <c r="J1301" s="30" t="str">
        <f aca="false">IF(F1301="","",G1301-B1301)</f>
        <v/>
      </c>
      <c r="K1301" s="31" t="str">
        <f aca="false">IF(F1301="","",IF(H1301&lt;&gt;"",H1301,MAX('Vade Sapması'!$D$3,G1301)))</f>
        <v/>
      </c>
      <c r="L1301" s="30" t="str">
        <f aca="false">IF(F1301="","",K1301-B1301)</f>
        <v/>
      </c>
      <c r="M1301" s="30" t="str">
        <f aca="false">IF(F1301="","",L1301-J1301)</f>
        <v/>
      </c>
      <c r="N1301" s="32" t="str">
        <f aca="false">IF(F1301="","",IF(H1301&lt;&gt;"","Kapandı",IF('Vade Sapması'!$D$3&gt;G1301,"Açık · vadesi geçti","Açık · vadesi gelmedi")))</f>
        <v/>
      </c>
      <c r="O1301" s="30" t="str">
        <f aca="false">IF(F1301="","",IF(AND(H1301="",'Vade Sapması'!$D$3&gt;G1301),'Vade Sapması'!$D$3-G1301,0))</f>
        <v/>
      </c>
      <c r="P1301" s="33" t="str">
        <f aca="false">IF(F1301="","",F1301*J1301)</f>
        <v/>
      </c>
      <c r="Q1301" s="33" t="str">
        <f aca="false">IF(F1301="","",F1301*L1301)</f>
        <v/>
      </c>
      <c r="R1301" s="33" t="str">
        <f aca="false">IF(F1301="","",IF(H1301="",F1301,0))</f>
        <v/>
      </c>
      <c r="S1301" s="32" t="str">
        <f aca="false">IF(F1301="","",IF(N(O1301)=0,"",IF(O1301&lt;=30,"1-30",IF(O1301&lt;=60,"31-60",IF(O1301&lt;=90,"61-90","90+")))))</f>
        <v/>
      </c>
      <c r="T1301" s="32" t="str">
        <f aca="false">IF(F1301="","",IF(E1301="","Diğer",E1301))</f>
        <v/>
      </c>
      <c r="U1301" s="32" t="str">
        <f aca="false">IF(OR(F1301="",C1301=""),"",IF(COUNTIF($C$2:C1301,C1301)=1,MAX($U$1:U1300)+1,""))</f>
        <v/>
      </c>
    </row>
    <row r="1302" customFormat="false" ht="15" hidden="false" customHeight="false" outlineLevel="0" collapsed="false">
      <c r="A1302" s="34"/>
      <c r="B1302" s="9"/>
      <c r="C1302" s="34"/>
      <c r="D1302" s="34"/>
      <c r="E1302" s="34"/>
      <c r="F1302" s="35"/>
      <c r="G1302" s="9"/>
      <c r="H1302" s="9"/>
      <c r="I1302" s="34"/>
      <c r="J1302" s="30" t="str">
        <f aca="false">IF(F1302="","",G1302-B1302)</f>
        <v/>
      </c>
      <c r="K1302" s="31" t="str">
        <f aca="false">IF(F1302="","",IF(H1302&lt;&gt;"",H1302,MAX('Vade Sapması'!$D$3,G1302)))</f>
        <v/>
      </c>
      <c r="L1302" s="30" t="str">
        <f aca="false">IF(F1302="","",K1302-B1302)</f>
        <v/>
      </c>
      <c r="M1302" s="30" t="str">
        <f aca="false">IF(F1302="","",L1302-J1302)</f>
        <v/>
      </c>
      <c r="N1302" s="32" t="str">
        <f aca="false">IF(F1302="","",IF(H1302&lt;&gt;"","Kapandı",IF('Vade Sapması'!$D$3&gt;G1302,"Açık · vadesi geçti","Açık · vadesi gelmedi")))</f>
        <v/>
      </c>
      <c r="O1302" s="30" t="str">
        <f aca="false">IF(F1302="","",IF(AND(H1302="",'Vade Sapması'!$D$3&gt;G1302),'Vade Sapması'!$D$3-G1302,0))</f>
        <v/>
      </c>
      <c r="P1302" s="33" t="str">
        <f aca="false">IF(F1302="","",F1302*J1302)</f>
        <v/>
      </c>
      <c r="Q1302" s="33" t="str">
        <f aca="false">IF(F1302="","",F1302*L1302)</f>
        <v/>
      </c>
      <c r="R1302" s="33" t="str">
        <f aca="false">IF(F1302="","",IF(H1302="",F1302,0))</f>
        <v/>
      </c>
      <c r="S1302" s="32" t="str">
        <f aca="false">IF(F1302="","",IF(N(O1302)=0,"",IF(O1302&lt;=30,"1-30",IF(O1302&lt;=60,"31-60",IF(O1302&lt;=90,"61-90","90+")))))</f>
        <v/>
      </c>
      <c r="T1302" s="32" t="str">
        <f aca="false">IF(F1302="","",IF(E1302="","Diğer",E1302))</f>
        <v/>
      </c>
      <c r="U1302" s="32" t="str">
        <f aca="false">IF(OR(F1302="",C1302=""),"",IF(COUNTIF($C$2:C1302,C1302)=1,MAX($U$1:U1301)+1,""))</f>
        <v/>
      </c>
    </row>
    <row r="1303" customFormat="false" ht="15" hidden="false" customHeight="false" outlineLevel="0" collapsed="false">
      <c r="A1303" s="34"/>
      <c r="B1303" s="9"/>
      <c r="C1303" s="34"/>
      <c r="D1303" s="34"/>
      <c r="E1303" s="34"/>
      <c r="F1303" s="35"/>
      <c r="G1303" s="9"/>
      <c r="H1303" s="9"/>
      <c r="I1303" s="34"/>
      <c r="J1303" s="30" t="str">
        <f aca="false">IF(F1303="","",G1303-B1303)</f>
        <v/>
      </c>
      <c r="K1303" s="31" t="str">
        <f aca="false">IF(F1303="","",IF(H1303&lt;&gt;"",H1303,MAX('Vade Sapması'!$D$3,G1303)))</f>
        <v/>
      </c>
      <c r="L1303" s="30" t="str">
        <f aca="false">IF(F1303="","",K1303-B1303)</f>
        <v/>
      </c>
      <c r="M1303" s="30" t="str">
        <f aca="false">IF(F1303="","",L1303-J1303)</f>
        <v/>
      </c>
      <c r="N1303" s="32" t="str">
        <f aca="false">IF(F1303="","",IF(H1303&lt;&gt;"","Kapandı",IF('Vade Sapması'!$D$3&gt;G1303,"Açık · vadesi geçti","Açık · vadesi gelmedi")))</f>
        <v/>
      </c>
      <c r="O1303" s="30" t="str">
        <f aca="false">IF(F1303="","",IF(AND(H1303="",'Vade Sapması'!$D$3&gt;G1303),'Vade Sapması'!$D$3-G1303,0))</f>
        <v/>
      </c>
      <c r="P1303" s="33" t="str">
        <f aca="false">IF(F1303="","",F1303*J1303)</f>
        <v/>
      </c>
      <c r="Q1303" s="33" t="str">
        <f aca="false">IF(F1303="","",F1303*L1303)</f>
        <v/>
      </c>
      <c r="R1303" s="33" t="str">
        <f aca="false">IF(F1303="","",IF(H1303="",F1303,0))</f>
        <v/>
      </c>
      <c r="S1303" s="32" t="str">
        <f aca="false">IF(F1303="","",IF(N(O1303)=0,"",IF(O1303&lt;=30,"1-30",IF(O1303&lt;=60,"31-60",IF(O1303&lt;=90,"61-90","90+")))))</f>
        <v/>
      </c>
      <c r="T1303" s="32" t="str">
        <f aca="false">IF(F1303="","",IF(E1303="","Diğer",E1303))</f>
        <v/>
      </c>
      <c r="U1303" s="32" t="str">
        <f aca="false">IF(OR(F1303="",C1303=""),"",IF(COUNTIF($C$2:C1303,C1303)=1,MAX($U$1:U1302)+1,""))</f>
        <v/>
      </c>
    </row>
    <row r="1304" customFormat="false" ht="15" hidden="false" customHeight="false" outlineLevel="0" collapsed="false">
      <c r="A1304" s="34"/>
      <c r="B1304" s="9"/>
      <c r="C1304" s="34"/>
      <c r="D1304" s="34"/>
      <c r="E1304" s="34"/>
      <c r="F1304" s="35"/>
      <c r="G1304" s="9"/>
      <c r="H1304" s="9"/>
      <c r="I1304" s="34"/>
      <c r="J1304" s="30" t="str">
        <f aca="false">IF(F1304="","",G1304-B1304)</f>
        <v/>
      </c>
      <c r="K1304" s="31" t="str">
        <f aca="false">IF(F1304="","",IF(H1304&lt;&gt;"",H1304,MAX('Vade Sapması'!$D$3,G1304)))</f>
        <v/>
      </c>
      <c r="L1304" s="30" t="str">
        <f aca="false">IF(F1304="","",K1304-B1304)</f>
        <v/>
      </c>
      <c r="M1304" s="30" t="str">
        <f aca="false">IF(F1304="","",L1304-J1304)</f>
        <v/>
      </c>
      <c r="N1304" s="32" t="str">
        <f aca="false">IF(F1304="","",IF(H1304&lt;&gt;"","Kapandı",IF('Vade Sapması'!$D$3&gt;G1304,"Açık · vadesi geçti","Açık · vadesi gelmedi")))</f>
        <v/>
      </c>
      <c r="O1304" s="30" t="str">
        <f aca="false">IF(F1304="","",IF(AND(H1304="",'Vade Sapması'!$D$3&gt;G1304),'Vade Sapması'!$D$3-G1304,0))</f>
        <v/>
      </c>
      <c r="P1304" s="33" t="str">
        <f aca="false">IF(F1304="","",F1304*J1304)</f>
        <v/>
      </c>
      <c r="Q1304" s="33" t="str">
        <f aca="false">IF(F1304="","",F1304*L1304)</f>
        <v/>
      </c>
      <c r="R1304" s="33" t="str">
        <f aca="false">IF(F1304="","",IF(H1304="",F1304,0))</f>
        <v/>
      </c>
      <c r="S1304" s="32" t="str">
        <f aca="false">IF(F1304="","",IF(N(O1304)=0,"",IF(O1304&lt;=30,"1-30",IF(O1304&lt;=60,"31-60",IF(O1304&lt;=90,"61-90","90+")))))</f>
        <v/>
      </c>
      <c r="T1304" s="32" t="str">
        <f aca="false">IF(F1304="","",IF(E1304="","Diğer",E1304))</f>
        <v/>
      </c>
      <c r="U1304" s="32" t="str">
        <f aca="false">IF(OR(F1304="",C1304=""),"",IF(COUNTIF($C$2:C1304,C1304)=1,MAX($U$1:U1303)+1,""))</f>
        <v/>
      </c>
    </row>
    <row r="1305" customFormat="false" ht="15" hidden="false" customHeight="false" outlineLevel="0" collapsed="false">
      <c r="A1305" s="34"/>
      <c r="B1305" s="9"/>
      <c r="C1305" s="34"/>
      <c r="D1305" s="34"/>
      <c r="E1305" s="34"/>
      <c r="F1305" s="35"/>
      <c r="G1305" s="9"/>
      <c r="H1305" s="9"/>
      <c r="I1305" s="34"/>
      <c r="J1305" s="30" t="str">
        <f aca="false">IF(F1305="","",G1305-B1305)</f>
        <v/>
      </c>
      <c r="K1305" s="31" t="str">
        <f aca="false">IF(F1305="","",IF(H1305&lt;&gt;"",H1305,MAX('Vade Sapması'!$D$3,G1305)))</f>
        <v/>
      </c>
      <c r="L1305" s="30" t="str">
        <f aca="false">IF(F1305="","",K1305-B1305)</f>
        <v/>
      </c>
      <c r="M1305" s="30" t="str">
        <f aca="false">IF(F1305="","",L1305-J1305)</f>
        <v/>
      </c>
      <c r="N1305" s="32" t="str">
        <f aca="false">IF(F1305="","",IF(H1305&lt;&gt;"","Kapandı",IF('Vade Sapması'!$D$3&gt;G1305,"Açık · vadesi geçti","Açık · vadesi gelmedi")))</f>
        <v/>
      </c>
      <c r="O1305" s="30" t="str">
        <f aca="false">IF(F1305="","",IF(AND(H1305="",'Vade Sapması'!$D$3&gt;G1305),'Vade Sapması'!$D$3-G1305,0))</f>
        <v/>
      </c>
      <c r="P1305" s="33" t="str">
        <f aca="false">IF(F1305="","",F1305*J1305)</f>
        <v/>
      </c>
      <c r="Q1305" s="33" t="str">
        <f aca="false">IF(F1305="","",F1305*L1305)</f>
        <v/>
      </c>
      <c r="R1305" s="33" t="str">
        <f aca="false">IF(F1305="","",IF(H1305="",F1305,0))</f>
        <v/>
      </c>
      <c r="S1305" s="32" t="str">
        <f aca="false">IF(F1305="","",IF(N(O1305)=0,"",IF(O1305&lt;=30,"1-30",IF(O1305&lt;=60,"31-60",IF(O1305&lt;=90,"61-90","90+")))))</f>
        <v/>
      </c>
      <c r="T1305" s="32" t="str">
        <f aca="false">IF(F1305="","",IF(E1305="","Diğer",E1305))</f>
        <v/>
      </c>
      <c r="U1305" s="32" t="str">
        <f aca="false">IF(OR(F1305="",C1305=""),"",IF(COUNTIF($C$2:C1305,C1305)=1,MAX($U$1:U1304)+1,""))</f>
        <v/>
      </c>
    </row>
    <row r="1306" customFormat="false" ht="15" hidden="false" customHeight="false" outlineLevel="0" collapsed="false">
      <c r="A1306" s="34"/>
      <c r="B1306" s="9"/>
      <c r="C1306" s="34"/>
      <c r="D1306" s="34"/>
      <c r="E1306" s="34"/>
      <c r="F1306" s="35"/>
      <c r="G1306" s="9"/>
      <c r="H1306" s="9"/>
      <c r="I1306" s="34"/>
      <c r="J1306" s="30" t="str">
        <f aca="false">IF(F1306="","",G1306-B1306)</f>
        <v/>
      </c>
      <c r="K1306" s="31" t="str">
        <f aca="false">IF(F1306="","",IF(H1306&lt;&gt;"",H1306,MAX('Vade Sapması'!$D$3,G1306)))</f>
        <v/>
      </c>
      <c r="L1306" s="30" t="str">
        <f aca="false">IF(F1306="","",K1306-B1306)</f>
        <v/>
      </c>
      <c r="M1306" s="30" t="str">
        <f aca="false">IF(F1306="","",L1306-J1306)</f>
        <v/>
      </c>
      <c r="N1306" s="32" t="str">
        <f aca="false">IF(F1306="","",IF(H1306&lt;&gt;"","Kapandı",IF('Vade Sapması'!$D$3&gt;G1306,"Açık · vadesi geçti","Açık · vadesi gelmedi")))</f>
        <v/>
      </c>
      <c r="O1306" s="30" t="str">
        <f aca="false">IF(F1306="","",IF(AND(H1306="",'Vade Sapması'!$D$3&gt;G1306),'Vade Sapması'!$D$3-G1306,0))</f>
        <v/>
      </c>
      <c r="P1306" s="33" t="str">
        <f aca="false">IF(F1306="","",F1306*J1306)</f>
        <v/>
      </c>
      <c r="Q1306" s="33" t="str">
        <f aca="false">IF(F1306="","",F1306*L1306)</f>
        <v/>
      </c>
      <c r="R1306" s="33" t="str">
        <f aca="false">IF(F1306="","",IF(H1306="",F1306,0))</f>
        <v/>
      </c>
      <c r="S1306" s="32" t="str">
        <f aca="false">IF(F1306="","",IF(N(O1306)=0,"",IF(O1306&lt;=30,"1-30",IF(O1306&lt;=60,"31-60",IF(O1306&lt;=90,"61-90","90+")))))</f>
        <v/>
      </c>
      <c r="T1306" s="32" t="str">
        <f aca="false">IF(F1306="","",IF(E1306="","Diğer",E1306))</f>
        <v/>
      </c>
      <c r="U1306" s="32" t="str">
        <f aca="false">IF(OR(F1306="",C1306=""),"",IF(COUNTIF($C$2:C1306,C1306)=1,MAX($U$1:U1305)+1,""))</f>
        <v/>
      </c>
    </row>
    <row r="1307" customFormat="false" ht="15" hidden="false" customHeight="false" outlineLevel="0" collapsed="false">
      <c r="A1307" s="34"/>
      <c r="B1307" s="9"/>
      <c r="C1307" s="34"/>
      <c r="D1307" s="34"/>
      <c r="E1307" s="34"/>
      <c r="F1307" s="35"/>
      <c r="G1307" s="9"/>
      <c r="H1307" s="9"/>
      <c r="I1307" s="34"/>
      <c r="J1307" s="30" t="str">
        <f aca="false">IF(F1307="","",G1307-B1307)</f>
        <v/>
      </c>
      <c r="K1307" s="31" t="str">
        <f aca="false">IF(F1307="","",IF(H1307&lt;&gt;"",H1307,MAX('Vade Sapması'!$D$3,G1307)))</f>
        <v/>
      </c>
      <c r="L1307" s="30" t="str">
        <f aca="false">IF(F1307="","",K1307-B1307)</f>
        <v/>
      </c>
      <c r="M1307" s="30" t="str">
        <f aca="false">IF(F1307="","",L1307-J1307)</f>
        <v/>
      </c>
      <c r="N1307" s="32" t="str">
        <f aca="false">IF(F1307="","",IF(H1307&lt;&gt;"","Kapandı",IF('Vade Sapması'!$D$3&gt;G1307,"Açık · vadesi geçti","Açık · vadesi gelmedi")))</f>
        <v/>
      </c>
      <c r="O1307" s="30" t="str">
        <f aca="false">IF(F1307="","",IF(AND(H1307="",'Vade Sapması'!$D$3&gt;G1307),'Vade Sapması'!$D$3-G1307,0))</f>
        <v/>
      </c>
      <c r="P1307" s="33" t="str">
        <f aca="false">IF(F1307="","",F1307*J1307)</f>
        <v/>
      </c>
      <c r="Q1307" s="33" t="str">
        <f aca="false">IF(F1307="","",F1307*L1307)</f>
        <v/>
      </c>
      <c r="R1307" s="33" t="str">
        <f aca="false">IF(F1307="","",IF(H1307="",F1307,0))</f>
        <v/>
      </c>
      <c r="S1307" s="32" t="str">
        <f aca="false">IF(F1307="","",IF(N(O1307)=0,"",IF(O1307&lt;=30,"1-30",IF(O1307&lt;=60,"31-60",IF(O1307&lt;=90,"61-90","90+")))))</f>
        <v/>
      </c>
      <c r="T1307" s="32" t="str">
        <f aca="false">IF(F1307="","",IF(E1307="","Diğer",E1307))</f>
        <v/>
      </c>
      <c r="U1307" s="32" t="str">
        <f aca="false">IF(OR(F1307="",C1307=""),"",IF(COUNTIF($C$2:C1307,C1307)=1,MAX($U$1:U1306)+1,""))</f>
        <v/>
      </c>
    </row>
    <row r="1308" customFormat="false" ht="15" hidden="false" customHeight="false" outlineLevel="0" collapsed="false">
      <c r="A1308" s="34"/>
      <c r="B1308" s="9"/>
      <c r="C1308" s="34"/>
      <c r="D1308" s="34"/>
      <c r="E1308" s="34"/>
      <c r="F1308" s="35"/>
      <c r="G1308" s="9"/>
      <c r="H1308" s="9"/>
      <c r="I1308" s="34"/>
      <c r="J1308" s="30" t="str">
        <f aca="false">IF(F1308="","",G1308-B1308)</f>
        <v/>
      </c>
      <c r="K1308" s="31" t="str">
        <f aca="false">IF(F1308="","",IF(H1308&lt;&gt;"",H1308,MAX('Vade Sapması'!$D$3,G1308)))</f>
        <v/>
      </c>
      <c r="L1308" s="30" t="str">
        <f aca="false">IF(F1308="","",K1308-B1308)</f>
        <v/>
      </c>
      <c r="M1308" s="30" t="str">
        <f aca="false">IF(F1308="","",L1308-J1308)</f>
        <v/>
      </c>
      <c r="N1308" s="32" t="str">
        <f aca="false">IF(F1308="","",IF(H1308&lt;&gt;"","Kapandı",IF('Vade Sapması'!$D$3&gt;G1308,"Açık · vadesi geçti","Açık · vadesi gelmedi")))</f>
        <v/>
      </c>
      <c r="O1308" s="30" t="str">
        <f aca="false">IF(F1308="","",IF(AND(H1308="",'Vade Sapması'!$D$3&gt;G1308),'Vade Sapması'!$D$3-G1308,0))</f>
        <v/>
      </c>
      <c r="P1308" s="33" t="str">
        <f aca="false">IF(F1308="","",F1308*J1308)</f>
        <v/>
      </c>
      <c r="Q1308" s="33" t="str">
        <f aca="false">IF(F1308="","",F1308*L1308)</f>
        <v/>
      </c>
      <c r="R1308" s="33" t="str">
        <f aca="false">IF(F1308="","",IF(H1308="",F1308,0))</f>
        <v/>
      </c>
      <c r="S1308" s="32" t="str">
        <f aca="false">IF(F1308="","",IF(N(O1308)=0,"",IF(O1308&lt;=30,"1-30",IF(O1308&lt;=60,"31-60",IF(O1308&lt;=90,"61-90","90+")))))</f>
        <v/>
      </c>
      <c r="T1308" s="32" t="str">
        <f aca="false">IF(F1308="","",IF(E1308="","Diğer",E1308))</f>
        <v/>
      </c>
      <c r="U1308" s="32" t="str">
        <f aca="false">IF(OR(F1308="",C1308=""),"",IF(COUNTIF($C$2:C1308,C1308)=1,MAX($U$1:U1307)+1,""))</f>
        <v/>
      </c>
    </row>
    <row r="1309" customFormat="false" ht="15" hidden="false" customHeight="false" outlineLevel="0" collapsed="false">
      <c r="A1309" s="34"/>
      <c r="B1309" s="9"/>
      <c r="C1309" s="34"/>
      <c r="D1309" s="34"/>
      <c r="E1309" s="34"/>
      <c r="F1309" s="35"/>
      <c r="G1309" s="9"/>
      <c r="H1309" s="9"/>
      <c r="I1309" s="34"/>
      <c r="J1309" s="30" t="str">
        <f aca="false">IF(F1309="","",G1309-B1309)</f>
        <v/>
      </c>
      <c r="K1309" s="31" t="str">
        <f aca="false">IF(F1309="","",IF(H1309&lt;&gt;"",H1309,MAX('Vade Sapması'!$D$3,G1309)))</f>
        <v/>
      </c>
      <c r="L1309" s="30" t="str">
        <f aca="false">IF(F1309="","",K1309-B1309)</f>
        <v/>
      </c>
      <c r="M1309" s="30" t="str">
        <f aca="false">IF(F1309="","",L1309-J1309)</f>
        <v/>
      </c>
      <c r="N1309" s="32" t="str">
        <f aca="false">IF(F1309="","",IF(H1309&lt;&gt;"","Kapandı",IF('Vade Sapması'!$D$3&gt;G1309,"Açık · vadesi geçti","Açık · vadesi gelmedi")))</f>
        <v/>
      </c>
      <c r="O1309" s="30" t="str">
        <f aca="false">IF(F1309="","",IF(AND(H1309="",'Vade Sapması'!$D$3&gt;G1309),'Vade Sapması'!$D$3-G1309,0))</f>
        <v/>
      </c>
      <c r="P1309" s="33" t="str">
        <f aca="false">IF(F1309="","",F1309*J1309)</f>
        <v/>
      </c>
      <c r="Q1309" s="33" t="str">
        <f aca="false">IF(F1309="","",F1309*L1309)</f>
        <v/>
      </c>
      <c r="R1309" s="33" t="str">
        <f aca="false">IF(F1309="","",IF(H1309="",F1309,0))</f>
        <v/>
      </c>
      <c r="S1309" s="32" t="str">
        <f aca="false">IF(F1309="","",IF(N(O1309)=0,"",IF(O1309&lt;=30,"1-30",IF(O1309&lt;=60,"31-60",IF(O1309&lt;=90,"61-90","90+")))))</f>
        <v/>
      </c>
      <c r="T1309" s="32" t="str">
        <f aca="false">IF(F1309="","",IF(E1309="","Diğer",E1309))</f>
        <v/>
      </c>
      <c r="U1309" s="32" t="str">
        <f aca="false">IF(OR(F1309="",C1309=""),"",IF(COUNTIF($C$2:C1309,C1309)=1,MAX($U$1:U1308)+1,""))</f>
        <v/>
      </c>
    </row>
    <row r="1310" customFormat="false" ht="15" hidden="false" customHeight="false" outlineLevel="0" collapsed="false">
      <c r="A1310" s="34"/>
      <c r="B1310" s="9"/>
      <c r="C1310" s="34"/>
      <c r="D1310" s="34"/>
      <c r="E1310" s="34"/>
      <c r="F1310" s="35"/>
      <c r="G1310" s="9"/>
      <c r="H1310" s="9"/>
      <c r="I1310" s="34"/>
      <c r="J1310" s="30" t="str">
        <f aca="false">IF(F1310="","",G1310-B1310)</f>
        <v/>
      </c>
      <c r="K1310" s="31" t="str">
        <f aca="false">IF(F1310="","",IF(H1310&lt;&gt;"",H1310,MAX('Vade Sapması'!$D$3,G1310)))</f>
        <v/>
      </c>
      <c r="L1310" s="30" t="str">
        <f aca="false">IF(F1310="","",K1310-B1310)</f>
        <v/>
      </c>
      <c r="M1310" s="30" t="str">
        <f aca="false">IF(F1310="","",L1310-J1310)</f>
        <v/>
      </c>
      <c r="N1310" s="32" t="str">
        <f aca="false">IF(F1310="","",IF(H1310&lt;&gt;"","Kapandı",IF('Vade Sapması'!$D$3&gt;G1310,"Açık · vadesi geçti","Açık · vadesi gelmedi")))</f>
        <v/>
      </c>
      <c r="O1310" s="30" t="str">
        <f aca="false">IF(F1310="","",IF(AND(H1310="",'Vade Sapması'!$D$3&gt;G1310),'Vade Sapması'!$D$3-G1310,0))</f>
        <v/>
      </c>
      <c r="P1310" s="33" t="str">
        <f aca="false">IF(F1310="","",F1310*J1310)</f>
        <v/>
      </c>
      <c r="Q1310" s="33" t="str">
        <f aca="false">IF(F1310="","",F1310*L1310)</f>
        <v/>
      </c>
      <c r="R1310" s="33" t="str">
        <f aca="false">IF(F1310="","",IF(H1310="",F1310,0))</f>
        <v/>
      </c>
      <c r="S1310" s="32" t="str">
        <f aca="false">IF(F1310="","",IF(N(O1310)=0,"",IF(O1310&lt;=30,"1-30",IF(O1310&lt;=60,"31-60",IF(O1310&lt;=90,"61-90","90+")))))</f>
        <v/>
      </c>
      <c r="T1310" s="32" t="str">
        <f aca="false">IF(F1310="","",IF(E1310="","Diğer",E1310))</f>
        <v/>
      </c>
      <c r="U1310" s="32" t="str">
        <f aca="false">IF(OR(F1310="",C1310=""),"",IF(COUNTIF($C$2:C1310,C1310)=1,MAX($U$1:U1309)+1,""))</f>
        <v/>
      </c>
    </row>
    <row r="1311" customFormat="false" ht="15" hidden="false" customHeight="false" outlineLevel="0" collapsed="false">
      <c r="A1311" s="34"/>
      <c r="B1311" s="9"/>
      <c r="C1311" s="34"/>
      <c r="D1311" s="34"/>
      <c r="E1311" s="34"/>
      <c r="F1311" s="35"/>
      <c r="G1311" s="9"/>
      <c r="H1311" s="9"/>
      <c r="I1311" s="34"/>
      <c r="J1311" s="30" t="str">
        <f aca="false">IF(F1311="","",G1311-B1311)</f>
        <v/>
      </c>
      <c r="K1311" s="31" t="str">
        <f aca="false">IF(F1311="","",IF(H1311&lt;&gt;"",H1311,MAX('Vade Sapması'!$D$3,G1311)))</f>
        <v/>
      </c>
      <c r="L1311" s="30" t="str">
        <f aca="false">IF(F1311="","",K1311-B1311)</f>
        <v/>
      </c>
      <c r="M1311" s="30" t="str">
        <f aca="false">IF(F1311="","",L1311-J1311)</f>
        <v/>
      </c>
      <c r="N1311" s="32" t="str">
        <f aca="false">IF(F1311="","",IF(H1311&lt;&gt;"","Kapandı",IF('Vade Sapması'!$D$3&gt;G1311,"Açık · vadesi geçti","Açık · vadesi gelmedi")))</f>
        <v/>
      </c>
      <c r="O1311" s="30" t="str">
        <f aca="false">IF(F1311="","",IF(AND(H1311="",'Vade Sapması'!$D$3&gt;G1311),'Vade Sapması'!$D$3-G1311,0))</f>
        <v/>
      </c>
      <c r="P1311" s="33" t="str">
        <f aca="false">IF(F1311="","",F1311*J1311)</f>
        <v/>
      </c>
      <c r="Q1311" s="33" t="str">
        <f aca="false">IF(F1311="","",F1311*L1311)</f>
        <v/>
      </c>
      <c r="R1311" s="33" t="str">
        <f aca="false">IF(F1311="","",IF(H1311="",F1311,0))</f>
        <v/>
      </c>
      <c r="S1311" s="32" t="str">
        <f aca="false">IF(F1311="","",IF(N(O1311)=0,"",IF(O1311&lt;=30,"1-30",IF(O1311&lt;=60,"31-60",IF(O1311&lt;=90,"61-90","90+")))))</f>
        <v/>
      </c>
      <c r="T1311" s="32" t="str">
        <f aca="false">IF(F1311="","",IF(E1311="","Diğer",E1311))</f>
        <v/>
      </c>
      <c r="U1311" s="32" t="str">
        <f aca="false">IF(OR(F1311="",C1311=""),"",IF(COUNTIF($C$2:C1311,C1311)=1,MAX($U$1:U1310)+1,""))</f>
        <v/>
      </c>
    </row>
    <row r="1312" customFormat="false" ht="15" hidden="false" customHeight="false" outlineLevel="0" collapsed="false">
      <c r="A1312" s="34"/>
      <c r="B1312" s="9"/>
      <c r="C1312" s="34"/>
      <c r="D1312" s="34"/>
      <c r="E1312" s="34"/>
      <c r="F1312" s="35"/>
      <c r="G1312" s="9"/>
      <c r="H1312" s="9"/>
      <c r="I1312" s="34"/>
      <c r="J1312" s="30" t="str">
        <f aca="false">IF(F1312="","",G1312-B1312)</f>
        <v/>
      </c>
      <c r="K1312" s="31" t="str">
        <f aca="false">IF(F1312="","",IF(H1312&lt;&gt;"",H1312,MAX('Vade Sapması'!$D$3,G1312)))</f>
        <v/>
      </c>
      <c r="L1312" s="30" t="str">
        <f aca="false">IF(F1312="","",K1312-B1312)</f>
        <v/>
      </c>
      <c r="M1312" s="30" t="str">
        <f aca="false">IF(F1312="","",L1312-J1312)</f>
        <v/>
      </c>
      <c r="N1312" s="32" t="str">
        <f aca="false">IF(F1312="","",IF(H1312&lt;&gt;"","Kapandı",IF('Vade Sapması'!$D$3&gt;G1312,"Açık · vadesi geçti","Açık · vadesi gelmedi")))</f>
        <v/>
      </c>
      <c r="O1312" s="30" t="str">
        <f aca="false">IF(F1312="","",IF(AND(H1312="",'Vade Sapması'!$D$3&gt;G1312),'Vade Sapması'!$D$3-G1312,0))</f>
        <v/>
      </c>
      <c r="P1312" s="33" t="str">
        <f aca="false">IF(F1312="","",F1312*J1312)</f>
        <v/>
      </c>
      <c r="Q1312" s="33" t="str">
        <f aca="false">IF(F1312="","",F1312*L1312)</f>
        <v/>
      </c>
      <c r="R1312" s="33" t="str">
        <f aca="false">IF(F1312="","",IF(H1312="",F1312,0))</f>
        <v/>
      </c>
      <c r="S1312" s="32" t="str">
        <f aca="false">IF(F1312="","",IF(N(O1312)=0,"",IF(O1312&lt;=30,"1-30",IF(O1312&lt;=60,"31-60",IF(O1312&lt;=90,"61-90","90+")))))</f>
        <v/>
      </c>
      <c r="T1312" s="32" t="str">
        <f aca="false">IF(F1312="","",IF(E1312="","Diğer",E1312))</f>
        <v/>
      </c>
      <c r="U1312" s="32" t="str">
        <f aca="false">IF(OR(F1312="",C1312=""),"",IF(COUNTIF($C$2:C1312,C1312)=1,MAX($U$1:U1311)+1,""))</f>
        <v/>
      </c>
    </row>
    <row r="1313" customFormat="false" ht="15" hidden="false" customHeight="false" outlineLevel="0" collapsed="false">
      <c r="A1313" s="34"/>
      <c r="B1313" s="9"/>
      <c r="C1313" s="34"/>
      <c r="D1313" s="34"/>
      <c r="E1313" s="34"/>
      <c r="F1313" s="35"/>
      <c r="G1313" s="9"/>
      <c r="H1313" s="9"/>
      <c r="I1313" s="34"/>
      <c r="J1313" s="30" t="str">
        <f aca="false">IF(F1313="","",G1313-B1313)</f>
        <v/>
      </c>
      <c r="K1313" s="31" t="str">
        <f aca="false">IF(F1313="","",IF(H1313&lt;&gt;"",H1313,MAX('Vade Sapması'!$D$3,G1313)))</f>
        <v/>
      </c>
      <c r="L1313" s="30" t="str">
        <f aca="false">IF(F1313="","",K1313-B1313)</f>
        <v/>
      </c>
      <c r="M1313" s="30" t="str">
        <f aca="false">IF(F1313="","",L1313-J1313)</f>
        <v/>
      </c>
      <c r="N1313" s="32" t="str">
        <f aca="false">IF(F1313="","",IF(H1313&lt;&gt;"","Kapandı",IF('Vade Sapması'!$D$3&gt;G1313,"Açık · vadesi geçti","Açık · vadesi gelmedi")))</f>
        <v/>
      </c>
      <c r="O1313" s="30" t="str">
        <f aca="false">IF(F1313="","",IF(AND(H1313="",'Vade Sapması'!$D$3&gt;G1313),'Vade Sapması'!$D$3-G1313,0))</f>
        <v/>
      </c>
      <c r="P1313" s="33" t="str">
        <f aca="false">IF(F1313="","",F1313*J1313)</f>
        <v/>
      </c>
      <c r="Q1313" s="33" t="str">
        <f aca="false">IF(F1313="","",F1313*L1313)</f>
        <v/>
      </c>
      <c r="R1313" s="33" t="str">
        <f aca="false">IF(F1313="","",IF(H1313="",F1313,0))</f>
        <v/>
      </c>
      <c r="S1313" s="32" t="str">
        <f aca="false">IF(F1313="","",IF(N(O1313)=0,"",IF(O1313&lt;=30,"1-30",IF(O1313&lt;=60,"31-60",IF(O1313&lt;=90,"61-90","90+")))))</f>
        <v/>
      </c>
      <c r="T1313" s="32" t="str">
        <f aca="false">IF(F1313="","",IF(E1313="","Diğer",E1313))</f>
        <v/>
      </c>
      <c r="U1313" s="32" t="str">
        <f aca="false">IF(OR(F1313="",C1313=""),"",IF(COUNTIF($C$2:C1313,C1313)=1,MAX($U$1:U1312)+1,""))</f>
        <v/>
      </c>
    </row>
    <row r="1314" customFormat="false" ht="15" hidden="false" customHeight="false" outlineLevel="0" collapsed="false">
      <c r="A1314" s="34"/>
      <c r="B1314" s="9"/>
      <c r="C1314" s="34"/>
      <c r="D1314" s="34"/>
      <c r="E1314" s="34"/>
      <c r="F1314" s="35"/>
      <c r="G1314" s="9"/>
      <c r="H1314" s="9"/>
      <c r="I1314" s="34"/>
      <c r="J1314" s="30" t="str">
        <f aca="false">IF(F1314="","",G1314-B1314)</f>
        <v/>
      </c>
      <c r="K1314" s="31" t="str">
        <f aca="false">IF(F1314="","",IF(H1314&lt;&gt;"",H1314,MAX('Vade Sapması'!$D$3,G1314)))</f>
        <v/>
      </c>
      <c r="L1314" s="30" t="str">
        <f aca="false">IF(F1314="","",K1314-B1314)</f>
        <v/>
      </c>
      <c r="M1314" s="30" t="str">
        <f aca="false">IF(F1314="","",L1314-J1314)</f>
        <v/>
      </c>
      <c r="N1314" s="32" t="str">
        <f aca="false">IF(F1314="","",IF(H1314&lt;&gt;"","Kapandı",IF('Vade Sapması'!$D$3&gt;G1314,"Açık · vadesi geçti","Açık · vadesi gelmedi")))</f>
        <v/>
      </c>
      <c r="O1314" s="30" t="str">
        <f aca="false">IF(F1314="","",IF(AND(H1314="",'Vade Sapması'!$D$3&gt;G1314),'Vade Sapması'!$D$3-G1314,0))</f>
        <v/>
      </c>
      <c r="P1314" s="33" t="str">
        <f aca="false">IF(F1314="","",F1314*J1314)</f>
        <v/>
      </c>
      <c r="Q1314" s="33" t="str">
        <f aca="false">IF(F1314="","",F1314*L1314)</f>
        <v/>
      </c>
      <c r="R1314" s="33" t="str">
        <f aca="false">IF(F1314="","",IF(H1314="",F1314,0))</f>
        <v/>
      </c>
      <c r="S1314" s="32" t="str">
        <f aca="false">IF(F1314="","",IF(N(O1314)=0,"",IF(O1314&lt;=30,"1-30",IF(O1314&lt;=60,"31-60",IF(O1314&lt;=90,"61-90","90+")))))</f>
        <v/>
      </c>
      <c r="T1314" s="32" t="str">
        <f aca="false">IF(F1314="","",IF(E1314="","Diğer",E1314))</f>
        <v/>
      </c>
      <c r="U1314" s="32" t="str">
        <f aca="false">IF(OR(F1314="",C1314=""),"",IF(COUNTIF($C$2:C1314,C1314)=1,MAX($U$1:U1313)+1,""))</f>
        <v/>
      </c>
    </row>
    <row r="1315" customFormat="false" ht="15" hidden="false" customHeight="false" outlineLevel="0" collapsed="false">
      <c r="A1315" s="34"/>
      <c r="B1315" s="9"/>
      <c r="C1315" s="34"/>
      <c r="D1315" s="34"/>
      <c r="E1315" s="34"/>
      <c r="F1315" s="35"/>
      <c r="G1315" s="9"/>
      <c r="H1315" s="9"/>
      <c r="I1315" s="34"/>
      <c r="J1315" s="30" t="str">
        <f aca="false">IF(F1315="","",G1315-B1315)</f>
        <v/>
      </c>
      <c r="K1315" s="31" t="str">
        <f aca="false">IF(F1315="","",IF(H1315&lt;&gt;"",H1315,MAX('Vade Sapması'!$D$3,G1315)))</f>
        <v/>
      </c>
      <c r="L1315" s="30" t="str">
        <f aca="false">IF(F1315="","",K1315-B1315)</f>
        <v/>
      </c>
      <c r="M1315" s="30" t="str">
        <f aca="false">IF(F1315="","",L1315-J1315)</f>
        <v/>
      </c>
      <c r="N1315" s="32" t="str">
        <f aca="false">IF(F1315="","",IF(H1315&lt;&gt;"","Kapandı",IF('Vade Sapması'!$D$3&gt;G1315,"Açık · vadesi geçti","Açık · vadesi gelmedi")))</f>
        <v/>
      </c>
      <c r="O1315" s="30" t="str">
        <f aca="false">IF(F1315="","",IF(AND(H1315="",'Vade Sapması'!$D$3&gt;G1315),'Vade Sapması'!$D$3-G1315,0))</f>
        <v/>
      </c>
      <c r="P1315" s="33" t="str">
        <f aca="false">IF(F1315="","",F1315*J1315)</f>
        <v/>
      </c>
      <c r="Q1315" s="33" t="str">
        <f aca="false">IF(F1315="","",F1315*L1315)</f>
        <v/>
      </c>
      <c r="R1315" s="33" t="str">
        <f aca="false">IF(F1315="","",IF(H1315="",F1315,0))</f>
        <v/>
      </c>
      <c r="S1315" s="32" t="str">
        <f aca="false">IF(F1315="","",IF(N(O1315)=0,"",IF(O1315&lt;=30,"1-30",IF(O1315&lt;=60,"31-60",IF(O1315&lt;=90,"61-90","90+")))))</f>
        <v/>
      </c>
      <c r="T1315" s="32" t="str">
        <f aca="false">IF(F1315="","",IF(E1315="","Diğer",E1315))</f>
        <v/>
      </c>
      <c r="U1315" s="32" t="str">
        <f aca="false">IF(OR(F1315="",C1315=""),"",IF(COUNTIF($C$2:C1315,C1315)=1,MAX($U$1:U1314)+1,""))</f>
        <v/>
      </c>
    </row>
    <row r="1316" customFormat="false" ht="15" hidden="false" customHeight="false" outlineLevel="0" collapsed="false">
      <c r="A1316" s="34"/>
      <c r="B1316" s="9"/>
      <c r="C1316" s="34"/>
      <c r="D1316" s="34"/>
      <c r="E1316" s="34"/>
      <c r="F1316" s="35"/>
      <c r="G1316" s="9"/>
      <c r="H1316" s="9"/>
      <c r="I1316" s="34"/>
      <c r="J1316" s="30" t="str">
        <f aca="false">IF(F1316="","",G1316-B1316)</f>
        <v/>
      </c>
      <c r="K1316" s="31" t="str">
        <f aca="false">IF(F1316="","",IF(H1316&lt;&gt;"",H1316,MAX('Vade Sapması'!$D$3,G1316)))</f>
        <v/>
      </c>
      <c r="L1316" s="30" t="str">
        <f aca="false">IF(F1316="","",K1316-B1316)</f>
        <v/>
      </c>
      <c r="M1316" s="30" t="str">
        <f aca="false">IF(F1316="","",L1316-J1316)</f>
        <v/>
      </c>
      <c r="N1316" s="32" t="str">
        <f aca="false">IF(F1316="","",IF(H1316&lt;&gt;"","Kapandı",IF('Vade Sapması'!$D$3&gt;G1316,"Açık · vadesi geçti","Açık · vadesi gelmedi")))</f>
        <v/>
      </c>
      <c r="O1316" s="30" t="str">
        <f aca="false">IF(F1316="","",IF(AND(H1316="",'Vade Sapması'!$D$3&gt;G1316),'Vade Sapması'!$D$3-G1316,0))</f>
        <v/>
      </c>
      <c r="P1316" s="33" t="str">
        <f aca="false">IF(F1316="","",F1316*J1316)</f>
        <v/>
      </c>
      <c r="Q1316" s="33" t="str">
        <f aca="false">IF(F1316="","",F1316*L1316)</f>
        <v/>
      </c>
      <c r="R1316" s="33" t="str">
        <f aca="false">IF(F1316="","",IF(H1316="",F1316,0))</f>
        <v/>
      </c>
      <c r="S1316" s="32" t="str">
        <f aca="false">IF(F1316="","",IF(N(O1316)=0,"",IF(O1316&lt;=30,"1-30",IF(O1316&lt;=60,"31-60",IF(O1316&lt;=90,"61-90","90+")))))</f>
        <v/>
      </c>
      <c r="T1316" s="32" t="str">
        <f aca="false">IF(F1316="","",IF(E1316="","Diğer",E1316))</f>
        <v/>
      </c>
      <c r="U1316" s="32" t="str">
        <f aca="false">IF(OR(F1316="",C1316=""),"",IF(COUNTIF($C$2:C1316,C1316)=1,MAX($U$1:U1315)+1,""))</f>
        <v/>
      </c>
    </row>
    <row r="1317" customFormat="false" ht="15" hidden="false" customHeight="false" outlineLevel="0" collapsed="false">
      <c r="A1317" s="34"/>
      <c r="B1317" s="9"/>
      <c r="C1317" s="34"/>
      <c r="D1317" s="34"/>
      <c r="E1317" s="34"/>
      <c r="F1317" s="35"/>
      <c r="G1317" s="9"/>
      <c r="H1317" s="9"/>
      <c r="I1317" s="34"/>
      <c r="J1317" s="30" t="str">
        <f aca="false">IF(F1317="","",G1317-B1317)</f>
        <v/>
      </c>
      <c r="K1317" s="31" t="str">
        <f aca="false">IF(F1317="","",IF(H1317&lt;&gt;"",H1317,MAX('Vade Sapması'!$D$3,G1317)))</f>
        <v/>
      </c>
      <c r="L1317" s="30" t="str">
        <f aca="false">IF(F1317="","",K1317-B1317)</f>
        <v/>
      </c>
      <c r="M1317" s="30" t="str">
        <f aca="false">IF(F1317="","",L1317-J1317)</f>
        <v/>
      </c>
      <c r="N1317" s="32" t="str">
        <f aca="false">IF(F1317="","",IF(H1317&lt;&gt;"","Kapandı",IF('Vade Sapması'!$D$3&gt;G1317,"Açık · vadesi geçti","Açık · vadesi gelmedi")))</f>
        <v/>
      </c>
      <c r="O1317" s="30" t="str">
        <f aca="false">IF(F1317="","",IF(AND(H1317="",'Vade Sapması'!$D$3&gt;G1317),'Vade Sapması'!$D$3-G1317,0))</f>
        <v/>
      </c>
      <c r="P1317" s="33" t="str">
        <f aca="false">IF(F1317="","",F1317*J1317)</f>
        <v/>
      </c>
      <c r="Q1317" s="33" t="str">
        <f aca="false">IF(F1317="","",F1317*L1317)</f>
        <v/>
      </c>
      <c r="R1317" s="33" t="str">
        <f aca="false">IF(F1317="","",IF(H1317="",F1317,0))</f>
        <v/>
      </c>
      <c r="S1317" s="32" t="str">
        <f aca="false">IF(F1317="","",IF(N(O1317)=0,"",IF(O1317&lt;=30,"1-30",IF(O1317&lt;=60,"31-60",IF(O1317&lt;=90,"61-90","90+")))))</f>
        <v/>
      </c>
      <c r="T1317" s="32" t="str">
        <f aca="false">IF(F1317="","",IF(E1317="","Diğer",E1317))</f>
        <v/>
      </c>
      <c r="U1317" s="32" t="str">
        <f aca="false">IF(OR(F1317="",C1317=""),"",IF(COUNTIF($C$2:C1317,C1317)=1,MAX($U$1:U1316)+1,""))</f>
        <v/>
      </c>
    </row>
    <row r="1318" customFormat="false" ht="15" hidden="false" customHeight="false" outlineLevel="0" collapsed="false">
      <c r="A1318" s="34"/>
      <c r="B1318" s="9"/>
      <c r="C1318" s="34"/>
      <c r="D1318" s="34"/>
      <c r="E1318" s="34"/>
      <c r="F1318" s="35"/>
      <c r="G1318" s="9"/>
      <c r="H1318" s="9"/>
      <c r="I1318" s="34"/>
      <c r="J1318" s="30" t="str">
        <f aca="false">IF(F1318="","",G1318-B1318)</f>
        <v/>
      </c>
      <c r="K1318" s="31" t="str">
        <f aca="false">IF(F1318="","",IF(H1318&lt;&gt;"",H1318,MAX('Vade Sapması'!$D$3,G1318)))</f>
        <v/>
      </c>
      <c r="L1318" s="30" t="str">
        <f aca="false">IF(F1318="","",K1318-B1318)</f>
        <v/>
      </c>
      <c r="M1318" s="30" t="str">
        <f aca="false">IF(F1318="","",L1318-J1318)</f>
        <v/>
      </c>
      <c r="N1318" s="32" t="str">
        <f aca="false">IF(F1318="","",IF(H1318&lt;&gt;"","Kapandı",IF('Vade Sapması'!$D$3&gt;G1318,"Açık · vadesi geçti","Açık · vadesi gelmedi")))</f>
        <v/>
      </c>
      <c r="O1318" s="30" t="str">
        <f aca="false">IF(F1318="","",IF(AND(H1318="",'Vade Sapması'!$D$3&gt;G1318),'Vade Sapması'!$D$3-G1318,0))</f>
        <v/>
      </c>
      <c r="P1318" s="33" t="str">
        <f aca="false">IF(F1318="","",F1318*J1318)</f>
        <v/>
      </c>
      <c r="Q1318" s="33" t="str">
        <f aca="false">IF(F1318="","",F1318*L1318)</f>
        <v/>
      </c>
      <c r="R1318" s="33" t="str">
        <f aca="false">IF(F1318="","",IF(H1318="",F1318,0))</f>
        <v/>
      </c>
      <c r="S1318" s="32" t="str">
        <f aca="false">IF(F1318="","",IF(N(O1318)=0,"",IF(O1318&lt;=30,"1-30",IF(O1318&lt;=60,"31-60",IF(O1318&lt;=90,"61-90","90+")))))</f>
        <v/>
      </c>
      <c r="T1318" s="32" t="str">
        <f aca="false">IF(F1318="","",IF(E1318="","Diğer",E1318))</f>
        <v/>
      </c>
      <c r="U1318" s="32" t="str">
        <f aca="false">IF(OR(F1318="",C1318=""),"",IF(COUNTIF($C$2:C1318,C1318)=1,MAX($U$1:U1317)+1,""))</f>
        <v/>
      </c>
    </row>
    <row r="1319" customFormat="false" ht="15" hidden="false" customHeight="false" outlineLevel="0" collapsed="false">
      <c r="A1319" s="34"/>
      <c r="B1319" s="9"/>
      <c r="C1319" s="34"/>
      <c r="D1319" s="34"/>
      <c r="E1319" s="34"/>
      <c r="F1319" s="35"/>
      <c r="G1319" s="9"/>
      <c r="H1319" s="9"/>
      <c r="I1319" s="34"/>
      <c r="J1319" s="30" t="str">
        <f aca="false">IF(F1319="","",G1319-B1319)</f>
        <v/>
      </c>
      <c r="K1319" s="31" t="str">
        <f aca="false">IF(F1319="","",IF(H1319&lt;&gt;"",H1319,MAX('Vade Sapması'!$D$3,G1319)))</f>
        <v/>
      </c>
      <c r="L1319" s="30" t="str">
        <f aca="false">IF(F1319="","",K1319-B1319)</f>
        <v/>
      </c>
      <c r="M1319" s="30" t="str">
        <f aca="false">IF(F1319="","",L1319-J1319)</f>
        <v/>
      </c>
      <c r="N1319" s="32" t="str">
        <f aca="false">IF(F1319="","",IF(H1319&lt;&gt;"","Kapandı",IF('Vade Sapması'!$D$3&gt;G1319,"Açık · vadesi geçti","Açık · vadesi gelmedi")))</f>
        <v/>
      </c>
      <c r="O1319" s="30" t="str">
        <f aca="false">IF(F1319="","",IF(AND(H1319="",'Vade Sapması'!$D$3&gt;G1319),'Vade Sapması'!$D$3-G1319,0))</f>
        <v/>
      </c>
      <c r="P1319" s="33" t="str">
        <f aca="false">IF(F1319="","",F1319*J1319)</f>
        <v/>
      </c>
      <c r="Q1319" s="33" t="str">
        <f aca="false">IF(F1319="","",F1319*L1319)</f>
        <v/>
      </c>
      <c r="R1319" s="33" t="str">
        <f aca="false">IF(F1319="","",IF(H1319="",F1319,0))</f>
        <v/>
      </c>
      <c r="S1319" s="32" t="str">
        <f aca="false">IF(F1319="","",IF(N(O1319)=0,"",IF(O1319&lt;=30,"1-30",IF(O1319&lt;=60,"31-60",IF(O1319&lt;=90,"61-90","90+")))))</f>
        <v/>
      </c>
      <c r="T1319" s="32" t="str">
        <f aca="false">IF(F1319="","",IF(E1319="","Diğer",E1319))</f>
        <v/>
      </c>
      <c r="U1319" s="32" t="str">
        <f aca="false">IF(OR(F1319="",C1319=""),"",IF(COUNTIF($C$2:C1319,C1319)=1,MAX($U$1:U1318)+1,""))</f>
        <v/>
      </c>
    </row>
    <row r="1320" customFormat="false" ht="15" hidden="false" customHeight="false" outlineLevel="0" collapsed="false">
      <c r="A1320" s="34"/>
      <c r="B1320" s="9"/>
      <c r="C1320" s="34"/>
      <c r="D1320" s="34"/>
      <c r="E1320" s="34"/>
      <c r="F1320" s="35"/>
      <c r="G1320" s="9"/>
      <c r="H1320" s="9"/>
      <c r="I1320" s="34"/>
      <c r="J1320" s="30" t="str">
        <f aca="false">IF(F1320="","",G1320-B1320)</f>
        <v/>
      </c>
      <c r="K1320" s="31" t="str">
        <f aca="false">IF(F1320="","",IF(H1320&lt;&gt;"",H1320,MAX('Vade Sapması'!$D$3,G1320)))</f>
        <v/>
      </c>
      <c r="L1320" s="30" t="str">
        <f aca="false">IF(F1320="","",K1320-B1320)</f>
        <v/>
      </c>
      <c r="M1320" s="30" t="str">
        <f aca="false">IF(F1320="","",L1320-J1320)</f>
        <v/>
      </c>
      <c r="N1320" s="32" t="str">
        <f aca="false">IF(F1320="","",IF(H1320&lt;&gt;"","Kapandı",IF('Vade Sapması'!$D$3&gt;G1320,"Açık · vadesi geçti","Açık · vadesi gelmedi")))</f>
        <v/>
      </c>
      <c r="O1320" s="30" t="str">
        <f aca="false">IF(F1320="","",IF(AND(H1320="",'Vade Sapması'!$D$3&gt;G1320),'Vade Sapması'!$D$3-G1320,0))</f>
        <v/>
      </c>
      <c r="P1320" s="33" t="str">
        <f aca="false">IF(F1320="","",F1320*J1320)</f>
        <v/>
      </c>
      <c r="Q1320" s="33" t="str">
        <f aca="false">IF(F1320="","",F1320*L1320)</f>
        <v/>
      </c>
      <c r="R1320" s="33" t="str">
        <f aca="false">IF(F1320="","",IF(H1320="",F1320,0))</f>
        <v/>
      </c>
      <c r="S1320" s="32" t="str">
        <f aca="false">IF(F1320="","",IF(N(O1320)=0,"",IF(O1320&lt;=30,"1-30",IF(O1320&lt;=60,"31-60",IF(O1320&lt;=90,"61-90","90+")))))</f>
        <v/>
      </c>
      <c r="T1320" s="32" t="str">
        <f aca="false">IF(F1320="","",IF(E1320="","Diğer",E1320))</f>
        <v/>
      </c>
      <c r="U1320" s="32" t="str">
        <f aca="false">IF(OR(F1320="",C1320=""),"",IF(COUNTIF($C$2:C1320,C1320)=1,MAX($U$1:U1319)+1,""))</f>
        <v/>
      </c>
    </row>
    <row r="1321" customFormat="false" ht="15" hidden="false" customHeight="false" outlineLevel="0" collapsed="false">
      <c r="A1321" s="34"/>
      <c r="B1321" s="9"/>
      <c r="C1321" s="34"/>
      <c r="D1321" s="34"/>
      <c r="E1321" s="34"/>
      <c r="F1321" s="35"/>
      <c r="G1321" s="9"/>
      <c r="H1321" s="9"/>
      <c r="I1321" s="34"/>
      <c r="J1321" s="30" t="str">
        <f aca="false">IF(F1321="","",G1321-B1321)</f>
        <v/>
      </c>
      <c r="K1321" s="31" t="str">
        <f aca="false">IF(F1321="","",IF(H1321&lt;&gt;"",H1321,MAX('Vade Sapması'!$D$3,G1321)))</f>
        <v/>
      </c>
      <c r="L1321" s="30" t="str">
        <f aca="false">IF(F1321="","",K1321-B1321)</f>
        <v/>
      </c>
      <c r="M1321" s="30" t="str">
        <f aca="false">IF(F1321="","",L1321-J1321)</f>
        <v/>
      </c>
      <c r="N1321" s="32" t="str">
        <f aca="false">IF(F1321="","",IF(H1321&lt;&gt;"","Kapandı",IF('Vade Sapması'!$D$3&gt;G1321,"Açık · vadesi geçti","Açık · vadesi gelmedi")))</f>
        <v/>
      </c>
      <c r="O1321" s="30" t="str">
        <f aca="false">IF(F1321="","",IF(AND(H1321="",'Vade Sapması'!$D$3&gt;G1321),'Vade Sapması'!$D$3-G1321,0))</f>
        <v/>
      </c>
      <c r="P1321" s="33" t="str">
        <f aca="false">IF(F1321="","",F1321*J1321)</f>
        <v/>
      </c>
      <c r="Q1321" s="33" t="str">
        <f aca="false">IF(F1321="","",F1321*L1321)</f>
        <v/>
      </c>
      <c r="R1321" s="33" t="str">
        <f aca="false">IF(F1321="","",IF(H1321="",F1321,0))</f>
        <v/>
      </c>
      <c r="S1321" s="32" t="str">
        <f aca="false">IF(F1321="","",IF(N(O1321)=0,"",IF(O1321&lt;=30,"1-30",IF(O1321&lt;=60,"31-60",IF(O1321&lt;=90,"61-90","90+")))))</f>
        <v/>
      </c>
      <c r="T1321" s="32" t="str">
        <f aca="false">IF(F1321="","",IF(E1321="","Diğer",E1321))</f>
        <v/>
      </c>
      <c r="U1321" s="32" t="str">
        <f aca="false">IF(OR(F1321="",C1321=""),"",IF(COUNTIF($C$2:C1321,C1321)=1,MAX($U$1:U1320)+1,""))</f>
        <v/>
      </c>
    </row>
    <row r="1322" customFormat="false" ht="15" hidden="false" customHeight="false" outlineLevel="0" collapsed="false">
      <c r="A1322" s="34"/>
      <c r="B1322" s="9"/>
      <c r="C1322" s="34"/>
      <c r="D1322" s="34"/>
      <c r="E1322" s="34"/>
      <c r="F1322" s="35"/>
      <c r="G1322" s="9"/>
      <c r="H1322" s="9"/>
      <c r="I1322" s="34"/>
      <c r="J1322" s="30" t="str">
        <f aca="false">IF(F1322="","",G1322-B1322)</f>
        <v/>
      </c>
      <c r="K1322" s="31" t="str">
        <f aca="false">IF(F1322="","",IF(H1322&lt;&gt;"",H1322,MAX('Vade Sapması'!$D$3,G1322)))</f>
        <v/>
      </c>
      <c r="L1322" s="30" t="str">
        <f aca="false">IF(F1322="","",K1322-B1322)</f>
        <v/>
      </c>
      <c r="M1322" s="30" t="str">
        <f aca="false">IF(F1322="","",L1322-J1322)</f>
        <v/>
      </c>
      <c r="N1322" s="32" t="str">
        <f aca="false">IF(F1322="","",IF(H1322&lt;&gt;"","Kapandı",IF('Vade Sapması'!$D$3&gt;G1322,"Açık · vadesi geçti","Açık · vadesi gelmedi")))</f>
        <v/>
      </c>
      <c r="O1322" s="30" t="str">
        <f aca="false">IF(F1322="","",IF(AND(H1322="",'Vade Sapması'!$D$3&gt;G1322),'Vade Sapması'!$D$3-G1322,0))</f>
        <v/>
      </c>
      <c r="P1322" s="33" t="str">
        <f aca="false">IF(F1322="","",F1322*J1322)</f>
        <v/>
      </c>
      <c r="Q1322" s="33" t="str">
        <f aca="false">IF(F1322="","",F1322*L1322)</f>
        <v/>
      </c>
      <c r="R1322" s="33" t="str">
        <f aca="false">IF(F1322="","",IF(H1322="",F1322,0))</f>
        <v/>
      </c>
      <c r="S1322" s="32" t="str">
        <f aca="false">IF(F1322="","",IF(N(O1322)=0,"",IF(O1322&lt;=30,"1-30",IF(O1322&lt;=60,"31-60",IF(O1322&lt;=90,"61-90","90+")))))</f>
        <v/>
      </c>
      <c r="T1322" s="32" t="str">
        <f aca="false">IF(F1322="","",IF(E1322="","Diğer",E1322))</f>
        <v/>
      </c>
      <c r="U1322" s="32" t="str">
        <f aca="false">IF(OR(F1322="",C1322=""),"",IF(COUNTIF($C$2:C1322,C1322)=1,MAX($U$1:U1321)+1,""))</f>
        <v/>
      </c>
    </row>
    <row r="1323" customFormat="false" ht="15" hidden="false" customHeight="false" outlineLevel="0" collapsed="false">
      <c r="A1323" s="34"/>
      <c r="B1323" s="9"/>
      <c r="C1323" s="34"/>
      <c r="D1323" s="34"/>
      <c r="E1323" s="34"/>
      <c r="F1323" s="35"/>
      <c r="G1323" s="9"/>
      <c r="H1323" s="9"/>
      <c r="I1323" s="34"/>
      <c r="J1323" s="30" t="str">
        <f aca="false">IF(F1323="","",G1323-B1323)</f>
        <v/>
      </c>
      <c r="K1323" s="31" t="str">
        <f aca="false">IF(F1323="","",IF(H1323&lt;&gt;"",H1323,MAX('Vade Sapması'!$D$3,G1323)))</f>
        <v/>
      </c>
      <c r="L1323" s="30" t="str">
        <f aca="false">IF(F1323="","",K1323-B1323)</f>
        <v/>
      </c>
      <c r="M1323" s="30" t="str">
        <f aca="false">IF(F1323="","",L1323-J1323)</f>
        <v/>
      </c>
      <c r="N1323" s="32" t="str">
        <f aca="false">IF(F1323="","",IF(H1323&lt;&gt;"","Kapandı",IF('Vade Sapması'!$D$3&gt;G1323,"Açık · vadesi geçti","Açık · vadesi gelmedi")))</f>
        <v/>
      </c>
      <c r="O1323" s="30" t="str">
        <f aca="false">IF(F1323="","",IF(AND(H1323="",'Vade Sapması'!$D$3&gt;G1323),'Vade Sapması'!$D$3-G1323,0))</f>
        <v/>
      </c>
      <c r="P1323" s="33" t="str">
        <f aca="false">IF(F1323="","",F1323*J1323)</f>
        <v/>
      </c>
      <c r="Q1323" s="33" t="str">
        <f aca="false">IF(F1323="","",F1323*L1323)</f>
        <v/>
      </c>
      <c r="R1323" s="33" t="str">
        <f aca="false">IF(F1323="","",IF(H1323="",F1323,0))</f>
        <v/>
      </c>
      <c r="S1323" s="32" t="str">
        <f aca="false">IF(F1323="","",IF(N(O1323)=0,"",IF(O1323&lt;=30,"1-30",IF(O1323&lt;=60,"31-60",IF(O1323&lt;=90,"61-90","90+")))))</f>
        <v/>
      </c>
      <c r="T1323" s="32" t="str">
        <f aca="false">IF(F1323="","",IF(E1323="","Diğer",E1323))</f>
        <v/>
      </c>
      <c r="U1323" s="32" t="str">
        <f aca="false">IF(OR(F1323="",C1323=""),"",IF(COUNTIF($C$2:C1323,C1323)=1,MAX($U$1:U1322)+1,""))</f>
        <v/>
      </c>
    </row>
    <row r="1324" customFormat="false" ht="15" hidden="false" customHeight="false" outlineLevel="0" collapsed="false">
      <c r="A1324" s="34"/>
      <c r="B1324" s="9"/>
      <c r="C1324" s="34"/>
      <c r="D1324" s="34"/>
      <c r="E1324" s="34"/>
      <c r="F1324" s="35"/>
      <c r="G1324" s="9"/>
      <c r="H1324" s="9"/>
      <c r="I1324" s="34"/>
      <c r="J1324" s="30" t="str">
        <f aca="false">IF(F1324="","",G1324-B1324)</f>
        <v/>
      </c>
      <c r="K1324" s="31" t="str">
        <f aca="false">IF(F1324="","",IF(H1324&lt;&gt;"",H1324,MAX('Vade Sapması'!$D$3,G1324)))</f>
        <v/>
      </c>
      <c r="L1324" s="30" t="str">
        <f aca="false">IF(F1324="","",K1324-B1324)</f>
        <v/>
      </c>
      <c r="M1324" s="30" t="str">
        <f aca="false">IF(F1324="","",L1324-J1324)</f>
        <v/>
      </c>
      <c r="N1324" s="32" t="str">
        <f aca="false">IF(F1324="","",IF(H1324&lt;&gt;"","Kapandı",IF('Vade Sapması'!$D$3&gt;G1324,"Açık · vadesi geçti","Açık · vadesi gelmedi")))</f>
        <v/>
      </c>
      <c r="O1324" s="30" t="str">
        <f aca="false">IF(F1324="","",IF(AND(H1324="",'Vade Sapması'!$D$3&gt;G1324),'Vade Sapması'!$D$3-G1324,0))</f>
        <v/>
      </c>
      <c r="P1324" s="33" t="str">
        <f aca="false">IF(F1324="","",F1324*J1324)</f>
        <v/>
      </c>
      <c r="Q1324" s="33" t="str">
        <f aca="false">IF(F1324="","",F1324*L1324)</f>
        <v/>
      </c>
      <c r="R1324" s="33" t="str">
        <f aca="false">IF(F1324="","",IF(H1324="",F1324,0))</f>
        <v/>
      </c>
      <c r="S1324" s="32" t="str">
        <f aca="false">IF(F1324="","",IF(N(O1324)=0,"",IF(O1324&lt;=30,"1-30",IF(O1324&lt;=60,"31-60",IF(O1324&lt;=90,"61-90","90+")))))</f>
        <v/>
      </c>
      <c r="T1324" s="32" t="str">
        <f aca="false">IF(F1324="","",IF(E1324="","Diğer",E1324))</f>
        <v/>
      </c>
      <c r="U1324" s="32" t="str">
        <f aca="false">IF(OR(F1324="",C1324=""),"",IF(COUNTIF($C$2:C1324,C1324)=1,MAX($U$1:U1323)+1,""))</f>
        <v/>
      </c>
    </row>
    <row r="1325" customFormat="false" ht="15" hidden="false" customHeight="false" outlineLevel="0" collapsed="false">
      <c r="A1325" s="34"/>
      <c r="B1325" s="9"/>
      <c r="C1325" s="34"/>
      <c r="D1325" s="34"/>
      <c r="E1325" s="34"/>
      <c r="F1325" s="35"/>
      <c r="G1325" s="9"/>
      <c r="H1325" s="9"/>
      <c r="I1325" s="34"/>
      <c r="J1325" s="30" t="str">
        <f aca="false">IF(F1325="","",G1325-B1325)</f>
        <v/>
      </c>
      <c r="K1325" s="31" t="str">
        <f aca="false">IF(F1325="","",IF(H1325&lt;&gt;"",H1325,MAX('Vade Sapması'!$D$3,G1325)))</f>
        <v/>
      </c>
      <c r="L1325" s="30" t="str">
        <f aca="false">IF(F1325="","",K1325-B1325)</f>
        <v/>
      </c>
      <c r="M1325" s="30" t="str">
        <f aca="false">IF(F1325="","",L1325-J1325)</f>
        <v/>
      </c>
      <c r="N1325" s="32" t="str">
        <f aca="false">IF(F1325="","",IF(H1325&lt;&gt;"","Kapandı",IF('Vade Sapması'!$D$3&gt;G1325,"Açık · vadesi geçti","Açık · vadesi gelmedi")))</f>
        <v/>
      </c>
      <c r="O1325" s="30" t="str">
        <f aca="false">IF(F1325="","",IF(AND(H1325="",'Vade Sapması'!$D$3&gt;G1325),'Vade Sapması'!$D$3-G1325,0))</f>
        <v/>
      </c>
      <c r="P1325" s="33" t="str">
        <f aca="false">IF(F1325="","",F1325*J1325)</f>
        <v/>
      </c>
      <c r="Q1325" s="33" t="str">
        <f aca="false">IF(F1325="","",F1325*L1325)</f>
        <v/>
      </c>
      <c r="R1325" s="33" t="str">
        <f aca="false">IF(F1325="","",IF(H1325="",F1325,0))</f>
        <v/>
      </c>
      <c r="S1325" s="32" t="str">
        <f aca="false">IF(F1325="","",IF(N(O1325)=0,"",IF(O1325&lt;=30,"1-30",IF(O1325&lt;=60,"31-60",IF(O1325&lt;=90,"61-90","90+")))))</f>
        <v/>
      </c>
      <c r="T1325" s="32" t="str">
        <f aca="false">IF(F1325="","",IF(E1325="","Diğer",E1325))</f>
        <v/>
      </c>
      <c r="U1325" s="32" t="str">
        <f aca="false">IF(OR(F1325="",C1325=""),"",IF(COUNTIF($C$2:C1325,C1325)=1,MAX($U$1:U1324)+1,""))</f>
        <v/>
      </c>
    </row>
    <row r="1326" customFormat="false" ht="15" hidden="false" customHeight="false" outlineLevel="0" collapsed="false">
      <c r="A1326" s="34"/>
      <c r="B1326" s="9"/>
      <c r="C1326" s="34"/>
      <c r="D1326" s="34"/>
      <c r="E1326" s="34"/>
      <c r="F1326" s="35"/>
      <c r="G1326" s="9"/>
      <c r="H1326" s="9"/>
      <c r="I1326" s="34"/>
      <c r="J1326" s="30" t="str">
        <f aca="false">IF(F1326="","",G1326-B1326)</f>
        <v/>
      </c>
      <c r="K1326" s="31" t="str">
        <f aca="false">IF(F1326="","",IF(H1326&lt;&gt;"",H1326,MAX('Vade Sapması'!$D$3,G1326)))</f>
        <v/>
      </c>
      <c r="L1326" s="30" t="str">
        <f aca="false">IF(F1326="","",K1326-B1326)</f>
        <v/>
      </c>
      <c r="M1326" s="30" t="str">
        <f aca="false">IF(F1326="","",L1326-J1326)</f>
        <v/>
      </c>
      <c r="N1326" s="32" t="str">
        <f aca="false">IF(F1326="","",IF(H1326&lt;&gt;"","Kapandı",IF('Vade Sapması'!$D$3&gt;G1326,"Açık · vadesi geçti","Açık · vadesi gelmedi")))</f>
        <v/>
      </c>
      <c r="O1326" s="30" t="str">
        <f aca="false">IF(F1326="","",IF(AND(H1326="",'Vade Sapması'!$D$3&gt;G1326),'Vade Sapması'!$D$3-G1326,0))</f>
        <v/>
      </c>
      <c r="P1326" s="33" t="str">
        <f aca="false">IF(F1326="","",F1326*J1326)</f>
        <v/>
      </c>
      <c r="Q1326" s="33" t="str">
        <f aca="false">IF(F1326="","",F1326*L1326)</f>
        <v/>
      </c>
      <c r="R1326" s="33" t="str">
        <f aca="false">IF(F1326="","",IF(H1326="",F1326,0))</f>
        <v/>
      </c>
      <c r="S1326" s="32" t="str">
        <f aca="false">IF(F1326="","",IF(N(O1326)=0,"",IF(O1326&lt;=30,"1-30",IF(O1326&lt;=60,"31-60",IF(O1326&lt;=90,"61-90","90+")))))</f>
        <v/>
      </c>
      <c r="T1326" s="32" t="str">
        <f aca="false">IF(F1326="","",IF(E1326="","Diğer",E1326))</f>
        <v/>
      </c>
      <c r="U1326" s="32" t="str">
        <f aca="false">IF(OR(F1326="",C1326=""),"",IF(COUNTIF($C$2:C1326,C1326)=1,MAX($U$1:U1325)+1,""))</f>
        <v/>
      </c>
    </row>
    <row r="1327" customFormat="false" ht="15" hidden="false" customHeight="false" outlineLevel="0" collapsed="false">
      <c r="A1327" s="34"/>
      <c r="B1327" s="9"/>
      <c r="C1327" s="34"/>
      <c r="D1327" s="34"/>
      <c r="E1327" s="34"/>
      <c r="F1327" s="35"/>
      <c r="G1327" s="9"/>
      <c r="H1327" s="9"/>
      <c r="I1327" s="34"/>
      <c r="J1327" s="30" t="str">
        <f aca="false">IF(F1327="","",G1327-B1327)</f>
        <v/>
      </c>
      <c r="K1327" s="31" t="str">
        <f aca="false">IF(F1327="","",IF(H1327&lt;&gt;"",H1327,MAX('Vade Sapması'!$D$3,G1327)))</f>
        <v/>
      </c>
      <c r="L1327" s="30" t="str">
        <f aca="false">IF(F1327="","",K1327-B1327)</f>
        <v/>
      </c>
      <c r="M1327" s="30" t="str">
        <f aca="false">IF(F1327="","",L1327-J1327)</f>
        <v/>
      </c>
      <c r="N1327" s="32" t="str">
        <f aca="false">IF(F1327="","",IF(H1327&lt;&gt;"","Kapandı",IF('Vade Sapması'!$D$3&gt;G1327,"Açık · vadesi geçti","Açık · vadesi gelmedi")))</f>
        <v/>
      </c>
      <c r="O1327" s="30" t="str">
        <f aca="false">IF(F1327="","",IF(AND(H1327="",'Vade Sapması'!$D$3&gt;G1327),'Vade Sapması'!$D$3-G1327,0))</f>
        <v/>
      </c>
      <c r="P1327" s="33" t="str">
        <f aca="false">IF(F1327="","",F1327*J1327)</f>
        <v/>
      </c>
      <c r="Q1327" s="33" t="str">
        <f aca="false">IF(F1327="","",F1327*L1327)</f>
        <v/>
      </c>
      <c r="R1327" s="33" t="str">
        <f aca="false">IF(F1327="","",IF(H1327="",F1327,0))</f>
        <v/>
      </c>
      <c r="S1327" s="32" t="str">
        <f aca="false">IF(F1327="","",IF(N(O1327)=0,"",IF(O1327&lt;=30,"1-30",IF(O1327&lt;=60,"31-60",IF(O1327&lt;=90,"61-90","90+")))))</f>
        <v/>
      </c>
      <c r="T1327" s="32" t="str">
        <f aca="false">IF(F1327="","",IF(E1327="","Diğer",E1327))</f>
        <v/>
      </c>
      <c r="U1327" s="32" t="str">
        <f aca="false">IF(OR(F1327="",C1327=""),"",IF(COUNTIF($C$2:C1327,C1327)=1,MAX($U$1:U1326)+1,""))</f>
        <v/>
      </c>
    </row>
    <row r="1328" customFormat="false" ht="15" hidden="false" customHeight="false" outlineLevel="0" collapsed="false">
      <c r="A1328" s="34"/>
      <c r="B1328" s="9"/>
      <c r="C1328" s="34"/>
      <c r="D1328" s="34"/>
      <c r="E1328" s="34"/>
      <c r="F1328" s="35"/>
      <c r="G1328" s="9"/>
      <c r="H1328" s="9"/>
      <c r="I1328" s="34"/>
      <c r="J1328" s="30" t="str">
        <f aca="false">IF(F1328="","",G1328-B1328)</f>
        <v/>
      </c>
      <c r="K1328" s="31" t="str">
        <f aca="false">IF(F1328="","",IF(H1328&lt;&gt;"",H1328,MAX('Vade Sapması'!$D$3,G1328)))</f>
        <v/>
      </c>
      <c r="L1328" s="30" t="str">
        <f aca="false">IF(F1328="","",K1328-B1328)</f>
        <v/>
      </c>
      <c r="M1328" s="30" t="str">
        <f aca="false">IF(F1328="","",L1328-J1328)</f>
        <v/>
      </c>
      <c r="N1328" s="32" t="str">
        <f aca="false">IF(F1328="","",IF(H1328&lt;&gt;"","Kapandı",IF('Vade Sapması'!$D$3&gt;G1328,"Açık · vadesi geçti","Açık · vadesi gelmedi")))</f>
        <v/>
      </c>
      <c r="O1328" s="30" t="str">
        <f aca="false">IF(F1328="","",IF(AND(H1328="",'Vade Sapması'!$D$3&gt;G1328),'Vade Sapması'!$D$3-G1328,0))</f>
        <v/>
      </c>
      <c r="P1328" s="33" t="str">
        <f aca="false">IF(F1328="","",F1328*J1328)</f>
        <v/>
      </c>
      <c r="Q1328" s="33" t="str">
        <f aca="false">IF(F1328="","",F1328*L1328)</f>
        <v/>
      </c>
      <c r="R1328" s="33" t="str">
        <f aca="false">IF(F1328="","",IF(H1328="",F1328,0))</f>
        <v/>
      </c>
      <c r="S1328" s="32" t="str">
        <f aca="false">IF(F1328="","",IF(N(O1328)=0,"",IF(O1328&lt;=30,"1-30",IF(O1328&lt;=60,"31-60",IF(O1328&lt;=90,"61-90","90+")))))</f>
        <v/>
      </c>
      <c r="T1328" s="32" t="str">
        <f aca="false">IF(F1328="","",IF(E1328="","Diğer",E1328))</f>
        <v/>
      </c>
      <c r="U1328" s="32" t="str">
        <f aca="false">IF(OR(F1328="",C1328=""),"",IF(COUNTIF($C$2:C1328,C1328)=1,MAX($U$1:U1327)+1,""))</f>
        <v/>
      </c>
    </row>
    <row r="1329" customFormat="false" ht="15" hidden="false" customHeight="false" outlineLevel="0" collapsed="false">
      <c r="A1329" s="34"/>
      <c r="B1329" s="9"/>
      <c r="C1329" s="34"/>
      <c r="D1329" s="34"/>
      <c r="E1329" s="34"/>
      <c r="F1329" s="35"/>
      <c r="G1329" s="9"/>
      <c r="H1329" s="9"/>
      <c r="I1329" s="34"/>
      <c r="J1329" s="30" t="str">
        <f aca="false">IF(F1329="","",G1329-B1329)</f>
        <v/>
      </c>
      <c r="K1329" s="31" t="str">
        <f aca="false">IF(F1329="","",IF(H1329&lt;&gt;"",H1329,MAX('Vade Sapması'!$D$3,G1329)))</f>
        <v/>
      </c>
      <c r="L1329" s="30" t="str">
        <f aca="false">IF(F1329="","",K1329-B1329)</f>
        <v/>
      </c>
      <c r="M1329" s="30" t="str">
        <f aca="false">IF(F1329="","",L1329-J1329)</f>
        <v/>
      </c>
      <c r="N1329" s="32" t="str">
        <f aca="false">IF(F1329="","",IF(H1329&lt;&gt;"","Kapandı",IF('Vade Sapması'!$D$3&gt;G1329,"Açık · vadesi geçti","Açık · vadesi gelmedi")))</f>
        <v/>
      </c>
      <c r="O1329" s="30" t="str">
        <f aca="false">IF(F1329="","",IF(AND(H1329="",'Vade Sapması'!$D$3&gt;G1329),'Vade Sapması'!$D$3-G1329,0))</f>
        <v/>
      </c>
      <c r="P1329" s="33" t="str">
        <f aca="false">IF(F1329="","",F1329*J1329)</f>
        <v/>
      </c>
      <c r="Q1329" s="33" t="str">
        <f aca="false">IF(F1329="","",F1329*L1329)</f>
        <v/>
      </c>
      <c r="R1329" s="33" t="str">
        <f aca="false">IF(F1329="","",IF(H1329="",F1329,0))</f>
        <v/>
      </c>
      <c r="S1329" s="32" t="str">
        <f aca="false">IF(F1329="","",IF(N(O1329)=0,"",IF(O1329&lt;=30,"1-30",IF(O1329&lt;=60,"31-60",IF(O1329&lt;=90,"61-90","90+")))))</f>
        <v/>
      </c>
      <c r="T1329" s="32" t="str">
        <f aca="false">IF(F1329="","",IF(E1329="","Diğer",E1329))</f>
        <v/>
      </c>
      <c r="U1329" s="32" t="str">
        <f aca="false">IF(OR(F1329="",C1329=""),"",IF(COUNTIF($C$2:C1329,C1329)=1,MAX($U$1:U1328)+1,""))</f>
        <v/>
      </c>
    </row>
    <row r="1330" customFormat="false" ht="15" hidden="false" customHeight="false" outlineLevel="0" collapsed="false">
      <c r="A1330" s="34"/>
      <c r="B1330" s="9"/>
      <c r="C1330" s="34"/>
      <c r="D1330" s="34"/>
      <c r="E1330" s="34"/>
      <c r="F1330" s="35"/>
      <c r="G1330" s="9"/>
      <c r="H1330" s="9"/>
      <c r="I1330" s="34"/>
      <c r="J1330" s="30" t="str">
        <f aca="false">IF(F1330="","",G1330-B1330)</f>
        <v/>
      </c>
      <c r="K1330" s="31" t="str">
        <f aca="false">IF(F1330="","",IF(H1330&lt;&gt;"",H1330,MAX('Vade Sapması'!$D$3,G1330)))</f>
        <v/>
      </c>
      <c r="L1330" s="30" t="str">
        <f aca="false">IF(F1330="","",K1330-B1330)</f>
        <v/>
      </c>
      <c r="M1330" s="30" t="str">
        <f aca="false">IF(F1330="","",L1330-J1330)</f>
        <v/>
      </c>
      <c r="N1330" s="32" t="str">
        <f aca="false">IF(F1330="","",IF(H1330&lt;&gt;"","Kapandı",IF('Vade Sapması'!$D$3&gt;G1330,"Açık · vadesi geçti","Açık · vadesi gelmedi")))</f>
        <v/>
      </c>
      <c r="O1330" s="30" t="str">
        <f aca="false">IF(F1330="","",IF(AND(H1330="",'Vade Sapması'!$D$3&gt;G1330),'Vade Sapması'!$D$3-G1330,0))</f>
        <v/>
      </c>
      <c r="P1330" s="33" t="str">
        <f aca="false">IF(F1330="","",F1330*J1330)</f>
        <v/>
      </c>
      <c r="Q1330" s="33" t="str">
        <f aca="false">IF(F1330="","",F1330*L1330)</f>
        <v/>
      </c>
      <c r="R1330" s="33" t="str">
        <f aca="false">IF(F1330="","",IF(H1330="",F1330,0))</f>
        <v/>
      </c>
      <c r="S1330" s="32" t="str">
        <f aca="false">IF(F1330="","",IF(N(O1330)=0,"",IF(O1330&lt;=30,"1-30",IF(O1330&lt;=60,"31-60",IF(O1330&lt;=90,"61-90","90+")))))</f>
        <v/>
      </c>
      <c r="T1330" s="32" t="str">
        <f aca="false">IF(F1330="","",IF(E1330="","Diğer",E1330))</f>
        <v/>
      </c>
      <c r="U1330" s="32" t="str">
        <f aca="false">IF(OR(F1330="",C1330=""),"",IF(COUNTIF($C$2:C1330,C1330)=1,MAX($U$1:U1329)+1,""))</f>
        <v/>
      </c>
    </row>
    <row r="1331" customFormat="false" ht="15" hidden="false" customHeight="false" outlineLevel="0" collapsed="false">
      <c r="A1331" s="34"/>
      <c r="B1331" s="9"/>
      <c r="C1331" s="34"/>
      <c r="D1331" s="34"/>
      <c r="E1331" s="34"/>
      <c r="F1331" s="35"/>
      <c r="G1331" s="9"/>
      <c r="H1331" s="9"/>
      <c r="I1331" s="34"/>
      <c r="J1331" s="30" t="str">
        <f aca="false">IF(F1331="","",G1331-B1331)</f>
        <v/>
      </c>
      <c r="K1331" s="31" t="str">
        <f aca="false">IF(F1331="","",IF(H1331&lt;&gt;"",H1331,MAX('Vade Sapması'!$D$3,G1331)))</f>
        <v/>
      </c>
      <c r="L1331" s="30" t="str">
        <f aca="false">IF(F1331="","",K1331-B1331)</f>
        <v/>
      </c>
      <c r="M1331" s="30" t="str">
        <f aca="false">IF(F1331="","",L1331-J1331)</f>
        <v/>
      </c>
      <c r="N1331" s="32" t="str">
        <f aca="false">IF(F1331="","",IF(H1331&lt;&gt;"","Kapandı",IF('Vade Sapması'!$D$3&gt;G1331,"Açık · vadesi geçti","Açık · vadesi gelmedi")))</f>
        <v/>
      </c>
      <c r="O1331" s="30" t="str">
        <f aca="false">IF(F1331="","",IF(AND(H1331="",'Vade Sapması'!$D$3&gt;G1331),'Vade Sapması'!$D$3-G1331,0))</f>
        <v/>
      </c>
      <c r="P1331" s="33" t="str">
        <f aca="false">IF(F1331="","",F1331*J1331)</f>
        <v/>
      </c>
      <c r="Q1331" s="33" t="str">
        <f aca="false">IF(F1331="","",F1331*L1331)</f>
        <v/>
      </c>
      <c r="R1331" s="33" t="str">
        <f aca="false">IF(F1331="","",IF(H1331="",F1331,0))</f>
        <v/>
      </c>
      <c r="S1331" s="32" t="str">
        <f aca="false">IF(F1331="","",IF(N(O1331)=0,"",IF(O1331&lt;=30,"1-30",IF(O1331&lt;=60,"31-60",IF(O1331&lt;=90,"61-90","90+")))))</f>
        <v/>
      </c>
      <c r="T1331" s="32" t="str">
        <f aca="false">IF(F1331="","",IF(E1331="","Diğer",E1331))</f>
        <v/>
      </c>
      <c r="U1331" s="32" t="str">
        <f aca="false">IF(OR(F1331="",C1331=""),"",IF(COUNTIF($C$2:C1331,C1331)=1,MAX($U$1:U1330)+1,""))</f>
        <v/>
      </c>
    </row>
    <row r="1332" customFormat="false" ht="15" hidden="false" customHeight="false" outlineLevel="0" collapsed="false">
      <c r="A1332" s="34"/>
      <c r="B1332" s="9"/>
      <c r="C1332" s="34"/>
      <c r="D1332" s="34"/>
      <c r="E1332" s="34"/>
      <c r="F1332" s="35"/>
      <c r="G1332" s="9"/>
      <c r="H1332" s="9"/>
      <c r="I1332" s="34"/>
      <c r="J1332" s="30" t="str">
        <f aca="false">IF(F1332="","",G1332-B1332)</f>
        <v/>
      </c>
      <c r="K1332" s="31" t="str">
        <f aca="false">IF(F1332="","",IF(H1332&lt;&gt;"",H1332,MAX('Vade Sapması'!$D$3,G1332)))</f>
        <v/>
      </c>
      <c r="L1332" s="30" t="str">
        <f aca="false">IF(F1332="","",K1332-B1332)</f>
        <v/>
      </c>
      <c r="M1332" s="30" t="str">
        <f aca="false">IF(F1332="","",L1332-J1332)</f>
        <v/>
      </c>
      <c r="N1332" s="32" t="str">
        <f aca="false">IF(F1332="","",IF(H1332&lt;&gt;"","Kapandı",IF('Vade Sapması'!$D$3&gt;G1332,"Açık · vadesi geçti","Açık · vadesi gelmedi")))</f>
        <v/>
      </c>
      <c r="O1332" s="30" t="str">
        <f aca="false">IF(F1332="","",IF(AND(H1332="",'Vade Sapması'!$D$3&gt;G1332),'Vade Sapması'!$D$3-G1332,0))</f>
        <v/>
      </c>
      <c r="P1332" s="33" t="str">
        <f aca="false">IF(F1332="","",F1332*J1332)</f>
        <v/>
      </c>
      <c r="Q1332" s="33" t="str">
        <f aca="false">IF(F1332="","",F1332*L1332)</f>
        <v/>
      </c>
      <c r="R1332" s="33" t="str">
        <f aca="false">IF(F1332="","",IF(H1332="",F1332,0))</f>
        <v/>
      </c>
      <c r="S1332" s="32" t="str">
        <f aca="false">IF(F1332="","",IF(N(O1332)=0,"",IF(O1332&lt;=30,"1-30",IF(O1332&lt;=60,"31-60",IF(O1332&lt;=90,"61-90","90+")))))</f>
        <v/>
      </c>
      <c r="T1332" s="32" t="str">
        <f aca="false">IF(F1332="","",IF(E1332="","Diğer",E1332))</f>
        <v/>
      </c>
      <c r="U1332" s="32" t="str">
        <f aca="false">IF(OR(F1332="",C1332=""),"",IF(COUNTIF($C$2:C1332,C1332)=1,MAX($U$1:U1331)+1,""))</f>
        <v/>
      </c>
    </row>
    <row r="1333" customFormat="false" ht="15" hidden="false" customHeight="false" outlineLevel="0" collapsed="false">
      <c r="A1333" s="34"/>
      <c r="B1333" s="9"/>
      <c r="C1333" s="34"/>
      <c r="D1333" s="34"/>
      <c r="E1333" s="34"/>
      <c r="F1333" s="35"/>
      <c r="G1333" s="9"/>
      <c r="H1333" s="9"/>
      <c r="I1333" s="34"/>
      <c r="J1333" s="30" t="str">
        <f aca="false">IF(F1333="","",G1333-B1333)</f>
        <v/>
      </c>
      <c r="K1333" s="31" t="str">
        <f aca="false">IF(F1333="","",IF(H1333&lt;&gt;"",H1333,MAX('Vade Sapması'!$D$3,G1333)))</f>
        <v/>
      </c>
      <c r="L1333" s="30" t="str">
        <f aca="false">IF(F1333="","",K1333-B1333)</f>
        <v/>
      </c>
      <c r="M1333" s="30" t="str">
        <f aca="false">IF(F1333="","",L1333-J1333)</f>
        <v/>
      </c>
      <c r="N1333" s="32" t="str">
        <f aca="false">IF(F1333="","",IF(H1333&lt;&gt;"","Kapandı",IF('Vade Sapması'!$D$3&gt;G1333,"Açık · vadesi geçti","Açık · vadesi gelmedi")))</f>
        <v/>
      </c>
      <c r="O1333" s="30" t="str">
        <f aca="false">IF(F1333="","",IF(AND(H1333="",'Vade Sapması'!$D$3&gt;G1333),'Vade Sapması'!$D$3-G1333,0))</f>
        <v/>
      </c>
      <c r="P1333" s="33" t="str">
        <f aca="false">IF(F1333="","",F1333*J1333)</f>
        <v/>
      </c>
      <c r="Q1333" s="33" t="str">
        <f aca="false">IF(F1333="","",F1333*L1333)</f>
        <v/>
      </c>
      <c r="R1333" s="33" t="str">
        <f aca="false">IF(F1333="","",IF(H1333="",F1333,0))</f>
        <v/>
      </c>
      <c r="S1333" s="32" t="str">
        <f aca="false">IF(F1333="","",IF(N(O1333)=0,"",IF(O1333&lt;=30,"1-30",IF(O1333&lt;=60,"31-60",IF(O1333&lt;=90,"61-90","90+")))))</f>
        <v/>
      </c>
      <c r="T1333" s="32" t="str">
        <f aca="false">IF(F1333="","",IF(E1333="","Diğer",E1333))</f>
        <v/>
      </c>
      <c r="U1333" s="32" t="str">
        <f aca="false">IF(OR(F1333="",C1333=""),"",IF(COUNTIF($C$2:C1333,C1333)=1,MAX($U$1:U1332)+1,""))</f>
        <v/>
      </c>
    </row>
    <row r="1334" customFormat="false" ht="15" hidden="false" customHeight="false" outlineLevel="0" collapsed="false">
      <c r="A1334" s="34"/>
      <c r="B1334" s="9"/>
      <c r="C1334" s="34"/>
      <c r="D1334" s="34"/>
      <c r="E1334" s="34"/>
      <c r="F1334" s="35"/>
      <c r="G1334" s="9"/>
      <c r="H1334" s="9"/>
      <c r="I1334" s="34"/>
      <c r="J1334" s="30" t="str">
        <f aca="false">IF(F1334="","",G1334-B1334)</f>
        <v/>
      </c>
      <c r="K1334" s="31" t="str">
        <f aca="false">IF(F1334="","",IF(H1334&lt;&gt;"",H1334,MAX('Vade Sapması'!$D$3,G1334)))</f>
        <v/>
      </c>
      <c r="L1334" s="30" t="str">
        <f aca="false">IF(F1334="","",K1334-B1334)</f>
        <v/>
      </c>
      <c r="M1334" s="30" t="str">
        <f aca="false">IF(F1334="","",L1334-J1334)</f>
        <v/>
      </c>
      <c r="N1334" s="32" t="str">
        <f aca="false">IF(F1334="","",IF(H1334&lt;&gt;"","Kapandı",IF('Vade Sapması'!$D$3&gt;G1334,"Açık · vadesi geçti","Açık · vadesi gelmedi")))</f>
        <v/>
      </c>
      <c r="O1334" s="30" t="str">
        <f aca="false">IF(F1334="","",IF(AND(H1334="",'Vade Sapması'!$D$3&gt;G1334),'Vade Sapması'!$D$3-G1334,0))</f>
        <v/>
      </c>
      <c r="P1334" s="33" t="str">
        <f aca="false">IF(F1334="","",F1334*J1334)</f>
        <v/>
      </c>
      <c r="Q1334" s="33" t="str">
        <f aca="false">IF(F1334="","",F1334*L1334)</f>
        <v/>
      </c>
      <c r="R1334" s="33" t="str">
        <f aca="false">IF(F1334="","",IF(H1334="",F1334,0))</f>
        <v/>
      </c>
      <c r="S1334" s="32" t="str">
        <f aca="false">IF(F1334="","",IF(N(O1334)=0,"",IF(O1334&lt;=30,"1-30",IF(O1334&lt;=60,"31-60",IF(O1334&lt;=90,"61-90","90+")))))</f>
        <v/>
      </c>
      <c r="T1334" s="32" t="str">
        <f aca="false">IF(F1334="","",IF(E1334="","Diğer",E1334))</f>
        <v/>
      </c>
      <c r="U1334" s="32" t="str">
        <f aca="false">IF(OR(F1334="",C1334=""),"",IF(COUNTIF($C$2:C1334,C1334)=1,MAX($U$1:U1333)+1,""))</f>
        <v/>
      </c>
    </row>
    <row r="1335" customFormat="false" ht="15" hidden="false" customHeight="false" outlineLevel="0" collapsed="false">
      <c r="A1335" s="34"/>
      <c r="B1335" s="9"/>
      <c r="C1335" s="34"/>
      <c r="D1335" s="34"/>
      <c r="E1335" s="34"/>
      <c r="F1335" s="35"/>
      <c r="G1335" s="9"/>
      <c r="H1335" s="9"/>
      <c r="I1335" s="34"/>
      <c r="J1335" s="30" t="str">
        <f aca="false">IF(F1335="","",G1335-B1335)</f>
        <v/>
      </c>
      <c r="K1335" s="31" t="str">
        <f aca="false">IF(F1335="","",IF(H1335&lt;&gt;"",H1335,MAX('Vade Sapması'!$D$3,G1335)))</f>
        <v/>
      </c>
      <c r="L1335" s="30" t="str">
        <f aca="false">IF(F1335="","",K1335-B1335)</f>
        <v/>
      </c>
      <c r="M1335" s="30" t="str">
        <f aca="false">IF(F1335="","",L1335-J1335)</f>
        <v/>
      </c>
      <c r="N1335" s="32" t="str">
        <f aca="false">IF(F1335="","",IF(H1335&lt;&gt;"","Kapandı",IF('Vade Sapması'!$D$3&gt;G1335,"Açık · vadesi geçti","Açık · vadesi gelmedi")))</f>
        <v/>
      </c>
      <c r="O1335" s="30" t="str">
        <f aca="false">IF(F1335="","",IF(AND(H1335="",'Vade Sapması'!$D$3&gt;G1335),'Vade Sapması'!$D$3-G1335,0))</f>
        <v/>
      </c>
      <c r="P1335" s="33" t="str">
        <f aca="false">IF(F1335="","",F1335*J1335)</f>
        <v/>
      </c>
      <c r="Q1335" s="33" t="str">
        <f aca="false">IF(F1335="","",F1335*L1335)</f>
        <v/>
      </c>
      <c r="R1335" s="33" t="str">
        <f aca="false">IF(F1335="","",IF(H1335="",F1335,0))</f>
        <v/>
      </c>
      <c r="S1335" s="32" t="str">
        <f aca="false">IF(F1335="","",IF(N(O1335)=0,"",IF(O1335&lt;=30,"1-30",IF(O1335&lt;=60,"31-60",IF(O1335&lt;=90,"61-90","90+")))))</f>
        <v/>
      </c>
      <c r="T1335" s="32" t="str">
        <f aca="false">IF(F1335="","",IF(E1335="","Diğer",E1335))</f>
        <v/>
      </c>
      <c r="U1335" s="32" t="str">
        <f aca="false">IF(OR(F1335="",C1335=""),"",IF(COUNTIF($C$2:C1335,C1335)=1,MAX($U$1:U1334)+1,""))</f>
        <v/>
      </c>
    </row>
    <row r="1336" customFormat="false" ht="15" hidden="false" customHeight="false" outlineLevel="0" collapsed="false">
      <c r="A1336" s="34"/>
      <c r="B1336" s="9"/>
      <c r="C1336" s="34"/>
      <c r="D1336" s="34"/>
      <c r="E1336" s="34"/>
      <c r="F1336" s="35"/>
      <c r="G1336" s="9"/>
      <c r="H1336" s="9"/>
      <c r="I1336" s="34"/>
      <c r="J1336" s="30" t="str">
        <f aca="false">IF(F1336="","",G1336-B1336)</f>
        <v/>
      </c>
      <c r="K1336" s="31" t="str">
        <f aca="false">IF(F1336="","",IF(H1336&lt;&gt;"",H1336,MAX('Vade Sapması'!$D$3,G1336)))</f>
        <v/>
      </c>
      <c r="L1336" s="30" t="str">
        <f aca="false">IF(F1336="","",K1336-B1336)</f>
        <v/>
      </c>
      <c r="M1336" s="30" t="str">
        <f aca="false">IF(F1336="","",L1336-J1336)</f>
        <v/>
      </c>
      <c r="N1336" s="32" t="str">
        <f aca="false">IF(F1336="","",IF(H1336&lt;&gt;"","Kapandı",IF('Vade Sapması'!$D$3&gt;G1336,"Açık · vadesi geçti","Açık · vadesi gelmedi")))</f>
        <v/>
      </c>
      <c r="O1336" s="30" t="str">
        <f aca="false">IF(F1336="","",IF(AND(H1336="",'Vade Sapması'!$D$3&gt;G1336),'Vade Sapması'!$D$3-G1336,0))</f>
        <v/>
      </c>
      <c r="P1336" s="33" t="str">
        <f aca="false">IF(F1336="","",F1336*J1336)</f>
        <v/>
      </c>
      <c r="Q1336" s="33" t="str">
        <f aca="false">IF(F1336="","",F1336*L1336)</f>
        <v/>
      </c>
      <c r="R1336" s="33" t="str">
        <f aca="false">IF(F1336="","",IF(H1336="",F1336,0))</f>
        <v/>
      </c>
      <c r="S1336" s="32" t="str">
        <f aca="false">IF(F1336="","",IF(N(O1336)=0,"",IF(O1336&lt;=30,"1-30",IF(O1336&lt;=60,"31-60",IF(O1336&lt;=90,"61-90","90+")))))</f>
        <v/>
      </c>
      <c r="T1336" s="32" t="str">
        <f aca="false">IF(F1336="","",IF(E1336="","Diğer",E1336))</f>
        <v/>
      </c>
      <c r="U1336" s="32" t="str">
        <f aca="false">IF(OR(F1336="",C1336=""),"",IF(COUNTIF($C$2:C1336,C1336)=1,MAX($U$1:U1335)+1,""))</f>
        <v/>
      </c>
    </row>
    <row r="1337" customFormat="false" ht="15" hidden="false" customHeight="false" outlineLevel="0" collapsed="false">
      <c r="A1337" s="34"/>
      <c r="B1337" s="9"/>
      <c r="C1337" s="34"/>
      <c r="D1337" s="34"/>
      <c r="E1337" s="34"/>
      <c r="F1337" s="35"/>
      <c r="G1337" s="9"/>
      <c r="H1337" s="9"/>
      <c r="I1337" s="34"/>
      <c r="J1337" s="30" t="str">
        <f aca="false">IF(F1337="","",G1337-B1337)</f>
        <v/>
      </c>
      <c r="K1337" s="31" t="str">
        <f aca="false">IF(F1337="","",IF(H1337&lt;&gt;"",H1337,MAX('Vade Sapması'!$D$3,G1337)))</f>
        <v/>
      </c>
      <c r="L1337" s="30" t="str">
        <f aca="false">IF(F1337="","",K1337-B1337)</f>
        <v/>
      </c>
      <c r="M1337" s="30" t="str">
        <f aca="false">IF(F1337="","",L1337-J1337)</f>
        <v/>
      </c>
      <c r="N1337" s="32" t="str">
        <f aca="false">IF(F1337="","",IF(H1337&lt;&gt;"","Kapandı",IF('Vade Sapması'!$D$3&gt;G1337,"Açık · vadesi geçti","Açık · vadesi gelmedi")))</f>
        <v/>
      </c>
      <c r="O1337" s="30" t="str">
        <f aca="false">IF(F1337="","",IF(AND(H1337="",'Vade Sapması'!$D$3&gt;G1337),'Vade Sapması'!$D$3-G1337,0))</f>
        <v/>
      </c>
      <c r="P1337" s="33" t="str">
        <f aca="false">IF(F1337="","",F1337*J1337)</f>
        <v/>
      </c>
      <c r="Q1337" s="33" t="str">
        <f aca="false">IF(F1337="","",F1337*L1337)</f>
        <v/>
      </c>
      <c r="R1337" s="33" t="str">
        <f aca="false">IF(F1337="","",IF(H1337="",F1337,0))</f>
        <v/>
      </c>
      <c r="S1337" s="32" t="str">
        <f aca="false">IF(F1337="","",IF(N(O1337)=0,"",IF(O1337&lt;=30,"1-30",IF(O1337&lt;=60,"31-60",IF(O1337&lt;=90,"61-90","90+")))))</f>
        <v/>
      </c>
      <c r="T1337" s="32" t="str">
        <f aca="false">IF(F1337="","",IF(E1337="","Diğer",E1337))</f>
        <v/>
      </c>
      <c r="U1337" s="32" t="str">
        <f aca="false">IF(OR(F1337="",C1337=""),"",IF(COUNTIF($C$2:C1337,C1337)=1,MAX($U$1:U1336)+1,""))</f>
        <v/>
      </c>
    </row>
    <row r="1338" customFormat="false" ht="15" hidden="false" customHeight="false" outlineLevel="0" collapsed="false">
      <c r="A1338" s="34"/>
      <c r="B1338" s="9"/>
      <c r="C1338" s="34"/>
      <c r="D1338" s="34"/>
      <c r="E1338" s="34"/>
      <c r="F1338" s="35"/>
      <c r="G1338" s="9"/>
      <c r="H1338" s="9"/>
      <c r="I1338" s="34"/>
      <c r="J1338" s="30" t="str">
        <f aca="false">IF(F1338="","",G1338-B1338)</f>
        <v/>
      </c>
      <c r="K1338" s="31" t="str">
        <f aca="false">IF(F1338="","",IF(H1338&lt;&gt;"",H1338,MAX('Vade Sapması'!$D$3,G1338)))</f>
        <v/>
      </c>
      <c r="L1338" s="30" t="str">
        <f aca="false">IF(F1338="","",K1338-B1338)</f>
        <v/>
      </c>
      <c r="M1338" s="30" t="str">
        <f aca="false">IF(F1338="","",L1338-J1338)</f>
        <v/>
      </c>
      <c r="N1338" s="32" t="str">
        <f aca="false">IF(F1338="","",IF(H1338&lt;&gt;"","Kapandı",IF('Vade Sapması'!$D$3&gt;G1338,"Açık · vadesi geçti","Açık · vadesi gelmedi")))</f>
        <v/>
      </c>
      <c r="O1338" s="30" t="str">
        <f aca="false">IF(F1338="","",IF(AND(H1338="",'Vade Sapması'!$D$3&gt;G1338),'Vade Sapması'!$D$3-G1338,0))</f>
        <v/>
      </c>
      <c r="P1338" s="33" t="str">
        <f aca="false">IF(F1338="","",F1338*J1338)</f>
        <v/>
      </c>
      <c r="Q1338" s="33" t="str">
        <f aca="false">IF(F1338="","",F1338*L1338)</f>
        <v/>
      </c>
      <c r="R1338" s="33" t="str">
        <f aca="false">IF(F1338="","",IF(H1338="",F1338,0))</f>
        <v/>
      </c>
      <c r="S1338" s="32" t="str">
        <f aca="false">IF(F1338="","",IF(N(O1338)=0,"",IF(O1338&lt;=30,"1-30",IF(O1338&lt;=60,"31-60",IF(O1338&lt;=90,"61-90","90+")))))</f>
        <v/>
      </c>
      <c r="T1338" s="32" t="str">
        <f aca="false">IF(F1338="","",IF(E1338="","Diğer",E1338))</f>
        <v/>
      </c>
      <c r="U1338" s="32" t="str">
        <f aca="false">IF(OR(F1338="",C1338=""),"",IF(COUNTIF($C$2:C1338,C1338)=1,MAX($U$1:U1337)+1,""))</f>
        <v/>
      </c>
    </row>
    <row r="1339" customFormat="false" ht="15" hidden="false" customHeight="false" outlineLevel="0" collapsed="false">
      <c r="A1339" s="34"/>
      <c r="B1339" s="9"/>
      <c r="C1339" s="34"/>
      <c r="D1339" s="34"/>
      <c r="E1339" s="34"/>
      <c r="F1339" s="35"/>
      <c r="G1339" s="9"/>
      <c r="H1339" s="9"/>
      <c r="I1339" s="34"/>
      <c r="J1339" s="30" t="str">
        <f aca="false">IF(F1339="","",G1339-B1339)</f>
        <v/>
      </c>
      <c r="K1339" s="31" t="str">
        <f aca="false">IF(F1339="","",IF(H1339&lt;&gt;"",H1339,MAX('Vade Sapması'!$D$3,G1339)))</f>
        <v/>
      </c>
      <c r="L1339" s="30" t="str">
        <f aca="false">IF(F1339="","",K1339-B1339)</f>
        <v/>
      </c>
      <c r="M1339" s="30" t="str">
        <f aca="false">IF(F1339="","",L1339-J1339)</f>
        <v/>
      </c>
      <c r="N1339" s="32" t="str">
        <f aca="false">IF(F1339="","",IF(H1339&lt;&gt;"","Kapandı",IF('Vade Sapması'!$D$3&gt;G1339,"Açık · vadesi geçti","Açık · vadesi gelmedi")))</f>
        <v/>
      </c>
      <c r="O1339" s="30" t="str">
        <f aca="false">IF(F1339="","",IF(AND(H1339="",'Vade Sapması'!$D$3&gt;G1339),'Vade Sapması'!$D$3-G1339,0))</f>
        <v/>
      </c>
      <c r="P1339" s="33" t="str">
        <f aca="false">IF(F1339="","",F1339*J1339)</f>
        <v/>
      </c>
      <c r="Q1339" s="33" t="str">
        <f aca="false">IF(F1339="","",F1339*L1339)</f>
        <v/>
      </c>
      <c r="R1339" s="33" t="str">
        <f aca="false">IF(F1339="","",IF(H1339="",F1339,0))</f>
        <v/>
      </c>
      <c r="S1339" s="32" t="str">
        <f aca="false">IF(F1339="","",IF(N(O1339)=0,"",IF(O1339&lt;=30,"1-30",IF(O1339&lt;=60,"31-60",IF(O1339&lt;=90,"61-90","90+")))))</f>
        <v/>
      </c>
      <c r="T1339" s="32" t="str">
        <f aca="false">IF(F1339="","",IF(E1339="","Diğer",E1339))</f>
        <v/>
      </c>
      <c r="U1339" s="32" t="str">
        <f aca="false">IF(OR(F1339="",C1339=""),"",IF(COUNTIF($C$2:C1339,C1339)=1,MAX($U$1:U1338)+1,""))</f>
        <v/>
      </c>
    </row>
    <row r="1340" customFormat="false" ht="15" hidden="false" customHeight="false" outlineLevel="0" collapsed="false">
      <c r="A1340" s="34"/>
      <c r="B1340" s="9"/>
      <c r="C1340" s="34"/>
      <c r="D1340" s="34"/>
      <c r="E1340" s="34"/>
      <c r="F1340" s="35"/>
      <c r="G1340" s="9"/>
      <c r="H1340" s="9"/>
      <c r="I1340" s="34"/>
      <c r="J1340" s="30" t="str">
        <f aca="false">IF(F1340="","",G1340-B1340)</f>
        <v/>
      </c>
      <c r="K1340" s="31" t="str">
        <f aca="false">IF(F1340="","",IF(H1340&lt;&gt;"",H1340,MAX('Vade Sapması'!$D$3,G1340)))</f>
        <v/>
      </c>
      <c r="L1340" s="30" t="str">
        <f aca="false">IF(F1340="","",K1340-B1340)</f>
        <v/>
      </c>
      <c r="M1340" s="30" t="str">
        <f aca="false">IF(F1340="","",L1340-J1340)</f>
        <v/>
      </c>
      <c r="N1340" s="32" t="str">
        <f aca="false">IF(F1340="","",IF(H1340&lt;&gt;"","Kapandı",IF('Vade Sapması'!$D$3&gt;G1340,"Açık · vadesi geçti","Açık · vadesi gelmedi")))</f>
        <v/>
      </c>
      <c r="O1340" s="30" t="str">
        <f aca="false">IF(F1340="","",IF(AND(H1340="",'Vade Sapması'!$D$3&gt;G1340),'Vade Sapması'!$D$3-G1340,0))</f>
        <v/>
      </c>
      <c r="P1340" s="33" t="str">
        <f aca="false">IF(F1340="","",F1340*J1340)</f>
        <v/>
      </c>
      <c r="Q1340" s="33" t="str">
        <f aca="false">IF(F1340="","",F1340*L1340)</f>
        <v/>
      </c>
      <c r="R1340" s="33" t="str">
        <f aca="false">IF(F1340="","",IF(H1340="",F1340,0))</f>
        <v/>
      </c>
      <c r="S1340" s="32" t="str">
        <f aca="false">IF(F1340="","",IF(N(O1340)=0,"",IF(O1340&lt;=30,"1-30",IF(O1340&lt;=60,"31-60",IF(O1340&lt;=90,"61-90","90+")))))</f>
        <v/>
      </c>
      <c r="T1340" s="32" t="str">
        <f aca="false">IF(F1340="","",IF(E1340="","Diğer",E1340))</f>
        <v/>
      </c>
      <c r="U1340" s="32" t="str">
        <f aca="false">IF(OR(F1340="",C1340=""),"",IF(COUNTIF($C$2:C1340,C1340)=1,MAX($U$1:U1339)+1,""))</f>
        <v/>
      </c>
    </row>
    <row r="1341" customFormat="false" ht="15" hidden="false" customHeight="false" outlineLevel="0" collapsed="false">
      <c r="A1341" s="34"/>
      <c r="B1341" s="9"/>
      <c r="C1341" s="34"/>
      <c r="D1341" s="34"/>
      <c r="E1341" s="34"/>
      <c r="F1341" s="35"/>
      <c r="G1341" s="9"/>
      <c r="H1341" s="9"/>
      <c r="I1341" s="34"/>
      <c r="J1341" s="30" t="str">
        <f aca="false">IF(F1341="","",G1341-B1341)</f>
        <v/>
      </c>
      <c r="K1341" s="31" t="str">
        <f aca="false">IF(F1341="","",IF(H1341&lt;&gt;"",H1341,MAX('Vade Sapması'!$D$3,G1341)))</f>
        <v/>
      </c>
      <c r="L1341" s="30" t="str">
        <f aca="false">IF(F1341="","",K1341-B1341)</f>
        <v/>
      </c>
      <c r="M1341" s="30" t="str">
        <f aca="false">IF(F1341="","",L1341-J1341)</f>
        <v/>
      </c>
      <c r="N1341" s="32" t="str">
        <f aca="false">IF(F1341="","",IF(H1341&lt;&gt;"","Kapandı",IF('Vade Sapması'!$D$3&gt;G1341,"Açık · vadesi geçti","Açık · vadesi gelmedi")))</f>
        <v/>
      </c>
      <c r="O1341" s="30" t="str">
        <f aca="false">IF(F1341="","",IF(AND(H1341="",'Vade Sapması'!$D$3&gt;G1341),'Vade Sapması'!$D$3-G1341,0))</f>
        <v/>
      </c>
      <c r="P1341" s="33" t="str">
        <f aca="false">IF(F1341="","",F1341*J1341)</f>
        <v/>
      </c>
      <c r="Q1341" s="33" t="str">
        <f aca="false">IF(F1341="","",F1341*L1341)</f>
        <v/>
      </c>
      <c r="R1341" s="33" t="str">
        <f aca="false">IF(F1341="","",IF(H1341="",F1341,0))</f>
        <v/>
      </c>
      <c r="S1341" s="32" t="str">
        <f aca="false">IF(F1341="","",IF(N(O1341)=0,"",IF(O1341&lt;=30,"1-30",IF(O1341&lt;=60,"31-60",IF(O1341&lt;=90,"61-90","90+")))))</f>
        <v/>
      </c>
      <c r="T1341" s="32" t="str">
        <f aca="false">IF(F1341="","",IF(E1341="","Diğer",E1341))</f>
        <v/>
      </c>
      <c r="U1341" s="32" t="str">
        <f aca="false">IF(OR(F1341="",C1341=""),"",IF(COUNTIF($C$2:C1341,C1341)=1,MAX($U$1:U1340)+1,""))</f>
        <v/>
      </c>
    </row>
    <row r="1342" customFormat="false" ht="15" hidden="false" customHeight="false" outlineLevel="0" collapsed="false">
      <c r="A1342" s="34"/>
      <c r="B1342" s="9"/>
      <c r="C1342" s="34"/>
      <c r="D1342" s="34"/>
      <c r="E1342" s="34"/>
      <c r="F1342" s="35"/>
      <c r="G1342" s="9"/>
      <c r="H1342" s="9"/>
      <c r="I1342" s="34"/>
      <c r="J1342" s="30" t="str">
        <f aca="false">IF(F1342="","",G1342-B1342)</f>
        <v/>
      </c>
      <c r="K1342" s="31" t="str">
        <f aca="false">IF(F1342="","",IF(H1342&lt;&gt;"",H1342,MAX('Vade Sapması'!$D$3,G1342)))</f>
        <v/>
      </c>
      <c r="L1342" s="30" t="str">
        <f aca="false">IF(F1342="","",K1342-B1342)</f>
        <v/>
      </c>
      <c r="M1342" s="30" t="str">
        <f aca="false">IF(F1342="","",L1342-J1342)</f>
        <v/>
      </c>
      <c r="N1342" s="32" t="str">
        <f aca="false">IF(F1342="","",IF(H1342&lt;&gt;"","Kapandı",IF('Vade Sapması'!$D$3&gt;G1342,"Açık · vadesi geçti","Açık · vadesi gelmedi")))</f>
        <v/>
      </c>
      <c r="O1342" s="30" t="str">
        <f aca="false">IF(F1342="","",IF(AND(H1342="",'Vade Sapması'!$D$3&gt;G1342),'Vade Sapması'!$D$3-G1342,0))</f>
        <v/>
      </c>
      <c r="P1342" s="33" t="str">
        <f aca="false">IF(F1342="","",F1342*J1342)</f>
        <v/>
      </c>
      <c r="Q1342" s="33" t="str">
        <f aca="false">IF(F1342="","",F1342*L1342)</f>
        <v/>
      </c>
      <c r="R1342" s="33" t="str">
        <f aca="false">IF(F1342="","",IF(H1342="",F1342,0))</f>
        <v/>
      </c>
      <c r="S1342" s="32" t="str">
        <f aca="false">IF(F1342="","",IF(N(O1342)=0,"",IF(O1342&lt;=30,"1-30",IF(O1342&lt;=60,"31-60",IF(O1342&lt;=90,"61-90","90+")))))</f>
        <v/>
      </c>
      <c r="T1342" s="32" t="str">
        <f aca="false">IF(F1342="","",IF(E1342="","Diğer",E1342))</f>
        <v/>
      </c>
      <c r="U1342" s="32" t="str">
        <f aca="false">IF(OR(F1342="",C1342=""),"",IF(COUNTIF($C$2:C1342,C1342)=1,MAX($U$1:U1341)+1,""))</f>
        <v/>
      </c>
    </row>
    <row r="1343" customFormat="false" ht="15" hidden="false" customHeight="false" outlineLevel="0" collapsed="false">
      <c r="A1343" s="34"/>
      <c r="B1343" s="9"/>
      <c r="C1343" s="34"/>
      <c r="D1343" s="34"/>
      <c r="E1343" s="34"/>
      <c r="F1343" s="35"/>
      <c r="G1343" s="9"/>
      <c r="H1343" s="9"/>
      <c r="I1343" s="34"/>
      <c r="J1343" s="30" t="str">
        <f aca="false">IF(F1343="","",G1343-B1343)</f>
        <v/>
      </c>
      <c r="K1343" s="31" t="str">
        <f aca="false">IF(F1343="","",IF(H1343&lt;&gt;"",H1343,MAX('Vade Sapması'!$D$3,G1343)))</f>
        <v/>
      </c>
      <c r="L1343" s="30" t="str">
        <f aca="false">IF(F1343="","",K1343-B1343)</f>
        <v/>
      </c>
      <c r="M1343" s="30" t="str">
        <f aca="false">IF(F1343="","",L1343-J1343)</f>
        <v/>
      </c>
      <c r="N1343" s="32" t="str">
        <f aca="false">IF(F1343="","",IF(H1343&lt;&gt;"","Kapandı",IF('Vade Sapması'!$D$3&gt;G1343,"Açık · vadesi geçti","Açık · vadesi gelmedi")))</f>
        <v/>
      </c>
      <c r="O1343" s="30" t="str">
        <f aca="false">IF(F1343="","",IF(AND(H1343="",'Vade Sapması'!$D$3&gt;G1343),'Vade Sapması'!$D$3-G1343,0))</f>
        <v/>
      </c>
      <c r="P1343" s="33" t="str">
        <f aca="false">IF(F1343="","",F1343*J1343)</f>
        <v/>
      </c>
      <c r="Q1343" s="33" t="str">
        <f aca="false">IF(F1343="","",F1343*L1343)</f>
        <v/>
      </c>
      <c r="R1343" s="33" t="str">
        <f aca="false">IF(F1343="","",IF(H1343="",F1343,0))</f>
        <v/>
      </c>
      <c r="S1343" s="32" t="str">
        <f aca="false">IF(F1343="","",IF(N(O1343)=0,"",IF(O1343&lt;=30,"1-30",IF(O1343&lt;=60,"31-60",IF(O1343&lt;=90,"61-90","90+")))))</f>
        <v/>
      </c>
      <c r="T1343" s="32" t="str">
        <f aca="false">IF(F1343="","",IF(E1343="","Diğer",E1343))</f>
        <v/>
      </c>
      <c r="U1343" s="32" t="str">
        <f aca="false">IF(OR(F1343="",C1343=""),"",IF(COUNTIF($C$2:C1343,C1343)=1,MAX($U$1:U1342)+1,""))</f>
        <v/>
      </c>
    </row>
    <row r="1344" customFormat="false" ht="15" hidden="false" customHeight="false" outlineLevel="0" collapsed="false">
      <c r="A1344" s="34"/>
      <c r="B1344" s="9"/>
      <c r="C1344" s="34"/>
      <c r="D1344" s="34"/>
      <c r="E1344" s="34"/>
      <c r="F1344" s="35"/>
      <c r="G1344" s="9"/>
      <c r="H1344" s="9"/>
      <c r="I1344" s="34"/>
      <c r="J1344" s="30" t="str">
        <f aca="false">IF(F1344="","",G1344-B1344)</f>
        <v/>
      </c>
      <c r="K1344" s="31" t="str">
        <f aca="false">IF(F1344="","",IF(H1344&lt;&gt;"",H1344,MAX('Vade Sapması'!$D$3,G1344)))</f>
        <v/>
      </c>
      <c r="L1344" s="30" t="str">
        <f aca="false">IF(F1344="","",K1344-B1344)</f>
        <v/>
      </c>
      <c r="M1344" s="30" t="str">
        <f aca="false">IF(F1344="","",L1344-J1344)</f>
        <v/>
      </c>
      <c r="N1344" s="32" t="str">
        <f aca="false">IF(F1344="","",IF(H1344&lt;&gt;"","Kapandı",IF('Vade Sapması'!$D$3&gt;G1344,"Açık · vadesi geçti","Açık · vadesi gelmedi")))</f>
        <v/>
      </c>
      <c r="O1344" s="30" t="str">
        <f aca="false">IF(F1344="","",IF(AND(H1344="",'Vade Sapması'!$D$3&gt;G1344),'Vade Sapması'!$D$3-G1344,0))</f>
        <v/>
      </c>
      <c r="P1344" s="33" t="str">
        <f aca="false">IF(F1344="","",F1344*J1344)</f>
        <v/>
      </c>
      <c r="Q1344" s="33" t="str">
        <f aca="false">IF(F1344="","",F1344*L1344)</f>
        <v/>
      </c>
      <c r="R1344" s="33" t="str">
        <f aca="false">IF(F1344="","",IF(H1344="",F1344,0))</f>
        <v/>
      </c>
      <c r="S1344" s="32" t="str">
        <f aca="false">IF(F1344="","",IF(N(O1344)=0,"",IF(O1344&lt;=30,"1-30",IF(O1344&lt;=60,"31-60",IF(O1344&lt;=90,"61-90","90+")))))</f>
        <v/>
      </c>
      <c r="T1344" s="32" t="str">
        <f aca="false">IF(F1344="","",IF(E1344="","Diğer",E1344))</f>
        <v/>
      </c>
      <c r="U1344" s="32" t="str">
        <f aca="false">IF(OR(F1344="",C1344=""),"",IF(COUNTIF($C$2:C1344,C1344)=1,MAX($U$1:U1343)+1,""))</f>
        <v/>
      </c>
    </row>
    <row r="1345" customFormat="false" ht="15" hidden="false" customHeight="false" outlineLevel="0" collapsed="false">
      <c r="A1345" s="34"/>
      <c r="B1345" s="9"/>
      <c r="C1345" s="34"/>
      <c r="D1345" s="34"/>
      <c r="E1345" s="34"/>
      <c r="F1345" s="35"/>
      <c r="G1345" s="9"/>
      <c r="H1345" s="9"/>
      <c r="I1345" s="34"/>
      <c r="J1345" s="30" t="str">
        <f aca="false">IF(F1345="","",G1345-B1345)</f>
        <v/>
      </c>
      <c r="K1345" s="31" t="str">
        <f aca="false">IF(F1345="","",IF(H1345&lt;&gt;"",H1345,MAX('Vade Sapması'!$D$3,G1345)))</f>
        <v/>
      </c>
      <c r="L1345" s="30" t="str">
        <f aca="false">IF(F1345="","",K1345-B1345)</f>
        <v/>
      </c>
      <c r="M1345" s="30" t="str">
        <f aca="false">IF(F1345="","",L1345-J1345)</f>
        <v/>
      </c>
      <c r="N1345" s="32" t="str">
        <f aca="false">IF(F1345="","",IF(H1345&lt;&gt;"","Kapandı",IF('Vade Sapması'!$D$3&gt;G1345,"Açık · vadesi geçti","Açık · vadesi gelmedi")))</f>
        <v/>
      </c>
      <c r="O1345" s="30" t="str">
        <f aca="false">IF(F1345="","",IF(AND(H1345="",'Vade Sapması'!$D$3&gt;G1345),'Vade Sapması'!$D$3-G1345,0))</f>
        <v/>
      </c>
      <c r="P1345" s="33" t="str">
        <f aca="false">IF(F1345="","",F1345*J1345)</f>
        <v/>
      </c>
      <c r="Q1345" s="33" t="str">
        <f aca="false">IF(F1345="","",F1345*L1345)</f>
        <v/>
      </c>
      <c r="R1345" s="33" t="str">
        <f aca="false">IF(F1345="","",IF(H1345="",F1345,0))</f>
        <v/>
      </c>
      <c r="S1345" s="32" t="str">
        <f aca="false">IF(F1345="","",IF(N(O1345)=0,"",IF(O1345&lt;=30,"1-30",IF(O1345&lt;=60,"31-60",IF(O1345&lt;=90,"61-90","90+")))))</f>
        <v/>
      </c>
      <c r="T1345" s="32" t="str">
        <f aca="false">IF(F1345="","",IF(E1345="","Diğer",E1345))</f>
        <v/>
      </c>
      <c r="U1345" s="32" t="str">
        <f aca="false">IF(OR(F1345="",C1345=""),"",IF(COUNTIF($C$2:C1345,C1345)=1,MAX($U$1:U1344)+1,""))</f>
        <v/>
      </c>
    </row>
    <row r="1346" customFormat="false" ht="15" hidden="false" customHeight="false" outlineLevel="0" collapsed="false">
      <c r="A1346" s="34"/>
      <c r="B1346" s="9"/>
      <c r="C1346" s="34"/>
      <c r="D1346" s="34"/>
      <c r="E1346" s="34"/>
      <c r="F1346" s="35"/>
      <c r="G1346" s="9"/>
      <c r="H1346" s="9"/>
      <c r="I1346" s="34"/>
      <c r="J1346" s="30" t="str">
        <f aca="false">IF(F1346="","",G1346-B1346)</f>
        <v/>
      </c>
      <c r="K1346" s="31" t="str">
        <f aca="false">IF(F1346="","",IF(H1346&lt;&gt;"",H1346,MAX('Vade Sapması'!$D$3,G1346)))</f>
        <v/>
      </c>
      <c r="L1346" s="30" t="str">
        <f aca="false">IF(F1346="","",K1346-B1346)</f>
        <v/>
      </c>
      <c r="M1346" s="30" t="str">
        <f aca="false">IF(F1346="","",L1346-J1346)</f>
        <v/>
      </c>
      <c r="N1346" s="32" t="str">
        <f aca="false">IF(F1346="","",IF(H1346&lt;&gt;"","Kapandı",IF('Vade Sapması'!$D$3&gt;G1346,"Açık · vadesi geçti","Açık · vadesi gelmedi")))</f>
        <v/>
      </c>
      <c r="O1346" s="30" t="str">
        <f aca="false">IF(F1346="","",IF(AND(H1346="",'Vade Sapması'!$D$3&gt;G1346),'Vade Sapması'!$D$3-G1346,0))</f>
        <v/>
      </c>
      <c r="P1346" s="33" t="str">
        <f aca="false">IF(F1346="","",F1346*J1346)</f>
        <v/>
      </c>
      <c r="Q1346" s="33" t="str">
        <f aca="false">IF(F1346="","",F1346*L1346)</f>
        <v/>
      </c>
      <c r="R1346" s="33" t="str">
        <f aca="false">IF(F1346="","",IF(H1346="",F1346,0))</f>
        <v/>
      </c>
      <c r="S1346" s="32" t="str">
        <f aca="false">IF(F1346="","",IF(N(O1346)=0,"",IF(O1346&lt;=30,"1-30",IF(O1346&lt;=60,"31-60",IF(O1346&lt;=90,"61-90","90+")))))</f>
        <v/>
      </c>
      <c r="T1346" s="32" t="str">
        <f aca="false">IF(F1346="","",IF(E1346="","Diğer",E1346))</f>
        <v/>
      </c>
      <c r="U1346" s="32" t="str">
        <f aca="false">IF(OR(F1346="",C1346=""),"",IF(COUNTIF($C$2:C1346,C1346)=1,MAX($U$1:U1345)+1,""))</f>
        <v/>
      </c>
    </row>
    <row r="1347" customFormat="false" ht="15" hidden="false" customHeight="false" outlineLevel="0" collapsed="false">
      <c r="A1347" s="34"/>
      <c r="B1347" s="9"/>
      <c r="C1347" s="34"/>
      <c r="D1347" s="34"/>
      <c r="E1347" s="34"/>
      <c r="F1347" s="35"/>
      <c r="G1347" s="9"/>
      <c r="H1347" s="9"/>
      <c r="I1347" s="34"/>
      <c r="J1347" s="30" t="str">
        <f aca="false">IF(F1347="","",G1347-B1347)</f>
        <v/>
      </c>
      <c r="K1347" s="31" t="str">
        <f aca="false">IF(F1347="","",IF(H1347&lt;&gt;"",H1347,MAX('Vade Sapması'!$D$3,G1347)))</f>
        <v/>
      </c>
      <c r="L1347" s="30" t="str">
        <f aca="false">IF(F1347="","",K1347-B1347)</f>
        <v/>
      </c>
      <c r="M1347" s="30" t="str">
        <f aca="false">IF(F1347="","",L1347-J1347)</f>
        <v/>
      </c>
      <c r="N1347" s="32" t="str">
        <f aca="false">IF(F1347="","",IF(H1347&lt;&gt;"","Kapandı",IF('Vade Sapması'!$D$3&gt;G1347,"Açık · vadesi geçti","Açık · vadesi gelmedi")))</f>
        <v/>
      </c>
      <c r="O1347" s="30" t="str">
        <f aca="false">IF(F1347="","",IF(AND(H1347="",'Vade Sapması'!$D$3&gt;G1347),'Vade Sapması'!$D$3-G1347,0))</f>
        <v/>
      </c>
      <c r="P1347" s="33" t="str">
        <f aca="false">IF(F1347="","",F1347*J1347)</f>
        <v/>
      </c>
      <c r="Q1347" s="33" t="str">
        <f aca="false">IF(F1347="","",F1347*L1347)</f>
        <v/>
      </c>
      <c r="R1347" s="33" t="str">
        <f aca="false">IF(F1347="","",IF(H1347="",F1347,0))</f>
        <v/>
      </c>
      <c r="S1347" s="32" t="str">
        <f aca="false">IF(F1347="","",IF(N(O1347)=0,"",IF(O1347&lt;=30,"1-30",IF(O1347&lt;=60,"31-60",IF(O1347&lt;=90,"61-90","90+")))))</f>
        <v/>
      </c>
      <c r="T1347" s="32" t="str">
        <f aca="false">IF(F1347="","",IF(E1347="","Diğer",E1347))</f>
        <v/>
      </c>
      <c r="U1347" s="32" t="str">
        <f aca="false">IF(OR(F1347="",C1347=""),"",IF(COUNTIF($C$2:C1347,C1347)=1,MAX($U$1:U1346)+1,""))</f>
        <v/>
      </c>
    </row>
    <row r="1348" customFormat="false" ht="15" hidden="false" customHeight="false" outlineLevel="0" collapsed="false">
      <c r="A1348" s="34"/>
      <c r="B1348" s="9"/>
      <c r="C1348" s="34"/>
      <c r="D1348" s="34"/>
      <c r="E1348" s="34"/>
      <c r="F1348" s="35"/>
      <c r="G1348" s="9"/>
      <c r="H1348" s="9"/>
      <c r="I1348" s="34"/>
      <c r="J1348" s="30" t="str">
        <f aca="false">IF(F1348="","",G1348-B1348)</f>
        <v/>
      </c>
      <c r="K1348" s="31" t="str">
        <f aca="false">IF(F1348="","",IF(H1348&lt;&gt;"",H1348,MAX('Vade Sapması'!$D$3,G1348)))</f>
        <v/>
      </c>
      <c r="L1348" s="30" t="str">
        <f aca="false">IF(F1348="","",K1348-B1348)</f>
        <v/>
      </c>
      <c r="M1348" s="30" t="str">
        <f aca="false">IF(F1348="","",L1348-J1348)</f>
        <v/>
      </c>
      <c r="N1348" s="32" t="str">
        <f aca="false">IF(F1348="","",IF(H1348&lt;&gt;"","Kapandı",IF('Vade Sapması'!$D$3&gt;G1348,"Açık · vadesi geçti","Açık · vadesi gelmedi")))</f>
        <v/>
      </c>
      <c r="O1348" s="30" t="str">
        <f aca="false">IF(F1348="","",IF(AND(H1348="",'Vade Sapması'!$D$3&gt;G1348),'Vade Sapması'!$D$3-G1348,0))</f>
        <v/>
      </c>
      <c r="P1348" s="33" t="str">
        <f aca="false">IF(F1348="","",F1348*J1348)</f>
        <v/>
      </c>
      <c r="Q1348" s="33" t="str">
        <f aca="false">IF(F1348="","",F1348*L1348)</f>
        <v/>
      </c>
      <c r="R1348" s="33" t="str">
        <f aca="false">IF(F1348="","",IF(H1348="",F1348,0))</f>
        <v/>
      </c>
      <c r="S1348" s="32" t="str">
        <f aca="false">IF(F1348="","",IF(N(O1348)=0,"",IF(O1348&lt;=30,"1-30",IF(O1348&lt;=60,"31-60",IF(O1348&lt;=90,"61-90","90+")))))</f>
        <v/>
      </c>
      <c r="T1348" s="32" t="str">
        <f aca="false">IF(F1348="","",IF(E1348="","Diğer",E1348))</f>
        <v/>
      </c>
      <c r="U1348" s="32" t="str">
        <f aca="false">IF(OR(F1348="",C1348=""),"",IF(COUNTIF($C$2:C1348,C1348)=1,MAX($U$1:U1347)+1,""))</f>
        <v/>
      </c>
    </row>
    <row r="1349" customFormat="false" ht="15" hidden="false" customHeight="false" outlineLevel="0" collapsed="false">
      <c r="A1349" s="34"/>
      <c r="B1349" s="9"/>
      <c r="C1349" s="34"/>
      <c r="D1349" s="34"/>
      <c r="E1349" s="34"/>
      <c r="F1349" s="35"/>
      <c r="G1349" s="9"/>
      <c r="H1349" s="9"/>
      <c r="I1349" s="34"/>
      <c r="J1349" s="30" t="str">
        <f aca="false">IF(F1349="","",G1349-B1349)</f>
        <v/>
      </c>
      <c r="K1349" s="31" t="str">
        <f aca="false">IF(F1349="","",IF(H1349&lt;&gt;"",H1349,MAX('Vade Sapması'!$D$3,G1349)))</f>
        <v/>
      </c>
      <c r="L1349" s="30" t="str">
        <f aca="false">IF(F1349="","",K1349-B1349)</f>
        <v/>
      </c>
      <c r="M1349" s="30" t="str">
        <f aca="false">IF(F1349="","",L1349-J1349)</f>
        <v/>
      </c>
      <c r="N1349" s="32" t="str">
        <f aca="false">IF(F1349="","",IF(H1349&lt;&gt;"","Kapandı",IF('Vade Sapması'!$D$3&gt;G1349,"Açık · vadesi geçti","Açık · vadesi gelmedi")))</f>
        <v/>
      </c>
      <c r="O1349" s="30" t="str">
        <f aca="false">IF(F1349="","",IF(AND(H1349="",'Vade Sapması'!$D$3&gt;G1349),'Vade Sapması'!$D$3-G1349,0))</f>
        <v/>
      </c>
      <c r="P1349" s="33" t="str">
        <f aca="false">IF(F1349="","",F1349*J1349)</f>
        <v/>
      </c>
      <c r="Q1349" s="33" t="str">
        <f aca="false">IF(F1349="","",F1349*L1349)</f>
        <v/>
      </c>
      <c r="R1349" s="33" t="str">
        <f aca="false">IF(F1349="","",IF(H1349="",F1349,0))</f>
        <v/>
      </c>
      <c r="S1349" s="32" t="str">
        <f aca="false">IF(F1349="","",IF(N(O1349)=0,"",IF(O1349&lt;=30,"1-30",IF(O1349&lt;=60,"31-60",IF(O1349&lt;=90,"61-90","90+")))))</f>
        <v/>
      </c>
      <c r="T1349" s="32" t="str">
        <f aca="false">IF(F1349="","",IF(E1349="","Diğer",E1349))</f>
        <v/>
      </c>
      <c r="U1349" s="32" t="str">
        <f aca="false">IF(OR(F1349="",C1349=""),"",IF(COUNTIF($C$2:C1349,C1349)=1,MAX($U$1:U1348)+1,""))</f>
        <v/>
      </c>
    </row>
    <row r="1350" customFormat="false" ht="15" hidden="false" customHeight="false" outlineLevel="0" collapsed="false">
      <c r="A1350" s="34"/>
      <c r="B1350" s="9"/>
      <c r="C1350" s="34"/>
      <c r="D1350" s="34"/>
      <c r="E1350" s="34"/>
      <c r="F1350" s="35"/>
      <c r="G1350" s="9"/>
      <c r="H1350" s="9"/>
      <c r="I1350" s="34"/>
      <c r="J1350" s="30" t="str">
        <f aca="false">IF(F1350="","",G1350-B1350)</f>
        <v/>
      </c>
      <c r="K1350" s="31" t="str">
        <f aca="false">IF(F1350="","",IF(H1350&lt;&gt;"",H1350,MAX('Vade Sapması'!$D$3,G1350)))</f>
        <v/>
      </c>
      <c r="L1350" s="30" t="str">
        <f aca="false">IF(F1350="","",K1350-B1350)</f>
        <v/>
      </c>
      <c r="M1350" s="30" t="str">
        <f aca="false">IF(F1350="","",L1350-J1350)</f>
        <v/>
      </c>
      <c r="N1350" s="32" t="str">
        <f aca="false">IF(F1350="","",IF(H1350&lt;&gt;"","Kapandı",IF('Vade Sapması'!$D$3&gt;G1350,"Açık · vadesi geçti","Açık · vadesi gelmedi")))</f>
        <v/>
      </c>
      <c r="O1350" s="30" t="str">
        <f aca="false">IF(F1350="","",IF(AND(H1350="",'Vade Sapması'!$D$3&gt;G1350),'Vade Sapması'!$D$3-G1350,0))</f>
        <v/>
      </c>
      <c r="P1350" s="33" t="str">
        <f aca="false">IF(F1350="","",F1350*J1350)</f>
        <v/>
      </c>
      <c r="Q1350" s="33" t="str">
        <f aca="false">IF(F1350="","",F1350*L1350)</f>
        <v/>
      </c>
      <c r="R1350" s="33" t="str">
        <f aca="false">IF(F1350="","",IF(H1350="",F1350,0))</f>
        <v/>
      </c>
      <c r="S1350" s="32" t="str">
        <f aca="false">IF(F1350="","",IF(N(O1350)=0,"",IF(O1350&lt;=30,"1-30",IF(O1350&lt;=60,"31-60",IF(O1350&lt;=90,"61-90","90+")))))</f>
        <v/>
      </c>
      <c r="T1350" s="32" t="str">
        <f aca="false">IF(F1350="","",IF(E1350="","Diğer",E1350))</f>
        <v/>
      </c>
      <c r="U1350" s="32" t="str">
        <f aca="false">IF(OR(F1350="",C1350=""),"",IF(COUNTIF($C$2:C1350,C1350)=1,MAX($U$1:U1349)+1,""))</f>
        <v/>
      </c>
    </row>
    <row r="1351" customFormat="false" ht="15" hidden="false" customHeight="false" outlineLevel="0" collapsed="false">
      <c r="A1351" s="34"/>
      <c r="B1351" s="9"/>
      <c r="C1351" s="34"/>
      <c r="D1351" s="34"/>
      <c r="E1351" s="34"/>
      <c r="F1351" s="35"/>
      <c r="G1351" s="9"/>
      <c r="H1351" s="9"/>
      <c r="I1351" s="34"/>
      <c r="J1351" s="30" t="str">
        <f aca="false">IF(F1351="","",G1351-B1351)</f>
        <v/>
      </c>
      <c r="K1351" s="31" t="str">
        <f aca="false">IF(F1351="","",IF(H1351&lt;&gt;"",H1351,MAX('Vade Sapması'!$D$3,G1351)))</f>
        <v/>
      </c>
      <c r="L1351" s="30" t="str">
        <f aca="false">IF(F1351="","",K1351-B1351)</f>
        <v/>
      </c>
      <c r="M1351" s="30" t="str">
        <f aca="false">IF(F1351="","",L1351-J1351)</f>
        <v/>
      </c>
      <c r="N1351" s="32" t="str">
        <f aca="false">IF(F1351="","",IF(H1351&lt;&gt;"","Kapandı",IF('Vade Sapması'!$D$3&gt;G1351,"Açık · vadesi geçti","Açık · vadesi gelmedi")))</f>
        <v/>
      </c>
      <c r="O1351" s="30" t="str">
        <f aca="false">IF(F1351="","",IF(AND(H1351="",'Vade Sapması'!$D$3&gt;G1351),'Vade Sapması'!$D$3-G1351,0))</f>
        <v/>
      </c>
      <c r="P1351" s="33" t="str">
        <f aca="false">IF(F1351="","",F1351*J1351)</f>
        <v/>
      </c>
      <c r="Q1351" s="33" t="str">
        <f aca="false">IF(F1351="","",F1351*L1351)</f>
        <v/>
      </c>
      <c r="R1351" s="33" t="str">
        <f aca="false">IF(F1351="","",IF(H1351="",F1351,0))</f>
        <v/>
      </c>
      <c r="S1351" s="32" t="str">
        <f aca="false">IF(F1351="","",IF(N(O1351)=0,"",IF(O1351&lt;=30,"1-30",IF(O1351&lt;=60,"31-60",IF(O1351&lt;=90,"61-90","90+")))))</f>
        <v/>
      </c>
      <c r="T1351" s="32" t="str">
        <f aca="false">IF(F1351="","",IF(E1351="","Diğer",E1351))</f>
        <v/>
      </c>
      <c r="U1351" s="32" t="str">
        <f aca="false">IF(OR(F1351="",C1351=""),"",IF(COUNTIF($C$2:C1351,C1351)=1,MAX($U$1:U1350)+1,""))</f>
        <v/>
      </c>
    </row>
    <row r="1352" customFormat="false" ht="15" hidden="false" customHeight="false" outlineLevel="0" collapsed="false">
      <c r="A1352" s="34"/>
      <c r="B1352" s="9"/>
      <c r="C1352" s="34"/>
      <c r="D1352" s="34"/>
      <c r="E1352" s="34"/>
      <c r="F1352" s="35"/>
      <c r="G1352" s="9"/>
      <c r="H1352" s="9"/>
      <c r="I1352" s="34"/>
      <c r="J1352" s="30" t="str">
        <f aca="false">IF(F1352="","",G1352-B1352)</f>
        <v/>
      </c>
      <c r="K1352" s="31" t="str">
        <f aca="false">IF(F1352="","",IF(H1352&lt;&gt;"",H1352,MAX('Vade Sapması'!$D$3,G1352)))</f>
        <v/>
      </c>
      <c r="L1352" s="30" t="str">
        <f aca="false">IF(F1352="","",K1352-B1352)</f>
        <v/>
      </c>
      <c r="M1352" s="30" t="str">
        <f aca="false">IF(F1352="","",L1352-J1352)</f>
        <v/>
      </c>
      <c r="N1352" s="32" t="str">
        <f aca="false">IF(F1352="","",IF(H1352&lt;&gt;"","Kapandı",IF('Vade Sapması'!$D$3&gt;G1352,"Açık · vadesi geçti","Açık · vadesi gelmedi")))</f>
        <v/>
      </c>
      <c r="O1352" s="30" t="str">
        <f aca="false">IF(F1352="","",IF(AND(H1352="",'Vade Sapması'!$D$3&gt;G1352),'Vade Sapması'!$D$3-G1352,0))</f>
        <v/>
      </c>
      <c r="P1352" s="33" t="str">
        <f aca="false">IF(F1352="","",F1352*J1352)</f>
        <v/>
      </c>
      <c r="Q1352" s="33" t="str">
        <f aca="false">IF(F1352="","",F1352*L1352)</f>
        <v/>
      </c>
      <c r="R1352" s="33" t="str">
        <f aca="false">IF(F1352="","",IF(H1352="",F1352,0))</f>
        <v/>
      </c>
      <c r="S1352" s="32" t="str">
        <f aca="false">IF(F1352="","",IF(N(O1352)=0,"",IF(O1352&lt;=30,"1-30",IF(O1352&lt;=60,"31-60",IF(O1352&lt;=90,"61-90","90+")))))</f>
        <v/>
      </c>
      <c r="T1352" s="32" t="str">
        <f aca="false">IF(F1352="","",IF(E1352="","Diğer",E1352))</f>
        <v/>
      </c>
      <c r="U1352" s="32" t="str">
        <f aca="false">IF(OR(F1352="",C1352=""),"",IF(COUNTIF($C$2:C1352,C1352)=1,MAX($U$1:U1351)+1,""))</f>
        <v/>
      </c>
    </row>
    <row r="1353" customFormat="false" ht="15" hidden="false" customHeight="false" outlineLevel="0" collapsed="false">
      <c r="A1353" s="34"/>
      <c r="B1353" s="9"/>
      <c r="C1353" s="34"/>
      <c r="D1353" s="34"/>
      <c r="E1353" s="34"/>
      <c r="F1353" s="35"/>
      <c r="G1353" s="9"/>
      <c r="H1353" s="9"/>
      <c r="I1353" s="34"/>
      <c r="J1353" s="30" t="str">
        <f aca="false">IF(F1353="","",G1353-B1353)</f>
        <v/>
      </c>
      <c r="K1353" s="31" t="str">
        <f aca="false">IF(F1353="","",IF(H1353&lt;&gt;"",H1353,MAX('Vade Sapması'!$D$3,G1353)))</f>
        <v/>
      </c>
      <c r="L1353" s="30" t="str">
        <f aca="false">IF(F1353="","",K1353-B1353)</f>
        <v/>
      </c>
      <c r="M1353" s="30" t="str">
        <f aca="false">IF(F1353="","",L1353-J1353)</f>
        <v/>
      </c>
      <c r="N1353" s="32" t="str">
        <f aca="false">IF(F1353="","",IF(H1353&lt;&gt;"","Kapandı",IF('Vade Sapması'!$D$3&gt;G1353,"Açık · vadesi geçti","Açık · vadesi gelmedi")))</f>
        <v/>
      </c>
      <c r="O1353" s="30" t="str">
        <f aca="false">IF(F1353="","",IF(AND(H1353="",'Vade Sapması'!$D$3&gt;G1353),'Vade Sapması'!$D$3-G1353,0))</f>
        <v/>
      </c>
      <c r="P1353" s="33" t="str">
        <f aca="false">IF(F1353="","",F1353*J1353)</f>
        <v/>
      </c>
      <c r="Q1353" s="33" t="str">
        <f aca="false">IF(F1353="","",F1353*L1353)</f>
        <v/>
      </c>
      <c r="R1353" s="33" t="str">
        <f aca="false">IF(F1353="","",IF(H1353="",F1353,0))</f>
        <v/>
      </c>
      <c r="S1353" s="32" t="str">
        <f aca="false">IF(F1353="","",IF(N(O1353)=0,"",IF(O1353&lt;=30,"1-30",IF(O1353&lt;=60,"31-60",IF(O1353&lt;=90,"61-90","90+")))))</f>
        <v/>
      </c>
      <c r="T1353" s="32" t="str">
        <f aca="false">IF(F1353="","",IF(E1353="","Diğer",E1353))</f>
        <v/>
      </c>
      <c r="U1353" s="32" t="str">
        <f aca="false">IF(OR(F1353="",C1353=""),"",IF(COUNTIF($C$2:C1353,C1353)=1,MAX($U$1:U1352)+1,""))</f>
        <v/>
      </c>
    </row>
    <row r="1354" customFormat="false" ht="15" hidden="false" customHeight="false" outlineLevel="0" collapsed="false">
      <c r="A1354" s="34"/>
      <c r="B1354" s="9"/>
      <c r="C1354" s="34"/>
      <c r="D1354" s="34"/>
      <c r="E1354" s="34"/>
      <c r="F1354" s="35"/>
      <c r="G1354" s="9"/>
      <c r="H1354" s="9"/>
      <c r="I1354" s="34"/>
      <c r="J1354" s="30" t="str">
        <f aca="false">IF(F1354="","",G1354-B1354)</f>
        <v/>
      </c>
      <c r="K1354" s="31" t="str">
        <f aca="false">IF(F1354="","",IF(H1354&lt;&gt;"",H1354,MAX('Vade Sapması'!$D$3,G1354)))</f>
        <v/>
      </c>
      <c r="L1354" s="30" t="str">
        <f aca="false">IF(F1354="","",K1354-B1354)</f>
        <v/>
      </c>
      <c r="M1354" s="30" t="str">
        <f aca="false">IF(F1354="","",L1354-J1354)</f>
        <v/>
      </c>
      <c r="N1354" s="32" t="str">
        <f aca="false">IF(F1354="","",IF(H1354&lt;&gt;"","Kapandı",IF('Vade Sapması'!$D$3&gt;G1354,"Açık · vadesi geçti","Açık · vadesi gelmedi")))</f>
        <v/>
      </c>
      <c r="O1354" s="30" t="str">
        <f aca="false">IF(F1354="","",IF(AND(H1354="",'Vade Sapması'!$D$3&gt;G1354),'Vade Sapması'!$D$3-G1354,0))</f>
        <v/>
      </c>
      <c r="P1354" s="33" t="str">
        <f aca="false">IF(F1354="","",F1354*J1354)</f>
        <v/>
      </c>
      <c r="Q1354" s="33" t="str">
        <f aca="false">IF(F1354="","",F1354*L1354)</f>
        <v/>
      </c>
      <c r="R1354" s="33" t="str">
        <f aca="false">IF(F1354="","",IF(H1354="",F1354,0))</f>
        <v/>
      </c>
      <c r="S1354" s="32" t="str">
        <f aca="false">IF(F1354="","",IF(N(O1354)=0,"",IF(O1354&lt;=30,"1-30",IF(O1354&lt;=60,"31-60",IF(O1354&lt;=90,"61-90","90+")))))</f>
        <v/>
      </c>
      <c r="T1354" s="32" t="str">
        <f aca="false">IF(F1354="","",IF(E1354="","Diğer",E1354))</f>
        <v/>
      </c>
      <c r="U1354" s="32" t="str">
        <f aca="false">IF(OR(F1354="",C1354=""),"",IF(COUNTIF($C$2:C1354,C1354)=1,MAX($U$1:U1353)+1,""))</f>
        <v/>
      </c>
    </row>
    <row r="1355" customFormat="false" ht="15" hidden="false" customHeight="false" outlineLevel="0" collapsed="false">
      <c r="A1355" s="34"/>
      <c r="B1355" s="9"/>
      <c r="C1355" s="34"/>
      <c r="D1355" s="34"/>
      <c r="E1355" s="34"/>
      <c r="F1355" s="35"/>
      <c r="G1355" s="9"/>
      <c r="H1355" s="9"/>
      <c r="I1355" s="34"/>
      <c r="J1355" s="30" t="str">
        <f aca="false">IF(F1355="","",G1355-B1355)</f>
        <v/>
      </c>
      <c r="K1355" s="31" t="str">
        <f aca="false">IF(F1355="","",IF(H1355&lt;&gt;"",H1355,MAX('Vade Sapması'!$D$3,G1355)))</f>
        <v/>
      </c>
      <c r="L1355" s="30" t="str">
        <f aca="false">IF(F1355="","",K1355-B1355)</f>
        <v/>
      </c>
      <c r="M1355" s="30" t="str">
        <f aca="false">IF(F1355="","",L1355-J1355)</f>
        <v/>
      </c>
      <c r="N1355" s="32" t="str">
        <f aca="false">IF(F1355="","",IF(H1355&lt;&gt;"","Kapandı",IF('Vade Sapması'!$D$3&gt;G1355,"Açık · vadesi geçti","Açık · vadesi gelmedi")))</f>
        <v/>
      </c>
      <c r="O1355" s="30" t="str">
        <f aca="false">IF(F1355="","",IF(AND(H1355="",'Vade Sapması'!$D$3&gt;G1355),'Vade Sapması'!$D$3-G1355,0))</f>
        <v/>
      </c>
      <c r="P1355" s="33" t="str">
        <f aca="false">IF(F1355="","",F1355*J1355)</f>
        <v/>
      </c>
      <c r="Q1355" s="33" t="str">
        <f aca="false">IF(F1355="","",F1355*L1355)</f>
        <v/>
      </c>
      <c r="R1355" s="33" t="str">
        <f aca="false">IF(F1355="","",IF(H1355="",F1355,0))</f>
        <v/>
      </c>
      <c r="S1355" s="32" t="str">
        <f aca="false">IF(F1355="","",IF(N(O1355)=0,"",IF(O1355&lt;=30,"1-30",IF(O1355&lt;=60,"31-60",IF(O1355&lt;=90,"61-90","90+")))))</f>
        <v/>
      </c>
      <c r="T1355" s="32" t="str">
        <f aca="false">IF(F1355="","",IF(E1355="","Diğer",E1355))</f>
        <v/>
      </c>
      <c r="U1355" s="32" t="str">
        <f aca="false">IF(OR(F1355="",C1355=""),"",IF(COUNTIF($C$2:C1355,C1355)=1,MAX($U$1:U1354)+1,""))</f>
        <v/>
      </c>
    </row>
    <row r="1356" customFormat="false" ht="15" hidden="false" customHeight="false" outlineLevel="0" collapsed="false">
      <c r="A1356" s="34"/>
      <c r="B1356" s="9"/>
      <c r="C1356" s="34"/>
      <c r="D1356" s="34"/>
      <c r="E1356" s="34"/>
      <c r="F1356" s="35"/>
      <c r="G1356" s="9"/>
      <c r="H1356" s="9"/>
      <c r="I1356" s="34"/>
      <c r="J1356" s="30" t="str">
        <f aca="false">IF(F1356="","",G1356-B1356)</f>
        <v/>
      </c>
      <c r="K1356" s="31" t="str">
        <f aca="false">IF(F1356="","",IF(H1356&lt;&gt;"",H1356,MAX('Vade Sapması'!$D$3,G1356)))</f>
        <v/>
      </c>
      <c r="L1356" s="30" t="str">
        <f aca="false">IF(F1356="","",K1356-B1356)</f>
        <v/>
      </c>
      <c r="M1356" s="30" t="str">
        <f aca="false">IF(F1356="","",L1356-J1356)</f>
        <v/>
      </c>
      <c r="N1356" s="32" t="str">
        <f aca="false">IF(F1356="","",IF(H1356&lt;&gt;"","Kapandı",IF('Vade Sapması'!$D$3&gt;G1356,"Açık · vadesi geçti","Açık · vadesi gelmedi")))</f>
        <v/>
      </c>
      <c r="O1356" s="30" t="str">
        <f aca="false">IF(F1356="","",IF(AND(H1356="",'Vade Sapması'!$D$3&gt;G1356),'Vade Sapması'!$D$3-G1356,0))</f>
        <v/>
      </c>
      <c r="P1356" s="33" t="str">
        <f aca="false">IF(F1356="","",F1356*J1356)</f>
        <v/>
      </c>
      <c r="Q1356" s="33" t="str">
        <f aca="false">IF(F1356="","",F1356*L1356)</f>
        <v/>
      </c>
      <c r="R1356" s="33" t="str">
        <f aca="false">IF(F1356="","",IF(H1356="",F1356,0))</f>
        <v/>
      </c>
      <c r="S1356" s="32" t="str">
        <f aca="false">IF(F1356="","",IF(N(O1356)=0,"",IF(O1356&lt;=30,"1-30",IF(O1356&lt;=60,"31-60",IF(O1356&lt;=90,"61-90","90+")))))</f>
        <v/>
      </c>
      <c r="T1356" s="32" t="str">
        <f aca="false">IF(F1356="","",IF(E1356="","Diğer",E1356))</f>
        <v/>
      </c>
      <c r="U1356" s="32" t="str">
        <f aca="false">IF(OR(F1356="",C1356=""),"",IF(COUNTIF($C$2:C1356,C1356)=1,MAX($U$1:U1355)+1,""))</f>
        <v/>
      </c>
    </row>
    <row r="1357" customFormat="false" ht="15" hidden="false" customHeight="false" outlineLevel="0" collapsed="false">
      <c r="A1357" s="34"/>
      <c r="B1357" s="9"/>
      <c r="C1357" s="34"/>
      <c r="D1357" s="34"/>
      <c r="E1357" s="34"/>
      <c r="F1357" s="35"/>
      <c r="G1357" s="9"/>
      <c r="H1357" s="9"/>
      <c r="I1357" s="34"/>
      <c r="J1357" s="30" t="str">
        <f aca="false">IF(F1357="","",G1357-B1357)</f>
        <v/>
      </c>
      <c r="K1357" s="31" t="str">
        <f aca="false">IF(F1357="","",IF(H1357&lt;&gt;"",H1357,MAX('Vade Sapması'!$D$3,G1357)))</f>
        <v/>
      </c>
      <c r="L1357" s="30" t="str">
        <f aca="false">IF(F1357="","",K1357-B1357)</f>
        <v/>
      </c>
      <c r="M1357" s="30" t="str">
        <f aca="false">IF(F1357="","",L1357-J1357)</f>
        <v/>
      </c>
      <c r="N1357" s="32" t="str">
        <f aca="false">IF(F1357="","",IF(H1357&lt;&gt;"","Kapandı",IF('Vade Sapması'!$D$3&gt;G1357,"Açık · vadesi geçti","Açık · vadesi gelmedi")))</f>
        <v/>
      </c>
      <c r="O1357" s="30" t="str">
        <f aca="false">IF(F1357="","",IF(AND(H1357="",'Vade Sapması'!$D$3&gt;G1357),'Vade Sapması'!$D$3-G1357,0))</f>
        <v/>
      </c>
      <c r="P1357" s="33" t="str">
        <f aca="false">IF(F1357="","",F1357*J1357)</f>
        <v/>
      </c>
      <c r="Q1357" s="33" t="str">
        <f aca="false">IF(F1357="","",F1357*L1357)</f>
        <v/>
      </c>
      <c r="R1357" s="33" t="str">
        <f aca="false">IF(F1357="","",IF(H1357="",F1357,0))</f>
        <v/>
      </c>
      <c r="S1357" s="32" t="str">
        <f aca="false">IF(F1357="","",IF(N(O1357)=0,"",IF(O1357&lt;=30,"1-30",IF(O1357&lt;=60,"31-60",IF(O1357&lt;=90,"61-90","90+")))))</f>
        <v/>
      </c>
      <c r="T1357" s="32" t="str">
        <f aca="false">IF(F1357="","",IF(E1357="","Diğer",E1357))</f>
        <v/>
      </c>
      <c r="U1357" s="32" t="str">
        <f aca="false">IF(OR(F1357="",C1357=""),"",IF(COUNTIF($C$2:C1357,C1357)=1,MAX($U$1:U1356)+1,""))</f>
        <v/>
      </c>
    </row>
    <row r="1358" customFormat="false" ht="15" hidden="false" customHeight="false" outlineLevel="0" collapsed="false">
      <c r="A1358" s="34"/>
      <c r="B1358" s="9"/>
      <c r="C1358" s="34"/>
      <c r="D1358" s="34"/>
      <c r="E1358" s="34"/>
      <c r="F1358" s="35"/>
      <c r="G1358" s="9"/>
      <c r="H1358" s="9"/>
      <c r="I1358" s="34"/>
      <c r="J1358" s="30" t="str">
        <f aca="false">IF(F1358="","",G1358-B1358)</f>
        <v/>
      </c>
      <c r="K1358" s="31" t="str">
        <f aca="false">IF(F1358="","",IF(H1358&lt;&gt;"",H1358,MAX('Vade Sapması'!$D$3,G1358)))</f>
        <v/>
      </c>
      <c r="L1358" s="30" t="str">
        <f aca="false">IF(F1358="","",K1358-B1358)</f>
        <v/>
      </c>
      <c r="M1358" s="30" t="str">
        <f aca="false">IF(F1358="","",L1358-J1358)</f>
        <v/>
      </c>
      <c r="N1358" s="32" t="str">
        <f aca="false">IF(F1358="","",IF(H1358&lt;&gt;"","Kapandı",IF('Vade Sapması'!$D$3&gt;G1358,"Açık · vadesi geçti","Açık · vadesi gelmedi")))</f>
        <v/>
      </c>
      <c r="O1358" s="30" t="str">
        <f aca="false">IF(F1358="","",IF(AND(H1358="",'Vade Sapması'!$D$3&gt;G1358),'Vade Sapması'!$D$3-G1358,0))</f>
        <v/>
      </c>
      <c r="P1358" s="33" t="str">
        <f aca="false">IF(F1358="","",F1358*J1358)</f>
        <v/>
      </c>
      <c r="Q1358" s="33" t="str">
        <f aca="false">IF(F1358="","",F1358*L1358)</f>
        <v/>
      </c>
      <c r="R1358" s="33" t="str">
        <f aca="false">IF(F1358="","",IF(H1358="",F1358,0))</f>
        <v/>
      </c>
      <c r="S1358" s="32" t="str">
        <f aca="false">IF(F1358="","",IF(N(O1358)=0,"",IF(O1358&lt;=30,"1-30",IF(O1358&lt;=60,"31-60",IF(O1358&lt;=90,"61-90","90+")))))</f>
        <v/>
      </c>
      <c r="T1358" s="32" t="str">
        <f aca="false">IF(F1358="","",IF(E1358="","Diğer",E1358))</f>
        <v/>
      </c>
      <c r="U1358" s="32" t="str">
        <f aca="false">IF(OR(F1358="",C1358=""),"",IF(COUNTIF($C$2:C1358,C1358)=1,MAX($U$1:U1357)+1,""))</f>
        <v/>
      </c>
    </row>
    <row r="1359" customFormat="false" ht="15" hidden="false" customHeight="false" outlineLevel="0" collapsed="false">
      <c r="A1359" s="34"/>
      <c r="B1359" s="9"/>
      <c r="C1359" s="34"/>
      <c r="D1359" s="34"/>
      <c r="E1359" s="34"/>
      <c r="F1359" s="35"/>
      <c r="G1359" s="9"/>
      <c r="H1359" s="9"/>
      <c r="I1359" s="34"/>
      <c r="J1359" s="30" t="str">
        <f aca="false">IF(F1359="","",G1359-B1359)</f>
        <v/>
      </c>
      <c r="K1359" s="31" t="str">
        <f aca="false">IF(F1359="","",IF(H1359&lt;&gt;"",H1359,MAX('Vade Sapması'!$D$3,G1359)))</f>
        <v/>
      </c>
      <c r="L1359" s="30" t="str">
        <f aca="false">IF(F1359="","",K1359-B1359)</f>
        <v/>
      </c>
      <c r="M1359" s="30" t="str">
        <f aca="false">IF(F1359="","",L1359-J1359)</f>
        <v/>
      </c>
      <c r="N1359" s="32" t="str">
        <f aca="false">IF(F1359="","",IF(H1359&lt;&gt;"","Kapandı",IF('Vade Sapması'!$D$3&gt;G1359,"Açık · vadesi geçti","Açık · vadesi gelmedi")))</f>
        <v/>
      </c>
      <c r="O1359" s="30" t="str">
        <f aca="false">IF(F1359="","",IF(AND(H1359="",'Vade Sapması'!$D$3&gt;G1359),'Vade Sapması'!$D$3-G1359,0))</f>
        <v/>
      </c>
      <c r="P1359" s="33" t="str">
        <f aca="false">IF(F1359="","",F1359*J1359)</f>
        <v/>
      </c>
      <c r="Q1359" s="33" t="str">
        <f aca="false">IF(F1359="","",F1359*L1359)</f>
        <v/>
      </c>
      <c r="R1359" s="33" t="str">
        <f aca="false">IF(F1359="","",IF(H1359="",F1359,0))</f>
        <v/>
      </c>
      <c r="S1359" s="32" t="str">
        <f aca="false">IF(F1359="","",IF(N(O1359)=0,"",IF(O1359&lt;=30,"1-30",IF(O1359&lt;=60,"31-60",IF(O1359&lt;=90,"61-90","90+")))))</f>
        <v/>
      </c>
      <c r="T1359" s="32" t="str">
        <f aca="false">IF(F1359="","",IF(E1359="","Diğer",E1359))</f>
        <v/>
      </c>
      <c r="U1359" s="32" t="str">
        <f aca="false">IF(OR(F1359="",C1359=""),"",IF(COUNTIF($C$2:C1359,C1359)=1,MAX($U$1:U1358)+1,""))</f>
        <v/>
      </c>
    </row>
    <row r="1360" customFormat="false" ht="15" hidden="false" customHeight="false" outlineLevel="0" collapsed="false">
      <c r="A1360" s="34"/>
      <c r="B1360" s="9"/>
      <c r="C1360" s="34"/>
      <c r="D1360" s="34"/>
      <c r="E1360" s="34"/>
      <c r="F1360" s="35"/>
      <c r="G1360" s="9"/>
      <c r="H1360" s="9"/>
      <c r="I1360" s="34"/>
      <c r="J1360" s="30" t="str">
        <f aca="false">IF(F1360="","",G1360-B1360)</f>
        <v/>
      </c>
      <c r="K1360" s="31" t="str">
        <f aca="false">IF(F1360="","",IF(H1360&lt;&gt;"",H1360,MAX('Vade Sapması'!$D$3,G1360)))</f>
        <v/>
      </c>
      <c r="L1360" s="30" t="str">
        <f aca="false">IF(F1360="","",K1360-B1360)</f>
        <v/>
      </c>
      <c r="M1360" s="30" t="str">
        <f aca="false">IF(F1360="","",L1360-J1360)</f>
        <v/>
      </c>
      <c r="N1360" s="32" t="str">
        <f aca="false">IF(F1360="","",IF(H1360&lt;&gt;"","Kapandı",IF('Vade Sapması'!$D$3&gt;G1360,"Açık · vadesi geçti","Açık · vadesi gelmedi")))</f>
        <v/>
      </c>
      <c r="O1360" s="30" t="str">
        <f aca="false">IF(F1360="","",IF(AND(H1360="",'Vade Sapması'!$D$3&gt;G1360),'Vade Sapması'!$D$3-G1360,0))</f>
        <v/>
      </c>
      <c r="P1360" s="33" t="str">
        <f aca="false">IF(F1360="","",F1360*J1360)</f>
        <v/>
      </c>
      <c r="Q1360" s="33" t="str">
        <f aca="false">IF(F1360="","",F1360*L1360)</f>
        <v/>
      </c>
      <c r="R1360" s="33" t="str">
        <f aca="false">IF(F1360="","",IF(H1360="",F1360,0))</f>
        <v/>
      </c>
      <c r="S1360" s="32" t="str">
        <f aca="false">IF(F1360="","",IF(N(O1360)=0,"",IF(O1360&lt;=30,"1-30",IF(O1360&lt;=60,"31-60",IF(O1360&lt;=90,"61-90","90+")))))</f>
        <v/>
      </c>
      <c r="T1360" s="32" t="str">
        <f aca="false">IF(F1360="","",IF(E1360="","Diğer",E1360))</f>
        <v/>
      </c>
      <c r="U1360" s="32" t="str">
        <f aca="false">IF(OR(F1360="",C1360=""),"",IF(COUNTIF($C$2:C1360,C1360)=1,MAX($U$1:U1359)+1,""))</f>
        <v/>
      </c>
    </row>
    <row r="1361" customFormat="false" ht="15" hidden="false" customHeight="false" outlineLevel="0" collapsed="false">
      <c r="A1361" s="34"/>
      <c r="B1361" s="9"/>
      <c r="C1361" s="34"/>
      <c r="D1361" s="34"/>
      <c r="E1361" s="34"/>
      <c r="F1361" s="35"/>
      <c r="G1361" s="9"/>
      <c r="H1361" s="9"/>
      <c r="I1361" s="34"/>
      <c r="J1361" s="30" t="str">
        <f aca="false">IF(F1361="","",G1361-B1361)</f>
        <v/>
      </c>
      <c r="K1361" s="31" t="str">
        <f aca="false">IF(F1361="","",IF(H1361&lt;&gt;"",H1361,MAX('Vade Sapması'!$D$3,G1361)))</f>
        <v/>
      </c>
      <c r="L1361" s="30" t="str">
        <f aca="false">IF(F1361="","",K1361-B1361)</f>
        <v/>
      </c>
      <c r="M1361" s="30" t="str">
        <f aca="false">IF(F1361="","",L1361-J1361)</f>
        <v/>
      </c>
      <c r="N1361" s="32" t="str">
        <f aca="false">IF(F1361="","",IF(H1361&lt;&gt;"","Kapandı",IF('Vade Sapması'!$D$3&gt;G1361,"Açık · vadesi geçti","Açık · vadesi gelmedi")))</f>
        <v/>
      </c>
      <c r="O1361" s="30" t="str">
        <f aca="false">IF(F1361="","",IF(AND(H1361="",'Vade Sapması'!$D$3&gt;G1361),'Vade Sapması'!$D$3-G1361,0))</f>
        <v/>
      </c>
      <c r="P1361" s="33" t="str">
        <f aca="false">IF(F1361="","",F1361*J1361)</f>
        <v/>
      </c>
      <c r="Q1361" s="33" t="str">
        <f aca="false">IF(F1361="","",F1361*L1361)</f>
        <v/>
      </c>
      <c r="R1361" s="33" t="str">
        <f aca="false">IF(F1361="","",IF(H1361="",F1361,0))</f>
        <v/>
      </c>
      <c r="S1361" s="32" t="str">
        <f aca="false">IF(F1361="","",IF(N(O1361)=0,"",IF(O1361&lt;=30,"1-30",IF(O1361&lt;=60,"31-60",IF(O1361&lt;=90,"61-90","90+")))))</f>
        <v/>
      </c>
      <c r="T1361" s="32" t="str">
        <f aca="false">IF(F1361="","",IF(E1361="","Diğer",E1361))</f>
        <v/>
      </c>
      <c r="U1361" s="32" t="str">
        <f aca="false">IF(OR(F1361="",C1361=""),"",IF(COUNTIF($C$2:C1361,C1361)=1,MAX($U$1:U1360)+1,""))</f>
        <v/>
      </c>
    </row>
    <row r="1362" customFormat="false" ht="15" hidden="false" customHeight="false" outlineLevel="0" collapsed="false">
      <c r="A1362" s="34"/>
      <c r="B1362" s="9"/>
      <c r="C1362" s="34"/>
      <c r="D1362" s="34"/>
      <c r="E1362" s="34"/>
      <c r="F1362" s="35"/>
      <c r="G1362" s="9"/>
      <c r="H1362" s="9"/>
      <c r="I1362" s="34"/>
      <c r="J1362" s="30" t="str">
        <f aca="false">IF(F1362="","",G1362-B1362)</f>
        <v/>
      </c>
      <c r="K1362" s="31" t="str">
        <f aca="false">IF(F1362="","",IF(H1362&lt;&gt;"",H1362,MAX('Vade Sapması'!$D$3,G1362)))</f>
        <v/>
      </c>
      <c r="L1362" s="30" t="str">
        <f aca="false">IF(F1362="","",K1362-B1362)</f>
        <v/>
      </c>
      <c r="M1362" s="30" t="str">
        <f aca="false">IF(F1362="","",L1362-J1362)</f>
        <v/>
      </c>
      <c r="N1362" s="32" t="str">
        <f aca="false">IF(F1362="","",IF(H1362&lt;&gt;"","Kapandı",IF('Vade Sapması'!$D$3&gt;G1362,"Açık · vadesi geçti","Açık · vadesi gelmedi")))</f>
        <v/>
      </c>
      <c r="O1362" s="30" t="str">
        <f aca="false">IF(F1362="","",IF(AND(H1362="",'Vade Sapması'!$D$3&gt;G1362),'Vade Sapması'!$D$3-G1362,0))</f>
        <v/>
      </c>
      <c r="P1362" s="33" t="str">
        <f aca="false">IF(F1362="","",F1362*J1362)</f>
        <v/>
      </c>
      <c r="Q1362" s="33" t="str">
        <f aca="false">IF(F1362="","",F1362*L1362)</f>
        <v/>
      </c>
      <c r="R1362" s="33" t="str">
        <f aca="false">IF(F1362="","",IF(H1362="",F1362,0))</f>
        <v/>
      </c>
      <c r="S1362" s="32" t="str">
        <f aca="false">IF(F1362="","",IF(N(O1362)=0,"",IF(O1362&lt;=30,"1-30",IF(O1362&lt;=60,"31-60",IF(O1362&lt;=90,"61-90","90+")))))</f>
        <v/>
      </c>
      <c r="T1362" s="32" t="str">
        <f aca="false">IF(F1362="","",IF(E1362="","Diğer",E1362))</f>
        <v/>
      </c>
      <c r="U1362" s="32" t="str">
        <f aca="false">IF(OR(F1362="",C1362=""),"",IF(COUNTIF($C$2:C1362,C1362)=1,MAX($U$1:U1361)+1,""))</f>
        <v/>
      </c>
    </row>
    <row r="1363" customFormat="false" ht="15" hidden="false" customHeight="false" outlineLevel="0" collapsed="false">
      <c r="A1363" s="34"/>
      <c r="B1363" s="9"/>
      <c r="C1363" s="34"/>
      <c r="D1363" s="34"/>
      <c r="E1363" s="34"/>
      <c r="F1363" s="35"/>
      <c r="G1363" s="9"/>
      <c r="H1363" s="9"/>
      <c r="I1363" s="34"/>
      <c r="J1363" s="30" t="str">
        <f aca="false">IF(F1363="","",G1363-B1363)</f>
        <v/>
      </c>
      <c r="K1363" s="31" t="str">
        <f aca="false">IF(F1363="","",IF(H1363&lt;&gt;"",H1363,MAX('Vade Sapması'!$D$3,G1363)))</f>
        <v/>
      </c>
      <c r="L1363" s="30" t="str">
        <f aca="false">IF(F1363="","",K1363-B1363)</f>
        <v/>
      </c>
      <c r="M1363" s="30" t="str">
        <f aca="false">IF(F1363="","",L1363-J1363)</f>
        <v/>
      </c>
      <c r="N1363" s="32" t="str">
        <f aca="false">IF(F1363="","",IF(H1363&lt;&gt;"","Kapandı",IF('Vade Sapması'!$D$3&gt;G1363,"Açık · vadesi geçti","Açık · vadesi gelmedi")))</f>
        <v/>
      </c>
      <c r="O1363" s="30" t="str">
        <f aca="false">IF(F1363="","",IF(AND(H1363="",'Vade Sapması'!$D$3&gt;G1363),'Vade Sapması'!$D$3-G1363,0))</f>
        <v/>
      </c>
      <c r="P1363" s="33" t="str">
        <f aca="false">IF(F1363="","",F1363*J1363)</f>
        <v/>
      </c>
      <c r="Q1363" s="33" t="str">
        <f aca="false">IF(F1363="","",F1363*L1363)</f>
        <v/>
      </c>
      <c r="R1363" s="33" t="str">
        <f aca="false">IF(F1363="","",IF(H1363="",F1363,0))</f>
        <v/>
      </c>
      <c r="S1363" s="32" t="str">
        <f aca="false">IF(F1363="","",IF(N(O1363)=0,"",IF(O1363&lt;=30,"1-30",IF(O1363&lt;=60,"31-60",IF(O1363&lt;=90,"61-90","90+")))))</f>
        <v/>
      </c>
      <c r="T1363" s="32" t="str">
        <f aca="false">IF(F1363="","",IF(E1363="","Diğer",E1363))</f>
        <v/>
      </c>
      <c r="U1363" s="32" t="str">
        <f aca="false">IF(OR(F1363="",C1363=""),"",IF(COUNTIF($C$2:C1363,C1363)=1,MAX($U$1:U1362)+1,""))</f>
        <v/>
      </c>
    </row>
    <row r="1364" customFormat="false" ht="15" hidden="false" customHeight="false" outlineLevel="0" collapsed="false">
      <c r="A1364" s="34"/>
      <c r="B1364" s="9"/>
      <c r="C1364" s="34"/>
      <c r="D1364" s="34"/>
      <c r="E1364" s="34"/>
      <c r="F1364" s="35"/>
      <c r="G1364" s="9"/>
      <c r="H1364" s="9"/>
      <c r="I1364" s="34"/>
      <c r="J1364" s="30" t="str">
        <f aca="false">IF(F1364="","",G1364-B1364)</f>
        <v/>
      </c>
      <c r="K1364" s="31" t="str">
        <f aca="false">IF(F1364="","",IF(H1364&lt;&gt;"",H1364,MAX('Vade Sapması'!$D$3,G1364)))</f>
        <v/>
      </c>
      <c r="L1364" s="30" t="str">
        <f aca="false">IF(F1364="","",K1364-B1364)</f>
        <v/>
      </c>
      <c r="M1364" s="30" t="str">
        <f aca="false">IF(F1364="","",L1364-J1364)</f>
        <v/>
      </c>
      <c r="N1364" s="32" t="str">
        <f aca="false">IF(F1364="","",IF(H1364&lt;&gt;"","Kapandı",IF('Vade Sapması'!$D$3&gt;G1364,"Açık · vadesi geçti","Açık · vadesi gelmedi")))</f>
        <v/>
      </c>
      <c r="O1364" s="30" t="str">
        <f aca="false">IF(F1364="","",IF(AND(H1364="",'Vade Sapması'!$D$3&gt;G1364),'Vade Sapması'!$D$3-G1364,0))</f>
        <v/>
      </c>
      <c r="P1364" s="33" t="str">
        <f aca="false">IF(F1364="","",F1364*J1364)</f>
        <v/>
      </c>
      <c r="Q1364" s="33" t="str">
        <f aca="false">IF(F1364="","",F1364*L1364)</f>
        <v/>
      </c>
      <c r="R1364" s="33" t="str">
        <f aca="false">IF(F1364="","",IF(H1364="",F1364,0))</f>
        <v/>
      </c>
      <c r="S1364" s="32" t="str">
        <f aca="false">IF(F1364="","",IF(N(O1364)=0,"",IF(O1364&lt;=30,"1-30",IF(O1364&lt;=60,"31-60",IF(O1364&lt;=90,"61-90","90+")))))</f>
        <v/>
      </c>
      <c r="T1364" s="32" t="str">
        <f aca="false">IF(F1364="","",IF(E1364="","Diğer",E1364))</f>
        <v/>
      </c>
      <c r="U1364" s="32" t="str">
        <f aca="false">IF(OR(F1364="",C1364=""),"",IF(COUNTIF($C$2:C1364,C1364)=1,MAX($U$1:U1363)+1,""))</f>
        <v/>
      </c>
    </row>
    <row r="1365" customFormat="false" ht="15" hidden="false" customHeight="false" outlineLevel="0" collapsed="false">
      <c r="A1365" s="34"/>
      <c r="B1365" s="9"/>
      <c r="C1365" s="34"/>
      <c r="D1365" s="34"/>
      <c r="E1365" s="34"/>
      <c r="F1365" s="35"/>
      <c r="G1365" s="9"/>
      <c r="H1365" s="9"/>
      <c r="I1365" s="34"/>
      <c r="J1365" s="30" t="str">
        <f aca="false">IF(F1365="","",G1365-B1365)</f>
        <v/>
      </c>
      <c r="K1365" s="31" t="str">
        <f aca="false">IF(F1365="","",IF(H1365&lt;&gt;"",H1365,MAX('Vade Sapması'!$D$3,G1365)))</f>
        <v/>
      </c>
      <c r="L1365" s="30" t="str">
        <f aca="false">IF(F1365="","",K1365-B1365)</f>
        <v/>
      </c>
      <c r="M1365" s="30" t="str">
        <f aca="false">IF(F1365="","",L1365-J1365)</f>
        <v/>
      </c>
      <c r="N1365" s="32" t="str">
        <f aca="false">IF(F1365="","",IF(H1365&lt;&gt;"","Kapandı",IF('Vade Sapması'!$D$3&gt;G1365,"Açık · vadesi geçti","Açık · vadesi gelmedi")))</f>
        <v/>
      </c>
      <c r="O1365" s="30" t="str">
        <f aca="false">IF(F1365="","",IF(AND(H1365="",'Vade Sapması'!$D$3&gt;G1365),'Vade Sapması'!$D$3-G1365,0))</f>
        <v/>
      </c>
      <c r="P1365" s="33" t="str">
        <f aca="false">IF(F1365="","",F1365*J1365)</f>
        <v/>
      </c>
      <c r="Q1365" s="33" t="str">
        <f aca="false">IF(F1365="","",F1365*L1365)</f>
        <v/>
      </c>
      <c r="R1365" s="33" t="str">
        <f aca="false">IF(F1365="","",IF(H1365="",F1365,0))</f>
        <v/>
      </c>
      <c r="S1365" s="32" t="str">
        <f aca="false">IF(F1365="","",IF(N(O1365)=0,"",IF(O1365&lt;=30,"1-30",IF(O1365&lt;=60,"31-60",IF(O1365&lt;=90,"61-90","90+")))))</f>
        <v/>
      </c>
      <c r="T1365" s="32" t="str">
        <f aca="false">IF(F1365="","",IF(E1365="","Diğer",E1365))</f>
        <v/>
      </c>
      <c r="U1365" s="32" t="str">
        <f aca="false">IF(OR(F1365="",C1365=""),"",IF(COUNTIF($C$2:C1365,C1365)=1,MAX($U$1:U1364)+1,""))</f>
        <v/>
      </c>
    </row>
    <row r="1366" customFormat="false" ht="15" hidden="false" customHeight="false" outlineLevel="0" collapsed="false">
      <c r="A1366" s="34"/>
      <c r="B1366" s="9"/>
      <c r="C1366" s="34"/>
      <c r="D1366" s="34"/>
      <c r="E1366" s="34"/>
      <c r="F1366" s="35"/>
      <c r="G1366" s="9"/>
      <c r="H1366" s="9"/>
      <c r="I1366" s="34"/>
      <c r="J1366" s="30" t="str">
        <f aca="false">IF(F1366="","",G1366-B1366)</f>
        <v/>
      </c>
      <c r="K1366" s="31" t="str">
        <f aca="false">IF(F1366="","",IF(H1366&lt;&gt;"",H1366,MAX('Vade Sapması'!$D$3,G1366)))</f>
        <v/>
      </c>
      <c r="L1366" s="30" t="str">
        <f aca="false">IF(F1366="","",K1366-B1366)</f>
        <v/>
      </c>
      <c r="M1366" s="30" t="str">
        <f aca="false">IF(F1366="","",L1366-J1366)</f>
        <v/>
      </c>
      <c r="N1366" s="32" t="str">
        <f aca="false">IF(F1366="","",IF(H1366&lt;&gt;"","Kapandı",IF('Vade Sapması'!$D$3&gt;G1366,"Açık · vadesi geçti","Açık · vadesi gelmedi")))</f>
        <v/>
      </c>
      <c r="O1366" s="30" t="str">
        <f aca="false">IF(F1366="","",IF(AND(H1366="",'Vade Sapması'!$D$3&gt;G1366),'Vade Sapması'!$D$3-G1366,0))</f>
        <v/>
      </c>
      <c r="P1366" s="33" t="str">
        <f aca="false">IF(F1366="","",F1366*J1366)</f>
        <v/>
      </c>
      <c r="Q1366" s="33" t="str">
        <f aca="false">IF(F1366="","",F1366*L1366)</f>
        <v/>
      </c>
      <c r="R1366" s="33" t="str">
        <f aca="false">IF(F1366="","",IF(H1366="",F1366,0))</f>
        <v/>
      </c>
      <c r="S1366" s="32" t="str">
        <f aca="false">IF(F1366="","",IF(N(O1366)=0,"",IF(O1366&lt;=30,"1-30",IF(O1366&lt;=60,"31-60",IF(O1366&lt;=90,"61-90","90+")))))</f>
        <v/>
      </c>
      <c r="T1366" s="32" t="str">
        <f aca="false">IF(F1366="","",IF(E1366="","Diğer",E1366))</f>
        <v/>
      </c>
      <c r="U1366" s="32" t="str">
        <f aca="false">IF(OR(F1366="",C1366=""),"",IF(COUNTIF($C$2:C1366,C1366)=1,MAX($U$1:U1365)+1,""))</f>
        <v/>
      </c>
    </row>
    <row r="1367" customFormat="false" ht="15" hidden="false" customHeight="false" outlineLevel="0" collapsed="false">
      <c r="A1367" s="34"/>
      <c r="B1367" s="9"/>
      <c r="C1367" s="34"/>
      <c r="D1367" s="34"/>
      <c r="E1367" s="34"/>
      <c r="F1367" s="35"/>
      <c r="G1367" s="9"/>
      <c r="H1367" s="9"/>
      <c r="I1367" s="34"/>
      <c r="J1367" s="30" t="str">
        <f aca="false">IF(F1367="","",G1367-B1367)</f>
        <v/>
      </c>
      <c r="K1367" s="31" t="str">
        <f aca="false">IF(F1367="","",IF(H1367&lt;&gt;"",H1367,MAX('Vade Sapması'!$D$3,G1367)))</f>
        <v/>
      </c>
      <c r="L1367" s="30" t="str">
        <f aca="false">IF(F1367="","",K1367-B1367)</f>
        <v/>
      </c>
      <c r="M1367" s="30" t="str">
        <f aca="false">IF(F1367="","",L1367-J1367)</f>
        <v/>
      </c>
      <c r="N1367" s="32" t="str">
        <f aca="false">IF(F1367="","",IF(H1367&lt;&gt;"","Kapandı",IF('Vade Sapması'!$D$3&gt;G1367,"Açık · vadesi geçti","Açık · vadesi gelmedi")))</f>
        <v/>
      </c>
      <c r="O1367" s="30" t="str">
        <f aca="false">IF(F1367="","",IF(AND(H1367="",'Vade Sapması'!$D$3&gt;G1367),'Vade Sapması'!$D$3-G1367,0))</f>
        <v/>
      </c>
      <c r="P1367" s="33" t="str">
        <f aca="false">IF(F1367="","",F1367*J1367)</f>
        <v/>
      </c>
      <c r="Q1367" s="33" t="str">
        <f aca="false">IF(F1367="","",F1367*L1367)</f>
        <v/>
      </c>
      <c r="R1367" s="33" t="str">
        <f aca="false">IF(F1367="","",IF(H1367="",F1367,0))</f>
        <v/>
      </c>
      <c r="S1367" s="32" t="str">
        <f aca="false">IF(F1367="","",IF(N(O1367)=0,"",IF(O1367&lt;=30,"1-30",IF(O1367&lt;=60,"31-60",IF(O1367&lt;=90,"61-90","90+")))))</f>
        <v/>
      </c>
      <c r="T1367" s="32" t="str">
        <f aca="false">IF(F1367="","",IF(E1367="","Diğer",E1367))</f>
        <v/>
      </c>
      <c r="U1367" s="32" t="str">
        <f aca="false">IF(OR(F1367="",C1367=""),"",IF(COUNTIF($C$2:C1367,C1367)=1,MAX($U$1:U1366)+1,""))</f>
        <v/>
      </c>
    </row>
    <row r="1368" customFormat="false" ht="15" hidden="false" customHeight="false" outlineLevel="0" collapsed="false">
      <c r="A1368" s="34"/>
      <c r="B1368" s="9"/>
      <c r="C1368" s="34"/>
      <c r="D1368" s="34"/>
      <c r="E1368" s="34"/>
      <c r="F1368" s="35"/>
      <c r="G1368" s="9"/>
      <c r="H1368" s="9"/>
      <c r="I1368" s="34"/>
      <c r="J1368" s="30" t="str">
        <f aca="false">IF(F1368="","",G1368-B1368)</f>
        <v/>
      </c>
      <c r="K1368" s="31" t="str">
        <f aca="false">IF(F1368="","",IF(H1368&lt;&gt;"",H1368,MAX('Vade Sapması'!$D$3,G1368)))</f>
        <v/>
      </c>
      <c r="L1368" s="30" t="str">
        <f aca="false">IF(F1368="","",K1368-B1368)</f>
        <v/>
      </c>
      <c r="M1368" s="30" t="str">
        <f aca="false">IF(F1368="","",L1368-J1368)</f>
        <v/>
      </c>
      <c r="N1368" s="32" t="str">
        <f aca="false">IF(F1368="","",IF(H1368&lt;&gt;"","Kapandı",IF('Vade Sapması'!$D$3&gt;G1368,"Açık · vadesi geçti","Açık · vadesi gelmedi")))</f>
        <v/>
      </c>
      <c r="O1368" s="30" t="str">
        <f aca="false">IF(F1368="","",IF(AND(H1368="",'Vade Sapması'!$D$3&gt;G1368),'Vade Sapması'!$D$3-G1368,0))</f>
        <v/>
      </c>
      <c r="P1368" s="33" t="str">
        <f aca="false">IF(F1368="","",F1368*J1368)</f>
        <v/>
      </c>
      <c r="Q1368" s="33" t="str">
        <f aca="false">IF(F1368="","",F1368*L1368)</f>
        <v/>
      </c>
      <c r="R1368" s="33" t="str">
        <f aca="false">IF(F1368="","",IF(H1368="",F1368,0))</f>
        <v/>
      </c>
      <c r="S1368" s="32" t="str">
        <f aca="false">IF(F1368="","",IF(N(O1368)=0,"",IF(O1368&lt;=30,"1-30",IF(O1368&lt;=60,"31-60",IF(O1368&lt;=90,"61-90","90+")))))</f>
        <v/>
      </c>
      <c r="T1368" s="32" t="str">
        <f aca="false">IF(F1368="","",IF(E1368="","Diğer",E1368))</f>
        <v/>
      </c>
      <c r="U1368" s="32" t="str">
        <f aca="false">IF(OR(F1368="",C1368=""),"",IF(COUNTIF($C$2:C1368,C1368)=1,MAX($U$1:U1367)+1,""))</f>
        <v/>
      </c>
    </row>
    <row r="1369" customFormat="false" ht="15" hidden="false" customHeight="false" outlineLevel="0" collapsed="false">
      <c r="A1369" s="34"/>
      <c r="B1369" s="9"/>
      <c r="C1369" s="34"/>
      <c r="D1369" s="34"/>
      <c r="E1369" s="34"/>
      <c r="F1369" s="35"/>
      <c r="G1369" s="9"/>
      <c r="H1369" s="9"/>
      <c r="I1369" s="34"/>
      <c r="J1369" s="30" t="str">
        <f aca="false">IF(F1369="","",G1369-B1369)</f>
        <v/>
      </c>
      <c r="K1369" s="31" t="str">
        <f aca="false">IF(F1369="","",IF(H1369&lt;&gt;"",H1369,MAX('Vade Sapması'!$D$3,G1369)))</f>
        <v/>
      </c>
      <c r="L1369" s="30" t="str">
        <f aca="false">IF(F1369="","",K1369-B1369)</f>
        <v/>
      </c>
      <c r="M1369" s="30" t="str">
        <f aca="false">IF(F1369="","",L1369-J1369)</f>
        <v/>
      </c>
      <c r="N1369" s="32" t="str">
        <f aca="false">IF(F1369="","",IF(H1369&lt;&gt;"","Kapandı",IF('Vade Sapması'!$D$3&gt;G1369,"Açık · vadesi geçti","Açık · vadesi gelmedi")))</f>
        <v/>
      </c>
      <c r="O1369" s="30" t="str">
        <f aca="false">IF(F1369="","",IF(AND(H1369="",'Vade Sapması'!$D$3&gt;G1369),'Vade Sapması'!$D$3-G1369,0))</f>
        <v/>
      </c>
      <c r="P1369" s="33" t="str">
        <f aca="false">IF(F1369="","",F1369*J1369)</f>
        <v/>
      </c>
      <c r="Q1369" s="33" t="str">
        <f aca="false">IF(F1369="","",F1369*L1369)</f>
        <v/>
      </c>
      <c r="R1369" s="33" t="str">
        <f aca="false">IF(F1369="","",IF(H1369="",F1369,0))</f>
        <v/>
      </c>
      <c r="S1369" s="32" t="str">
        <f aca="false">IF(F1369="","",IF(N(O1369)=0,"",IF(O1369&lt;=30,"1-30",IF(O1369&lt;=60,"31-60",IF(O1369&lt;=90,"61-90","90+")))))</f>
        <v/>
      </c>
      <c r="T1369" s="32" t="str">
        <f aca="false">IF(F1369="","",IF(E1369="","Diğer",E1369))</f>
        <v/>
      </c>
      <c r="U1369" s="32" t="str">
        <f aca="false">IF(OR(F1369="",C1369=""),"",IF(COUNTIF($C$2:C1369,C1369)=1,MAX($U$1:U1368)+1,""))</f>
        <v/>
      </c>
    </row>
    <row r="1370" customFormat="false" ht="15" hidden="false" customHeight="false" outlineLevel="0" collapsed="false">
      <c r="A1370" s="34"/>
      <c r="B1370" s="9"/>
      <c r="C1370" s="34"/>
      <c r="D1370" s="34"/>
      <c r="E1370" s="34"/>
      <c r="F1370" s="35"/>
      <c r="G1370" s="9"/>
      <c r="H1370" s="9"/>
      <c r="I1370" s="34"/>
      <c r="J1370" s="30" t="str">
        <f aca="false">IF(F1370="","",G1370-B1370)</f>
        <v/>
      </c>
      <c r="K1370" s="31" t="str">
        <f aca="false">IF(F1370="","",IF(H1370&lt;&gt;"",H1370,MAX('Vade Sapması'!$D$3,G1370)))</f>
        <v/>
      </c>
      <c r="L1370" s="30" t="str">
        <f aca="false">IF(F1370="","",K1370-B1370)</f>
        <v/>
      </c>
      <c r="M1370" s="30" t="str">
        <f aca="false">IF(F1370="","",L1370-J1370)</f>
        <v/>
      </c>
      <c r="N1370" s="32" t="str">
        <f aca="false">IF(F1370="","",IF(H1370&lt;&gt;"","Kapandı",IF('Vade Sapması'!$D$3&gt;G1370,"Açık · vadesi geçti","Açık · vadesi gelmedi")))</f>
        <v/>
      </c>
      <c r="O1370" s="30" t="str">
        <f aca="false">IF(F1370="","",IF(AND(H1370="",'Vade Sapması'!$D$3&gt;G1370),'Vade Sapması'!$D$3-G1370,0))</f>
        <v/>
      </c>
      <c r="P1370" s="33" t="str">
        <f aca="false">IF(F1370="","",F1370*J1370)</f>
        <v/>
      </c>
      <c r="Q1370" s="33" t="str">
        <f aca="false">IF(F1370="","",F1370*L1370)</f>
        <v/>
      </c>
      <c r="R1370" s="33" t="str">
        <f aca="false">IF(F1370="","",IF(H1370="",F1370,0))</f>
        <v/>
      </c>
      <c r="S1370" s="32" t="str">
        <f aca="false">IF(F1370="","",IF(N(O1370)=0,"",IF(O1370&lt;=30,"1-30",IF(O1370&lt;=60,"31-60",IF(O1370&lt;=90,"61-90","90+")))))</f>
        <v/>
      </c>
      <c r="T1370" s="32" t="str">
        <f aca="false">IF(F1370="","",IF(E1370="","Diğer",E1370))</f>
        <v/>
      </c>
      <c r="U1370" s="32" t="str">
        <f aca="false">IF(OR(F1370="",C1370=""),"",IF(COUNTIF($C$2:C1370,C1370)=1,MAX($U$1:U1369)+1,""))</f>
        <v/>
      </c>
    </row>
    <row r="1371" customFormat="false" ht="15" hidden="false" customHeight="false" outlineLevel="0" collapsed="false">
      <c r="A1371" s="34"/>
      <c r="B1371" s="9"/>
      <c r="C1371" s="34"/>
      <c r="D1371" s="34"/>
      <c r="E1371" s="34"/>
      <c r="F1371" s="35"/>
      <c r="G1371" s="9"/>
      <c r="H1371" s="9"/>
      <c r="I1371" s="34"/>
      <c r="J1371" s="30" t="str">
        <f aca="false">IF(F1371="","",G1371-B1371)</f>
        <v/>
      </c>
      <c r="K1371" s="31" t="str">
        <f aca="false">IF(F1371="","",IF(H1371&lt;&gt;"",H1371,MAX('Vade Sapması'!$D$3,G1371)))</f>
        <v/>
      </c>
      <c r="L1371" s="30" t="str">
        <f aca="false">IF(F1371="","",K1371-B1371)</f>
        <v/>
      </c>
      <c r="M1371" s="30" t="str">
        <f aca="false">IF(F1371="","",L1371-J1371)</f>
        <v/>
      </c>
      <c r="N1371" s="32" t="str">
        <f aca="false">IF(F1371="","",IF(H1371&lt;&gt;"","Kapandı",IF('Vade Sapması'!$D$3&gt;G1371,"Açık · vadesi geçti","Açık · vadesi gelmedi")))</f>
        <v/>
      </c>
      <c r="O1371" s="30" t="str">
        <f aca="false">IF(F1371="","",IF(AND(H1371="",'Vade Sapması'!$D$3&gt;G1371),'Vade Sapması'!$D$3-G1371,0))</f>
        <v/>
      </c>
      <c r="P1371" s="33" t="str">
        <f aca="false">IF(F1371="","",F1371*J1371)</f>
        <v/>
      </c>
      <c r="Q1371" s="33" t="str">
        <f aca="false">IF(F1371="","",F1371*L1371)</f>
        <v/>
      </c>
      <c r="R1371" s="33" t="str">
        <f aca="false">IF(F1371="","",IF(H1371="",F1371,0))</f>
        <v/>
      </c>
      <c r="S1371" s="32" t="str">
        <f aca="false">IF(F1371="","",IF(N(O1371)=0,"",IF(O1371&lt;=30,"1-30",IF(O1371&lt;=60,"31-60",IF(O1371&lt;=90,"61-90","90+")))))</f>
        <v/>
      </c>
      <c r="T1371" s="32" t="str">
        <f aca="false">IF(F1371="","",IF(E1371="","Diğer",E1371))</f>
        <v/>
      </c>
      <c r="U1371" s="32" t="str">
        <f aca="false">IF(OR(F1371="",C1371=""),"",IF(COUNTIF($C$2:C1371,C1371)=1,MAX($U$1:U1370)+1,""))</f>
        <v/>
      </c>
    </row>
    <row r="1372" customFormat="false" ht="15" hidden="false" customHeight="false" outlineLevel="0" collapsed="false">
      <c r="A1372" s="34"/>
      <c r="B1372" s="9"/>
      <c r="C1372" s="34"/>
      <c r="D1372" s="34"/>
      <c r="E1372" s="34"/>
      <c r="F1372" s="35"/>
      <c r="G1372" s="9"/>
      <c r="H1372" s="9"/>
      <c r="I1372" s="34"/>
      <c r="J1372" s="30" t="str">
        <f aca="false">IF(F1372="","",G1372-B1372)</f>
        <v/>
      </c>
      <c r="K1372" s="31" t="str">
        <f aca="false">IF(F1372="","",IF(H1372&lt;&gt;"",H1372,MAX('Vade Sapması'!$D$3,G1372)))</f>
        <v/>
      </c>
      <c r="L1372" s="30" t="str">
        <f aca="false">IF(F1372="","",K1372-B1372)</f>
        <v/>
      </c>
      <c r="M1372" s="30" t="str">
        <f aca="false">IF(F1372="","",L1372-J1372)</f>
        <v/>
      </c>
      <c r="N1372" s="32" t="str">
        <f aca="false">IF(F1372="","",IF(H1372&lt;&gt;"","Kapandı",IF('Vade Sapması'!$D$3&gt;G1372,"Açık · vadesi geçti","Açık · vadesi gelmedi")))</f>
        <v/>
      </c>
      <c r="O1372" s="30" t="str">
        <f aca="false">IF(F1372="","",IF(AND(H1372="",'Vade Sapması'!$D$3&gt;G1372),'Vade Sapması'!$D$3-G1372,0))</f>
        <v/>
      </c>
      <c r="P1372" s="33" t="str">
        <f aca="false">IF(F1372="","",F1372*J1372)</f>
        <v/>
      </c>
      <c r="Q1372" s="33" t="str">
        <f aca="false">IF(F1372="","",F1372*L1372)</f>
        <v/>
      </c>
      <c r="R1372" s="33" t="str">
        <f aca="false">IF(F1372="","",IF(H1372="",F1372,0))</f>
        <v/>
      </c>
      <c r="S1372" s="32" t="str">
        <f aca="false">IF(F1372="","",IF(N(O1372)=0,"",IF(O1372&lt;=30,"1-30",IF(O1372&lt;=60,"31-60",IF(O1372&lt;=90,"61-90","90+")))))</f>
        <v/>
      </c>
      <c r="T1372" s="32" t="str">
        <f aca="false">IF(F1372="","",IF(E1372="","Diğer",E1372))</f>
        <v/>
      </c>
      <c r="U1372" s="32" t="str">
        <f aca="false">IF(OR(F1372="",C1372=""),"",IF(COUNTIF($C$2:C1372,C1372)=1,MAX($U$1:U1371)+1,""))</f>
        <v/>
      </c>
    </row>
    <row r="1373" customFormat="false" ht="15" hidden="false" customHeight="false" outlineLevel="0" collapsed="false">
      <c r="A1373" s="34"/>
      <c r="B1373" s="9"/>
      <c r="C1373" s="34"/>
      <c r="D1373" s="34"/>
      <c r="E1373" s="34"/>
      <c r="F1373" s="35"/>
      <c r="G1373" s="9"/>
      <c r="H1373" s="9"/>
      <c r="I1373" s="34"/>
      <c r="J1373" s="30" t="str">
        <f aca="false">IF(F1373="","",G1373-B1373)</f>
        <v/>
      </c>
      <c r="K1373" s="31" t="str">
        <f aca="false">IF(F1373="","",IF(H1373&lt;&gt;"",H1373,MAX('Vade Sapması'!$D$3,G1373)))</f>
        <v/>
      </c>
      <c r="L1373" s="30" t="str">
        <f aca="false">IF(F1373="","",K1373-B1373)</f>
        <v/>
      </c>
      <c r="M1373" s="30" t="str">
        <f aca="false">IF(F1373="","",L1373-J1373)</f>
        <v/>
      </c>
      <c r="N1373" s="32" t="str">
        <f aca="false">IF(F1373="","",IF(H1373&lt;&gt;"","Kapandı",IF('Vade Sapması'!$D$3&gt;G1373,"Açık · vadesi geçti","Açık · vadesi gelmedi")))</f>
        <v/>
      </c>
      <c r="O1373" s="30" t="str">
        <f aca="false">IF(F1373="","",IF(AND(H1373="",'Vade Sapması'!$D$3&gt;G1373),'Vade Sapması'!$D$3-G1373,0))</f>
        <v/>
      </c>
      <c r="P1373" s="33" t="str">
        <f aca="false">IF(F1373="","",F1373*J1373)</f>
        <v/>
      </c>
      <c r="Q1373" s="33" t="str">
        <f aca="false">IF(F1373="","",F1373*L1373)</f>
        <v/>
      </c>
      <c r="R1373" s="33" t="str">
        <f aca="false">IF(F1373="","",IF(H1373="",F1373,0))</f>
        <v/>
      </c>
      <c r="S1373" s="32" t="str">
        <f aca="false">IF(F1373="","",IF(N(O1373)=0,"",IF(O1373&lt;=30,"1-30",IF(O1373&lt;=60,"31-60",IF(O1373&lt;=90,"61-90","90+")))))</f>
        <v/>
      </c>
      <c r="T1373" s="32" t="str">
        <f aca="false">IF(F1373="","",IF(E1373="","Diğer",E1373))</f>
        <v/>
      </c>
      <c r="U1373" s="32" t="str">
        <f aca="false">IF(OR(F1373="",C1373=""),"",IF(COUNTIF($C$2:C1373,C1373)=1,MAX($U$1:U1372)+1,""))</f>
        <v/>
      </c>
    </row>
    <row r="1374" customFormat="false" ht="15" hidden="false" customHeight="false" outlineLevel="0" collapsed="false">
      <c r="A1374" s="34"/>
      <c r="B1374" s="9"/>
      <c r="C1374" s="34"/>
      <c r="D1374" s="34"/>
      <c r="E1374" s="34"/>
      <c r="F1374" s="35"/>
      <c r="G1374" s="9"/>
      <c r="H1374" s="9"/>
      <c r="I1374" s="34"/>
      <c r="J1374" s="30" t="str">
        <f aca="false">IF(F1374="","",G1374-B1374)</f>
        <v/>
      </c>
      <c r="K1374" s="31" t="str">
        <f aca="false">IF(F1374="","",IF(H1374&lt;&gt;"",H1374,MAX('Vade Sapması'!$D$3,G1374)))</f>
        <v/>
      </c>
      <c r="L1374" s="30" t="str">
        <f aca="false">IF(F1374="","",K1374-B1374)</f>
        <v/>
      </c>
      <c r="M1374" s="30" t="str">
        <f aca="false">IF(F1374="","",L1374-J1374)</f>
        <v/>
      </c>
      <c r="N1374" s="32" t="str">
        <f aca="false">IF(F1374="","",IF(H1374&lt;&gt;"","Kapandı",IF('Vade Sapması'!$D$3&gt;G1374,"Açık · vadesi geçti","Açık · vadesi gelmedi")))</f>
        <v/>
      </c>
      <c r="O1374" s="30" t="str">
        <f aca="false">IF(F1374="","",IF(AND(H1374="",'Vade Sapması'!$D$3&gt;G1374),'Vade Sapması'!$D$3-G1374,0))</f>
        <v/>
      </c>
      <c r="P1374" s="33" t="str">
        <f aca="false">IF(F1374="","",F1374*J1374)</f>
        <v/>
      </c>
      <c r="Q1374" s="33" t="str">
        <f aca="false">IF(F1374="","",F1374*L1374)</f>
        <v/>
      </c>
      <c r="R1374" s="33" t="str">
        <f aca="false">IF(F1374="","",IF(H1374="",F1374,0))</f>
        <v/>
      </c>
      <c r="S1374" s="32" t="str">
        <f aca="false">IF(F1374="","",IF(N(O1374)=0,"",IF(O1374&lt;=30,"1-30",IF(O1374&lt;=60,"31-60",IF(O1374&lt;=90,"61-90","90+")))))</f>
        <v/>
      </c>
      <c r="T1374" s="32" t="str">
        <f aca="false">IF(F1374="","",IF(E1374="","Diğer",E1374))</f>
        <v/>
      </c>
      <c r="U1374" s="32" t="str">
        <f aca="false">IF(OR(F1374="",C1374=""),"",IF(COUNTIF($C$2:C1374,C1374)=1,MAX($U$1:U1373)+1,""))</f>
        <v/>
      </c>
    </row>
    <row r="1375" customFormat="false" ht="15" hidden="false" customHeight="false" outlineLevel="0" collapsed="false">
      <c r="A1375" s="34"/>
      <c r="B1375" s="9"/>
      <c r="C1375" s="34"/>
      <c r="D1375" s="34"/>
      <c r="E1375" s="34"/>
      <c r="F1375" s="35"/>
      <c r="G1375" s="9"/>
      <c r="H1375" s="9"/>
      <c r="I1375" s="34"/>
      <c r="J1375" s="30" t="str">
        <f aca="false">IF(F1375="","",G1375-B1375)</f>
        <v/>
      </c>
      <c r="K1375" s="31" t="str">
        <f aca="false">IF(F1375="","",IF(H1375&lt;&gt;"",H1375,MAX('Vade Sapması'!$D$3,G1375)))</f>
        <v/>
      </c>
      <c r="L1375" s="30" t="str">
        <f aca="false">IF(F1375="","",K1375-B1375)</f>
        <v/>
      </c>
      <c r="M1375" s="30" t="str">
        <f aca="false">IF(F1375="","",L1375-J1375)</f>
        <v/>
      </c>
      <c r="N1375" s="32" t="str">
        <f aca="false">IF(F1375="","",IF(H1375&lt;&gt;"","Kapandı",IF('Vade Sapması'!$D$3&gt;G1375,"Açık · vadesi geçti","Açık · vadesi gelmedi")))</f>
        <v/>
      </c>
      <c r="O1375" s="30" t="str">
        <f aca="false">IF(F1375="","",IF(AND(H1375="",'Vade Sapması'!$D$3&gt;G1375),'Vade Sapması'!$D$3-G1375,0))</f>
        <v/>
      </c>
      <c r="P1375" s="33" t="str">
        <f aca="false">IF(F1375="","",F1375*J1375)</f>
        <v/>
      </c>
      <c r="Q1375" s="33" t="str">
        <f aca="false">IF(F1375="","",F1375*L1375)</f>
        <v/>
      </c>
      <c r="R1375" s="33" t="str">
        <f aca="false">IF(F1375="","",IF(H1375="",F1375,0))</f>
        <v/>
      </c>
      <c r="S1375" s="32" t="str">
        <f aca="false">IF(F1375="","",IF(N(O1375)=0,"",IF(O1375&lt;=30,"1-30",IF(O1375&lt;=60,"31-60",IF(O1375&lt;=90,"61-90","90+")))))</f>
        <v/>
      </c>
      <c r="T1375" s="32" t="str">
        <f aca="false">IF(F1375="","",IF(E1375="","Diğer",E1375))</f>
        <v/>
      </c>
      <c r="U1375" s="32" t="str">
        <f aca="false">IF(OR(F1375="",C1375=""),"",IF(COUNTIF($C$2:C1375,C1375)=1,MAX($U$1:U1374)+1,""))</f>
        <v/>
      </c>
    </row>
    <row r="1376" customFormat="false" ht="15" hidden="false" customHeight="false" outlineLevel="0" collapsed="false">
      <c r="A1376" s="34"/>
      <c r="B1376" s="9"/>
      <c r="C1376" s="34"/>
      <c r="D1376" s="34"/>
      <c r="E1376" s="34"/>
      <c r="F1376" s="35"/>
      <c r="G1376" s="9"/>
      <c r="H1376" s="9"/>
      <c r="I1376" s="34"/>
      <c r="J1376" s="30" t="str">
        <f aca="false">IF(F1376="","",G1376-B1376)</f>
        <v/>
      </c>
      <c r="K1376" s="31" t="str">
        <f aca="false">IF(F1376="","",IF(H1376&lt;&gt;"",H1376,MAX('Vade Sapması'!$D$3,G1376)))</f>
        <v/>
      </c>
      <c r="L1376" s="30" t="str">
        <f aca="false">IF(F1376="","",K1376-B1376)</f>
        <v/>
      </c>
      <c r="M1376" s="30" t="str">
        <f aca="false">IF(F1376="","",L1376-J1376)</f>
        <v/>
      </c>
      <c r="N1376" s="32" t="str">
        <f aca="false">IF(F1376="","",IF(H1376&lt;&gt;"","Kapandı",IF('Vade Sapması'!$D$3&gt;G1376,"Açık · vadesi geçti","Açık · vadesi gelmedi")))</f>
        <v/>
      </c>
      <c r="O1376" s="30" t="str">
        <f aca="false">IF(F1376="","",IF(AND(H1376="",'Vade Sapması'!$D$3&gt;G1376),'Vade Sapması'!$D$3-G1376,0))</f>
        <v/>
      </c>
      <c r="P1376" s="33" t="str">
        <f aca="false">IF(F1376="","",F1376*J1376)</f>
        <v/>
      </c>
      <c r="Q1376" s="33" t="str">
        <f aca="false">IF(F1376="","",F1376*L1376)</f>
        <v/>
      </c>
      <c r="R1376" s="33" t="str">
        <f aca="false">IF(F1376="","",IF(H1376="",F1376,0))</f>
        <v/>
      </c>
      <c r="S1376" s="32" t="str">
        <f aca="false">IF(F1376="","",IF(N(O1376)=0,"",IF(O1376&lt;=30,"1-30",IF(O1376&lt;=60,"31-60",IF(O1376&lt;=90,"61-90","90+")))))</f>
        <v/>
      </c>
      <c r="T1376" s="32" t="str">
        <f aca="false">IF(F1376="","",IF(E1376="","Diğer",E1376))</f>
        <v/>
      </c>
      <c r="U1376" s="32" t="str">
        <f aca="false">IF(OR(F1376="",C1376=""),"",IF(COUNTIF($C$2:C1376,C1376)=1,MAX($U$1:U1375)+1,""))</f>
        <v/>
      </c>
    </row>
    <row r="1377" customFormat="false" ht="15" hidden="false" customHeight="false" outlineLevel="0" collapsed="false">
      <c r="A1377" s="34"/>
      <c r="B1377" s="9"/>
      <c r="C1377" s="34"/>
      <c r="D1377" s="34"/>
      <c r="E1377" s="34"/>
      <c r="F1377" s="35"/>
      <c r="G1377" s="9"/>
      <c r="H1377" s="9"/>
      <c r="I1377" s="34"/>
      <c r="J1377" s="30" t="str">
        <f aca="false">IF(F1377="","",G1377-B1377)</f>
        <v/>
      </c>
      <c r="K1377" s="31" t="str">
        <f aca="false">IF(F1377="","",IF(H1377&lt;&gt;"",H1377,MAX('Vade Sapması'!$D$3,G1377)))</f>
        <v/>
      </c>
      <c r="L1377" s="30" t="str">
        <f aca="false">IF(F1377="","",K1377-B1377)</f>
        <v/>
      </c>
      <c r="M1377" s="30" t="str">
        <f aca="false">IF(F1377="","",L1377-J1377)</f>
        <v/>
      </c>
      <c r="N1377" s="32" t="str">
        <f aca="false">IF(F1377="","",IF(H1377&lt;&gt;"","Kapandı",IF('Vade Sapması'!$D$3&gt;G1377,"Açık · vadesi geçti","Açık · vadesi gelmedi")))</f>
        <v/>
      </c>
      <c r="O1377" s="30" t="str">
        <f aca="false">IF(F1377="","",IF(AND(H1377="",'Vade Sapması'!$D$3&gt;G1377),'Vade Sapması'!$D$3-G1377,0))</f>
        <v/>
      </c>
      <c r="P1377" s="33" t="str">
        <f aca="false">IF(F1377="","",F1377*J1377)</f>
        <v/>
      </c>
      <c r="Q1377" s="33" t="str">
        <f aca="false">IF(F1377="","",F1377*L1377)</f>
        <v/>
      </c>
      <c r="R1377" s="33" t="str">
        <f aca="false">IF(F1377="","",IF(H1377="",F1377,0))</f>
        <v/>
      </c>
      <c r="S1377" s="32" t="str">
        <f aca="false">IF(F1377="","",IF(N(O1377)=0,"",IF(O1377&lt;=30,"1-30",IF(O1377&lt;=60,"31-60",IF(O1377&lt;=90,"61-90","90+")))))</f>
        <v/>
      </c>
      <c r="T1377" s="32" t="str">
        <f aca="false">IF(F1377="","",IF(E1377="","Diğer",E1377))</f>
        <v/>
      </c>
      <c r="U1377" s="32" t="str">
        <f aca="false">IF(OR(F1377="",C1377=""),"",IF(COUNTIF($C$2:C1377,C1377)=1,MAX($U$1:U1376)+1,""))</f>
        <v/>
      </c>
    </row>
    <row r="1378" customFormat="false" ht="15" hidden="false" customHeight="false" outlineLevel="0" collapsed="false">
      <c r="A1378" s="34"/>
      <c r="B1378" s="9"/>
      <c r="C1378" s="34"/>
      <c r="D1378" s="34"/>
      <c r="E1378" s="34"/>
      <c r="F1378" s="35"/>
      <c r="G1378" s="9"/>
      <c r="H1378" s="9"/>
      <c r="I1378" s="34"/>
      <c r="J1378" s="30" t="str">
        <f aca="false">IF(F1378="","",G1378-B1378)</f>
        <v/>
      </c>
      <c r="K1378" s="31" t="str">
        <f aca="false">IF(F1378="","",IF(H1378&lt;&gt;"",H1378,MAX('Vade Sapması'!$D$3,G1378)))</f>
        <v/>
      </c>
      <c r="L1378" s="30" t="str">
        <f aca="false">IF(F1378="","",K1378-B1378)</f>
        <v/>
      </c>
      <c r="M1378" s="30" t="str">
        <f aca="false">IF(F1378="","",L1378-J1378)</f>
        <v/>
      </c>
      <c r="N1378" s="32" t="str">
        <f aca="false">IF(F1378="","",IF(H1378&lt;&gt;"","Kapandı",IF('Vade Sapması'!$D$3&gt;G1378,"Açık · vadesi geçti","Açık · vadesi gelmedi")))</f>
        <v/>
      </c>
      <c r="O1378" s="30" t="str">
        <f aca="false">IF(F1378="","",IF(AND(H1378="",'Vade Sapması'!$D$3&gt;G1378),'Vade Sapması'!$D$3-G1378,0))</f>
        <v/>
      </c>
      <c r="P1378" s="33" t="str">
        <f aca="false">IF(F1378="","",F1378*J1378)</f>
        <v/>
      </c>
      <c r="Q1378" s="33" t="str">
        <f aca="false">IF(F1378="","",F1378*L1378)</f>
        <v/>
      </c>
      <c r="R1378" s="33" t="str">
        <f aca="false">IF(F1378="","",IF(H1378="",F1378,0))</f>
        <v/>
      </c>
      <c r="S1378" s="32" t="str">
        <f aca="false">IF(F1378="","",IF(N(O1378)=0,"",IF(O1378&lt;=30,"1-30",IF(O1378&lt;=60,"31-60",IF(O1378&lt;=90,"61-90","90+")))))</f>
        <v/>
      </c>
      <c r="T1378" s="32" t="str">
        <f aca="false">IF(F1378="","",IF(E1378="","Diğer",E1378))</f>
        <v/>
      </c>
      <c r="U1378" s="32" t="str">
        <f aca="false">IF(OR(F1378="",C1378=""),"",IF(COUNTIF($C$2:C1378,C1378)=1,MAX($U$1:U1377)+1,""))</f>
        <v/>
      </c>
    </row>
    <row r="1379" customFormat="false" ht="15" hidden="false" customHeight="false" outlineLevel="0" collapsed="false">
      <c r="A1379" s="34"/>
      <c r="B1379" s="9"/>
      <c r="C1379" s="34"/>
      <c r="D1379" s="34"/>
      <c r="E1379" s="34"/>
      <c r="F1379" s="35"/>
      <c r="G1379" s="9"/>
      <c r="H1379" s="9"/>
      <c r="I1379" s="34"/>
      <c r="J1379" s="30" t="str">
        <f aca="false">IF(F1379="","",G1379-B1379)</f>
        <v/>
      </c>
      <c r="K1379" s="31" t="str">
        <f aca="false">IF(F1379="","",IF(H1379&lt;&gt;"",H1379,MAX('Vade Sapması'!$D$3,G1379)))</f>
        <v/>
      </c>
      <c r="L1379" s="30" t="str">
        <f aca="false">IF(F1379="","",K1379-B1379)</f>
        <v/>
      </c>
      <c r="M1379" s="30" t="str">
        <f aca="false">IF(F1379="","",L1379-J1379)</f>
        <v/>
      </c>
      <c r="N1379" s="32" t="str">
        <f aca="false">IF(F1379="","",IF(H1379&lt;&gt;"","Kapandı",IF('Vade Sapması'!$D$3&gt;G1379,"Açık · vadesi geçti","Açık · vadesi gelmedi")))</f>
        <v/>
      </c>
      <c r="O1379" s="30" t="str">
        <f aca="false">IF(F1379="","",IF(AND(H1379="",'Vade Sapması'!$D$3&gt;G1379),'Vade Sapması'!$D$3-G1379,0))</f>
        <v/>
      </c>
      <c r="P1379" s="33" t="str">
        <f aca="false">IF(F1379="","",F1379*J1379)</f>
        <v/>
      </c>
      <c r="Q1379" s="33" t="str">
        <f aca="false">IF(F1379="","",F1379*L1379)</f>
        <v/>
      </c>
      <c r="R1379" s="33" t="str">
        <f aca="false">IF(F1379="","",IF(H1379="",F1379,0))</f>
        <v/>
      </c>
      <c r="S1379" s="32" t="str">
        <f aca="false">IF(F1379="","",IF(N(O1379)=0,"",IF(O1379&lt;=30,"1-30",IF(O1379&lt;=60,"31-60",IF(O1379&lt;=90,"61-90","90+")))))</f>
        <v/>
      </c>
      <c r="T1379" s="32" t="str">
        <f aca="false">IF(F1379="","",IF(E1379="","Diğer",E1379))</f>
        <v/>
      </c>
      <c r="U1379" s="32" t="str">
        <f aca="false">IF(OR(F1379="",C1379=""),"",IF(COUNTIF($C$2:C1379,C1379)=1,MAX($U$1:U1378)+1,""))</f>
        <v/>
      </c>
    </row>
    <row r="1380" customFormat="false" ht="15" hidden="false" customHeight="false" outlineLevel="0" collapsed="false">
      <c r="A1380" s="34"/>
      <c r="B1380" s="9"/>
      <c r="C1380" s="34"/>
      <c r="D1380" s="34"/>
      <c r="E1380" s="34"/>
      <c r="F1380" s="35"/>
      <c r="G1380" s="9"/>
      <c r="H1380" s="9"/>
      <c r="I1380" s="34"/>
      <c r="J1380" s="30" t="str">
        <f aca="false">IF(F1380="","",G1380-B1380)</f>
        <v/>
      </c>
      <c r="K1380" s="31" t="str">
        <f aca="false">IF(F1380="","",IF(H1380&lt;&gt;"",H1380,MAX('Vade Sapması'!$D$3,G1380)))</f>
        <v/>
      </c>
      <c r="L1380" s="30" t="str">
        <f aca="false">IF(F1380="","",K1380-B1380)</f>
        <v/>
      </c>
      <c r="M1380" s="30" t="str">
        <f aca="false">IF(F1380="","",L1380-J1380)</f>
        <v/>
      </c>
      <c r="N1380" s="32" t="str">
        <f aca="false">IF(F1380="","",IF(H1380&lt;&gt;"","Kapandı",IF('Vade Sapması'!$D$3&gt;G1380,"Açık · vadesi geçti","Açık · vadesi gelmedi")))</f>
        <v/>
      </c>
      <c r="O1380" s="30" t="str">
        <f aca="false">IF(F1380="","",IF(AND(H1380="",'Vade Sapması'!$D$3&gt;G1380),'Vade Sapması'!$D$3-G1380,0))</f>
        <v/>
      </c>
      <c r="P1380" s="33" t="str">
        <f aca="false">IF(F1380="","",F1380*J1380)</f>
        <v/>
      </c>
      <c r="Q1380" s="33" t="str">
        <f aca="false">IF(F1380="","",F1380*L1380)</f>
        <v/>
      </c>
      <c r="R1380" s="33" t="str">
        <f aca="false">IF(F1380="","",IF(H1380="",F1380,0))</f>
        <v/>
      </c>
      <c r="S1380" s="32" t="str">
        <f aca="false">IF(F1380="","",IF(N(O1380)=0,"",IF(O1380&lt;=30,"1-30",IF(O1380&lt;=60,"31-60",IF(O1380&lt;=90,"61-90","90+")))))</f>
        <v/>
      </c>
      <c r="T1380" s="32" t="str">
        <f aca="false">IF(F1380="","",IF(E1380="","Diğer",E1380))</f>
        <v/>
      </c>
      <c r="U1380" s="32" t="str">
        <f aca="false">IF(OR(F1380="",C1380=""),"",IF(COUNTIF($C$2:C1380,C1380)=1,MAX($U$1:U1379)+1,""))</f>
        <v/>
      </c>
    </row>
    <row r="1381" customFormat="false" ht="15" hidden="false" customHeight="false" outlineLevel="0" collapsed="false">
      <c r="A1381" s="34"/>
      <c r="B1381" s="9"/>
      <c r="C1381" s="34"/>
      <c r="D1381" s="34"/>
      <c r="E1381" s="34"/>
      <c r="F1381" s="35"/>
      <c r="G1381" s="9"/>
      <c r="H1381" s="9"/>
      <c r="I1381" s="34"/>
      <c r="J1381" s="30" t="str">
        <f aca="false">IF(F1381="","",G1381-B1381)</f>
        <v/>
      </c>
      <c r="K1381" s="31" t="str">
        <f aca="false">IF(F1381="","",IF(H1381&lt;&gt;"",H1381,MAX('Vade Sapması'!$D$3,G1381)))</f>
        <v/>
      </c>
      <c r="L1381" s="30" t="str">
        <f aca="false">IF(F1381="","",K1381-B1381)</f>
        <v/>
      </c>
      <c r="M1381" s="30" t="str">
        <f aca="false">IF(F1381="","",L1381-J1381)</f>
        <v/>
      </c>
      <c r="N1381" s="32" t="str">
        <f aca="false">IF(F1381="","",IF(H1381&lt;&gt;"","Kapandı",IF('Vade Sapması'!$D$3&gt;G1381,"Açık · vadesi geçti","Açık · vadesi gelmedi")))</f>
        <v/>
      </c>
      <c r="O1381" s="30" t="str">
        <f aca="false">IF(F1381="","",IF(AND(H1381="",'Vade Sapması'!$D$3&gt;G1381),'Vade Sapması'!$D$3-G1381,0))</f>
        <v/>
      </c>
      <c r="P1381" s="33" t="str">
        <f aca="false">IF(F1381="","",F1381*J1381)</f>
        <v/>
      </c>
      <c r="Q1381" s="33" t="str">
        <f aca="false">IF(F1381="","",F1381*L1381)</f>
        <v/>
      </c>
      <c r="R1381" s="33" t="str">
        <f aca="false">IF(F1381="","",IF(H1381="",F1381,0))</f>
        <v/>
      </c>
      <c r="S1381" s="32" t="str">
        <f aca="false">IF(F1381="","",IF(N(O1381)=0,"",IF(O1381&lt;=30,"1-30",IF(O1381&lt;=60,"31-60",IF(O1381&lt;=90,"61-90","90+")))))</f>
        <v/>
      </c>
      <c r="T1381" s="32" t="str">
        <f aca="false">IF(F1381="","",IF(E1381="","Diğer",E1381))</f>
        <v/>
      </c>
      <c r="U1381" s="32" t="str">
        <f aca="false">IF(OR(F1381="",C1381=""),"",IF(COUNTIF($C$2:C1381,C1381)=1,MAX($U$1:U1380)+1,""))</f>
        <v/>
      </c>
    </row>
    <row r="1382" customFormat="false" ht="15" hidden="false" customHeight="false" outlineLevel="0" collapsed="false">
      <c r="A1382" s="34"/>
      <c r="B1382" s="9"/>
      <c r="C1382" s="34"/>
      <c r="D1382" s="34"/>
      <c r="E1382" s="34"/>
      <c r="F1382" s="35"/>
      <c r="G1382" s="9"/>
      <c r="H1382" s="9"/>
      <c r="I1382" s="34"/>
      <c r="J1382" s="30" t="str">
        <f aca="false">IF(F1382="","",G1382-B1382)</f>
        <v/>
      </c>
      <c r="K1382" s="31" t="str">
        <f aca="false">IF(F1382="","",IF(H1382&lt;&gt;"",H1382,MAX('Vade Sapması'!$D$3,G1382)))</f>
        <v/>
      </c>
      <c r="L1382" s="30" t="str">
        <f aca="false">IF(F1382="","",K1382-B1382)</f>
        <v/>
      </c>
      <c r="M1382" s="30" t="str">
        <f aca="false">IF(F1382="","",L1382-J1382)</f>
        <v/>
      </c>
      <c r="N1382" s="32" t="str">
        <f aca="false">IF(F1382="","",IF(H1382&lt;&gt;"","Kapandı",IF('Vade Sapması'!$D$3&gt;G1382,"Açık · vadesi geçti","Açık · vadesi gelmedi")))</f>
        <v/>
      </c>
      <c r="O1382" s="30" t="str">
        <f aca="false">IF(F1382="","",IF(AND(H1382="",'Vade Sapması'!$D$3&gt;G1382),'Vade Sapması'!$D$3-G1382,0))</f>
        <v/>
      </c>
      <c r="P1382" s="33" t="str">
        <f aca="false">IF(F1382="","",F1382*J1382)</f>
        <v/>
      </c>
      <c r="Q1382" s="33" t="str">
        <f aca="false">IF(F1382="","",F1382*L1382)</f>
        <v/>
      </c>
      <c r="R1382" s="33" t="str">
        <f aca="false">IF(F1382="","",IF(H1382="",F1382,0))</f>
        <v/>
      </c>
      <c r="S1382" s="32" t="str">
        <f aca="false">IF(F1382="","",IF(N(O1382)=0,"",IF(O1382&lt;=30,"1-30",IF(O1382&lt;=60,"31-60",IF(O1382&lt;=90,"61-90","90+")))))</f>
        <v/>
      </c>
      <c r="T1382" s="32" t="str">
        <f aca="false">IF(F1382="","",IF(E1382="","Diğer",E1382))</f>
        <v/>
      </c>
      <c r="U1382" s="32" t="str">
        <f aca="false">IF(OR(F1382="",C1382=""),"",IF(COUNTIF($C$2:C1382,C1382)=1,MAX($U$1:U1381)+1,""))</f>
        <v/>
      </c>
    </row>
    <row r="1383" customFormat="false" ht="15" hidden="false" customHeight="false" outlineLevel="0" collapsed="false">
      <c r="A1383" s="34"/>
      <c r="B1383" s="9"/>
      <c r="C1383" s="34"/>
      <c r="D1383" s="34"/>
      <c r="E1383" s="34"/>
      <c r="F1383" s="35"/>
      <c r="G1383" s="9"/>
      <c r="H1383" s="9"/>
      <c r="I1383" s="34"/>
      <c r="J1383" s="30" t="str">
        <f aca="false">IF(F1383="","",G1383-B1383)</f>
        <v/>
      </c>
      <c r="K1383" s="31" t="str">
        <f aca="false">IF(F1383="","",IF(H1383&lt;&gt;"",H1383,MAX('Vade Sapması'!$D$3,G1383)))</f>
        <v/>
      </c>
      <c r="L1383" s="30" t="str">
        <f aca="false">IF(F1383="","",K1383-B1383)</f>
        <v/>
      </c>
      <c r="M1383" s="30" t="str">
        <f aca="false">IF(F1383="","",L1383-J1383)</f>
        <v/>
      </c>
      <c r="N1383" s="32" t="str">
        <f aca="false">IF(F1383="","",IF(H1383&lt;&gt;"","Kapandı",IF('Vade Sapması'!$D$3&gt;G1383,"Açık · vadesi geçti","Açık · vadesi gelmedi")))</f>
        <v/>
      </c>
      <c r="O1383" s="30" t="str">
        <f aca="false">IF(F1383="","",IF(AND(H1383="",'Vade Sapması'!$D$3&gt;G1383),'Vade Sapması'!$D$3-G1383,0))</f>
        <v/>
      </c>
      <c r="P1383" s="33" t="str">
        <f aca="false">IF(F1383="","",F1383*J1383)</f>
        <v/>
      </c>
      <c r="Q1383" s="33" t="str">
        <f aca="false">IF(F1383="","",F1383*L1383)</f>
        <v/>
      </c>
      <c r="R1383" s="33" t="str">
        <f aca="false">IF(F1383="","",IF(H1383="",F1383,0))</f>
        <v/>
      </c>
      <c r="S1383" s="32" t="str">
        <f aca="false">IF(F1383="","",IF(N(O1383)=0,"",IF(O1383&lt;=30,"1-30",IF(O1383&lt;=60,"31-60",IF(O1383&lt;=90,"61-90","90+")))))</f>
        <v/>
      </c>
      <c r="T1383" s="32" t="str">
        <f aca="false">IF(F1383="","",IF(E1383="","Diğer",E1383))</f>
        <v/>
      </c>
      <c r="U1383" s="32" t="str">
        <f aca="false">IF(OR(F1383="",C1383=""),"",IF(COUNTIF($C$2:C1383,C1383)=1,MAX($U$1:U1382)+1,""))</f>
        <v/>
      </c>
    </row>
    <row r="1384" customFormat="false" ht="15" hidden="false" customHeight="false" outlineLevel="0" collapsed="false">
      <c r="A1384" s="34"/>
      <c r="B1384" s="9"/>
      <c r="C1384" s="34"/>
      <c r="D1384" s="34"/>
      <c r="E1384" s="34"/>
      <c r="F1384" s="35"/>
      <c r="G1384" s="9"/>
      <c r="H1384" s="9"/>
      <c r="I1384" s="34"/>
      <c r="J1384" s="30" t="str">
        <f aca="false">IF(F1384="","",G1384-B1384)</f>
        <v/>
      </c>
      <c r="K1384" s="31" t="str">
        <f aca="false">IF(F1384="","",IF(H1384&lt;&gt;"",H1384,MAX('Vade Sapması'!$D$3,G1384)))</f>
        <v/>
      </c>
      <c r="L1384" s="30" t="str">
        <f aca="false">IF(F1384="","",K1384-B1384)</f>
        <v/>
      </c>
      <c r="M1384" s="30" t="str">
        <f aca="false">IF(F1384="","",L1384-J1384)</f>
        <v/>
      </c>
      <c r="N1384" s="32" t="str">
        <f aca="false">IF(F1384="","",IF(H1384&lt;&gt;"","Kapandı",IF('Vade Sapması'!$D$3&gt;G1384,"Açık · vadesi geçti","Açık · vadesi gelmedi")))</f>
        <v/>
      </c>
      <c r="O1384" s="30" t="str">
        <f aca="false">IF(F1384="","",IF(AND(H1384="",'Vade Sapması'!$D$3&gt;G1384),'Vade Sapması'!$D$3-G1384,0))</f>
        <v/>
      </c>
      <c r="P1384" s="33" t="str">
        <f aca="false">IF(F1384="","",F1384*J1384)</f>
        <v/>
      </c>
      <c r="Q1384" s="33" t="str">
        <f aca="false">IF(F1384="","",F1384*L1384)</f>
        <v/>
      </c>
      <c r="R1384" s="33" t="str">
        <f aca="false">IF(F1384="","",IF(H1384="",F1384,0))</f>
        <v/>
      </c>
      <c r="S1384" s="32" t="str">
        <f aca="false">IF(F1384="","",IF(N(O1384)=0,"",IF(O1384&lt;=30,"1-30",IF(O1384&lt;=60,"31-60",IF(O1384&lt;=90,"61-90","90+")))))</f>
        <v/>
      </c>
      <c r="T1384" s="32" t="str">
        <f aca="false">IF(F1384="","",IF(E1384="","Diğer",E1384))</f>
        <v/>
      </c>
      <c r="U1384" s="32" t="str">
        <f aca="false">IF(OR(F1384="",C1384=""),"",IF(COUNTIF($C$2:C1384,C1384)=1,MAX($U$1:U1383)+1,""))</f>
        <v/>
      </c>
    </row>
    <row r="1385" customFormat="false" ht="15" hidden="false" customHeight="false" outlineLevel="0" collapsed="false">
      <c r="A1385" s="34"/>
      <c r="B1385" s="9"/>
      <c r="C1385" s="34"/>
      <c r="D1385" s="34"/>
      <c r="E1385" s="34"/>
      <c r="F1385" s="35"/>
      <c r="G1385" s="9"/>
      <c r="H1385" s="9"/>
      <c r="I1385" s="34"/>
      <c r="J1385" s="30" t="str">
        <f aca="false">IF(F1385="","",G1385-B1385)</f>
        <v/>
      </c>
      <c r="K1385" s="31" t="str">
        <f aca="false">IF(F1385="","",IF(H1385&lt;&gt;"",H1385,MAX('Vade Sapması'!$D$3,G1385)))</f>
        <v/>
      </c>
      <c r="L1385" s="30" t="str">
        <f aca="false">IF(F1385="","",K1385-B1385)</f>
        <v/>
      </c>
      <c r="M1385" s="30" t="str">
        <f aca="false">IF(F1385="","",L1385-J1385)</f>
        <v/>
      </c>
      <c r="N1385" s="32" t="str">
        <f aca="false">IF(F1385="","",IF(H1385&lt;&gt;"","Kapandı",IF('Vade Sapması'!$D$3&gt;G1385,"Açık · vadesi geçti","Açık · vadesi gelmedi")))</f>
        <v/>
      </c>
      <c r="O1385" s="30" t="str">
        <f aca="false">IF(F1385="","",IF(AND(H1385="",'Vade Sapması'!$D$3&gt;G1385),'Vade Sapması'!$D$3-G1385,0))</f>
        <v/>
      </c>
      <c r="P1385" s="33" t="str">
        <f aca="false">IF(F1385="","",F1385*J1385)</f>
        <v/>
      </c>
      <c r="Q1385" s="33" t="str">
        <f aca="false">IF(F1385="","",F1385*L1385)</f>
        <v/>
      </c>
      <c r="R1385" s="33" t="str">
        <f aca="false">IF(F1385="","",IF(H1385="",F1385,0))</f>
        <v/>
      </c>
      <c r="S1385" s="32" t="str">
        <f aca="false">IF(F1385="","",IF(N(O1385)=0,"",IF(O1385&lt;=30,"1-30",IF(O1385&lt;=60,"31-60",IF(O1385&lt;=90,"61-90","90+")))))</f>
        <v/>
      </c>
      <c r="T1385" s="32" t="str">
        <f aca="false">IF(F1385="","",IF(E1385="","Diğer",E1385))</f>
        <v/>
      </c>
      <c r="U1385" s="32" t="str">
        <f aca="false">IF(OR(F1385="",C1385=""),"",IF(COUNTIF($C$2:C1385,C1385)=1,MAX($U$1:U1384)+1,""))</f>
        <v/>
      </c>
    </row>
    <row r="1386" customFormat="false" ht="15" hidden="false" customHeight="false" outlineLevel="0" collapsed="false">
      <c r="A1386" s="34"/>
      <c r="B1386" s="9"/>
      <c r="C1386" s="34"/>
      <c r="D1386" s="34"/>
      <c r="E1386" s="34"/>
      <c r="F1386" s="35"/>
      <c r="G1386" s="9"/>
      <c r="H1386" s="9"/>
      <c r="I1386" s="34"/>
      <c r="J1386" s="30" t="str">
        <f aca="false">IF(F1386="","",G1386-B1386)</f>
        <v/>
      </c>
      <c r="K1386" s="31" t="str">
        <f aca="false">IF(F1386="","",IF(H1386&lt;&gt;"",H1386,MAX('Vade Sapması'!$D$3,G1386)))</f>
        <v/>
      </c>
      <c r="L1386" s="30" t="str">
        <f aca="false">IF(F1386="","",K1386-B1386)</f>
        <v/>
      </c>
      <c r="M1386" s="30" t="str">
        <f aca="false">IF(F1386="","",L1386-J1386)</f>
        <v/>
      </c>
      <c r="N1386" s="32" t="str">
        <f aca="false">IF(F1386="","",IF(H1386&lt;&gt;"","Kapandı",IF('Vade Sapması'!$D$3&gt;G1386,"Açık · vadesi geçti","Açık · vadesi gelmedi")))</f>
        <v/>
      </c>
      <c r="O1386" s="30" t="str">
        <f aca="false">IF(F1386="","",IF(AND(H1386="",'Vade Sapması'!$D$3&gt;G1386),'Vade Sapması'!$D$3-G1386,0))</f>
        <v/>
      </c>
      <c r="P1386" s="33" t="str">
        <f aca="false">IF(F1386="","",F1386*J1386)</f>
        <v/>
      </c>
      <c r="Q1386" s="33" t="str">
        <f aca="false">IF(F1386="","",F1386*L1386)</f>
        <v/>
      </c>
      <c r="R1386" s="33" t="str">
        <f aca="false">IF(F1386="","",IF(H1386="",F1386,0))</f>
        <v/>
      </c>
      <c r="S1386" s="32" t="str">
        <f aca="false">IF(F1386="","",IF(N(O1386)=0,"",IF(O1386&lt;=30,"1-30",IF(O1386&lt;=60,"31-60",IF(O1386&lt;=90,"61-90","90+")))))</f>
        <v/>
      </c>
      <c r="T1386" s="32" t="str">
        <f aca="false">IF(F1386="","",IF(E1386="","Diğer",E1386))</f>
        <v/>
      </c>
      <c r="U1386" s="32" t="str">
        <f aca="false">IF(OR(F1386="",C1386=""),"",IF(COUNTIF($C$2:C1386,C1386)=1,MAX($U$1:U1385)+1,""))</f>
        <v/>
      </c>
    </row>
    <row r="1387" customFormat="false" ht="15" hidden="false" customHeight="false" outlineLevel="0" collapsed="false">
      <c r="A1387" s="34"/>
      <c r="B1387" s="9"/>
      <c r="C1387" s="34"/>
      <c r="D1387" s="34"/>
      <c r="E1387" s="34"/>
      <c r="F1387" s="35"/>
      <c r="G1387" s="9"/>
      <c r="H1387" s="9"/>
      <c r="I1387" s="34"/>
      <c r="J1387" s="30" t="str">
        <f aca="false">IF(F1387="","",G1387-B1387)</f>
        <v/>
      </c>
      <c r="K1387" s="31" t="str">
        <f aca="false">IF(F1387="","",IF(H1387&lt;&gt;"",H1387,MAX('Vade Sapması'!$D$3,G1387)))</f>
        <v/>
      </c>
      <c r="L1387" s="30" t="str">
        <f aca="false">IF(F1387="","",K1387-B1387)</f>
        <v/>
      </c>
      <c r="M1387" s="30" t="str">
        <f aca="false">IF(F1387="","",L1387-J1387)</f>
        <v/>
      </c>
      <c r="N1387" s="32" t="str">
        <f aca="false">IF(F1387="","",IF(H1387&lt;&gt;"","Kapandı",IF('Vade Sapması'!$D$3&gt;G1387,"Açık · vadesi geçti","Açık · vadesi gelmedi")))</f>
        <v/>
      </c>
      <c r="O1387" s="30" t="str">
        <f aca="false">IF(F1387="","",IF(AND(H1387="",'Vade Sapması'!$D$3&gt;G1387),'Vade Sapması'!$D$3-G1387,0))</f>
        <v/>
      </c>
      <c r="P1387" s="33" t="str">
        <f aca="false">IF(F1387="","",F1387*J1387)</f>
        <v/>
      </c>
      <c r="Q1387" s="33" t="str">
        <f aca="false">IF(F1387="","",F1387*L1387)</f>
        <v/>
      </c>
      <c r="R1387" s="33" t="str">
        <f aca="false">IF(F1387="","",IF(H1387="",F1387,0))</f>
        <v/>
      </c>
      <c r="S1387" s="32" t="str">
        <f aca="false">IF(F1387="","",IF(N(O1387)=0,"",IF(O1387&lt;=30,"1-30",IF(O1387&lt;=60,"31-60",IF(O1387&lt;=90,"61-90","90+")))))</f>
        <v/>
      </c>
      <c r="T1387" s="32" t="str">
        <f aca="false">IF(F1387="","",IF(E1387="","Diğer",E1387))</f>
        <v/>
      </c>
      <c r="U1387" s="32" t="str">
        <f aca="false">IF(OR(F1387="",C1387=""),"",IF(COUNTIF($C$2:C1387,C1387)=1,MAX($U$1:U1386)+1,""))</f>
        <v/>
      </c>
    </row>
    <row r="1388" customFormat="false" ht="15" hidden="false" customHeight="false" outlineLevel="0" collapsed="false">
      <c r="A1388" s="34"/>
      <c r="B1388" s="9"/>
      <c r="C1388" s="34"/>
      <c r="D1388" s="34"/>
      <c r="E1388" s="34"/>
      <c r="F1388" s="35"/>
      <c r="G1388" s="9"/>
      <c r="H1388" s="9"/>
      <c r="I1388" s="34"/>
      <c r="J1388" s="30" t="str">
        <f aca="false">IF(F1388="","",G1388-B1388)</f>
        <v/>
      </c>
      <c r="K1388" s="31" t="str">
        <f aca="false">IF(F1388="","",IF(H1388&lt;&gt;"",H1388,MAX('Vade Sapması'!$D$3,G1388)))</f>
        <v/>
      </c>
      <c r="L1388" s="30" t="str">
        <f aca="false">IF(F1388="","",K1388-B1388)</f>
        <v/>
      </c>
      <c r="M1388" s="30" t="str">
        <f aca="false">IF(F1388="","",L1388-J1388)</f>
        <v/>
      </c>
      <c r="N1388" s="32" t="str">
        <f aca="false">IF(F1388="","",IF(H1388&lt;&gt;"","Kapandı",IF('Vade Sapması'!$D$3&gt;G1388,"Açık · vadesi geçti","Açık · vadesi gelmedi")))</f>
        <v/>
      </c>
      <c r="O1388" s="30" t="str">
        <f aca="false">IF(F1388="","",IF(AND(H1388="",'Vade Sapması'!$D$3&gt;G1388),'Vade Sapması'!$D$3-G1388,0))</f>
        <v/>
      </c>
      <c r="P1388" s="33" t="str">
        <f aca="false">IF(F1388="","",F1388*J1388)</f>
        <v/>
      </c>
      <c r="Q1388" s="33" t="str">
        <f aca="false">IF(F1388="","",F1388*L1388)</f>
        <v/>
      </c>
      <c r="R1388" s="33" t="str">
        <f aca="false">IF(F1388="","",IF(H1388="",F1388,0))</f>
        <v/>
      </c>
      <c r="S1388" s="32" t="str">
        <f aca="false">IF(F1388="","",IF(N(O1388)=0,"",IF(O1388&lt;=30,"1-30",IF(O1388&lt;=60,"31-60",IF(O1388&lt;=90,"61-90","90+")))))</f>
        <v/>
      </c>
      <c r="T1388" s="32" t="str">
        <f aca="false">IF(F1388="","",IF(E1388="","Diğer",E1388))</f>
        <v/>
      </c>
      <c r="U1388" s="32" t="str">
        <f aca="false">IF(OR(F1388="",C1388=""),"",IF(COUNTIF($C$2:C1388,C1388)=1,MAX($U$1:U1387)+1,""))</f>
        <v/>
      </c>
    </row>
    <row r="1389" customFormat="false" ht="15" hidden="false" customHeight="false" outlineLevel="0" collapsed="false">
      <c r="A1389" s="34"/>
      <c r="B1389" s="9"/>
      <c r="C1389" s="34"/>
      <c r="D1389" s="34"/>
      <c r="E1389" s="34"/>
      <c r="F1389" s="35"/>
      <c r="G1389" s="9"/>
      <c r="H1389" s="9"/>
      <c r="I1389" s="34"/>
      <c r="J1389" s="30" t="str">
        <f aca="false">IF(F1389="","",G1389-B1389)</f>
        <v/>
      </c>
      <c r="K1389" s="31" t="str">
        <f aca="false">IF(F1389="","",IF(H1389&lt;&gt;"",H1389,MAX('Vade Sapması'!$D$3,G1389)))</f>
        <v/>
      </c>
      <c r="L1389" s="30" t="str">
        <f aca="false">IF(F1389="","",K1389-B1389)</f>
        <v/>
      </c>
      <c r="M1389" s="30" t="str">
        <f aca="false">IF(F1389="","",L1389-J1389)</f>
        <v/>
      </c>
      <c r="N1389" s="32" t="str">
        <f aca="false">IF(F1389="","",IF(H1389&lt;&gt;"","Kapandı",IF('Vade Sapması'!$D$3&gt;G1389,"Açık · vadesi geçti","Açık · vadesi gelmedi")))</f>
        <v/>
      </c>
      <c r="O1389" s="30" t="str">
        <f aca="false">IF(F1389="","",IF(AND(H1389="",'Vade Sapması'!$D$3&gt;G1389),'Vade Sapması'!$D$3-G1389,0))</f>
        <v/>
      </c>
      <c r="P1389" s="33" t="str">
        <f aca="false">IF(F1389="","",F1389*J1389)</f>
        <v/>
      </c>
      <c r="Q1389" s="33" t="str">
        <f aca="false">IF(F1389="","",F1389*L1389)</f>
        <v/>
      </c>
      <c r="R1389" s="33" t="str">
        <f aca="false">IF(F1389="","",IF(H1389="",F1389,0))</f>
        <v/>
      </c>
      <c r="S1389" s="32" t="str">
        <f aca="false">IF(F1389="","",IF(N(O1389)=0,"",IF(O1389&lt;=30,"1-30",IF(O1389&lt;=60,"31-60",IF(O1389&lt;=90,"61-90","90+")))))</f>
        <v/>
      </c>
      <c r="T1389" s="32" t="str">
        <f aca="false">IF(F1389="","",IF(E1389="","Diğer",E1389))</f>
        <v/>
      </c>
      <c r="U1389" s="32" t="str">
        <f aca="false">IF(OR(F1389="",C1389=""),"",IF(COUNTIF($C$2:C1389,C1389)=1,MAX($U$1:U1388)+1,""))</f>
        <v/>
      </c>
    </row>
    <row r="1390" customFormat="false" ht="15" hidden="false" customHeight="false" outlineLevel="0" collapsed="false">
      <c r="A1390" s="34"/>
      <c r="B1390" s="9"/>
      <c r="C1390" s="34"/>
      <c r="D1390" s="34"/>
      <c r="E1390" s="34"/>
      <c r="F1390" s="35"/>
      <c r="G1390" s="9"/>
      <c r="H1390" s="9"/>
      <c r="I1390" s="34"/>
      <c r="J1390" s="30" t="str">
        <f aca="false">IF(F1390="","",G1390-B1390)</f>
        <v/>
      </c>
      <c r="K1390" s="31" t="str">
        <f aca="false">IF(F1390="","",IF(H1390&lt;&gt;"",H1390,MAX('Vade Sapması'!$D$3,G1390)))</f>
        <v/>
      </c>
      <c r="L1390" s="30" t="str">
        <f aca="false">IF(F1390="","",K1390-B1390)</f>
        <v/>
      </c>
      <c r="M1390" s="30" t="str">
        <f aca="false">IF(F1390="","",L1390-J1390)</f>
        <v/>
      </c>
      <c r="N1390" s="32" t="str">
        <f aca="false">IF(F1390="","",IF(H1390&lt;&gt;"","Kapandı",IF('Vade Sapması'!$D$3&gt;G1390,"Açık · vadesi geçti","Açık · vadesi gelmedi")))</f>
        <v/>
      </c>
      <c r="O1390" s="30" t="str">
        <f aca="false">IF(F1390="","",IF(AND(H1390="",'Vade Sapması'!$D$3&gt;G1390),'Vade Sapması'!$D$3-G1390,0))</f>
        <v/>
      </c>
      <c r="P1390" s="33" t="str">
        <f aca="false">IF(F1390="","",F1390*J1390)</f>
        <v/>
      </c>
      <c r="Q1390" s="33" t="str">
        <f aca="false">IF(F1390="","",F1390*L1390)</f>
        <v/>
      </c>
      <c r="R1390" s="33" t="str">
        <f aca="false">IF(F1390="","",IF(H1390="",F1390,0))</f>
        <v/>
      </c>
      <c r="S1390" s="32" t="str">
        <f aca="false">IF(F1390="","",IF(N(O1390)=0,"",IF(O1390&lt;=30,"1-30",IF(O1390&lt;=60,"31-60",IF(O1390&lt;=90,"61-90","90+")))))</f>
        <v/>
      </c>
      <c r="T1390" s="32" t="str">
        <f aca="false">IF(F1390="","",IF(E1390="","Diğer",E1390))</f>
        <v/>
      </c>
      <c r="U1390" s="32" t="str">
        <f aca="false">IF(OR(F1390="",C1390=""),"",IF(COUNTIF($C$2:C1390,C1390)=1,MAX($U$1:U1389)+1,""))</f>
        <v/>
      </c>
    </row>
    <row r="1391" customFormat="false" ht="15" hidden="false" customHeight="false" outlineLevel="0" collapsed="false">
      <c r="A1391" s="34"/>
      <c r="B1391" s="9"/>
      <c r="C1391" s="34"/>
      <c r="D1391" s="34"/>
      <c r="E1391" s="34"/>
      <c r="F1391" s="35"/>
      <c r="G1391" s="9"/>
      <c r="H1391" s="9"/>
      <c r="I1391" s="34"/>
      <c r="J1391" s="30" t="str">
        <f aca="false">IF(F1391="","",G1391-B1391)</f>
        <v/>
      </c>
      <c r="K1391" s="31" t="str">
        <f aca="false">IF(F1391="","",IF(H1391&lt;&gt;"",H1391,MAX('Vade Sapması'!$D$3,G1391)))</f>
        <v/>
      </c>
      <c r="L1391" s="30" t="str">
        <f aca="false">IF(F1391="","",K1391-B1391)</f>
        <v/>
      </c>
      <c r="M1391" s="30" t="str">
        <f aca="false">IF(F1391="","",L1391-J1391)</f>
        <v/>
      </c>
      <c r="N1391" s="32" t="str">
        <f aca="false">IF(F1391="","",IF(H1391&lt;&gt;"","Kapandı",IF('Vade Sapması'!$D$3&gt;G1391,"Açık · vadesi geçti","Açık · vadesi gelmedi")))</f>
        <v/>
      </c>
      <c r="O1391" s="30" t="str">
        <f aca="false">IF(F1391="","",IF(AND(H1391="",'Vade Sapması'!$D$3&gt;G1391),'Vade Sapması'!$D$3-G1391,0))</f>
        <v/>
      </c>
      <c r="P1391" s="33" t="str">
        <f aca="false">IF(F1391="","",F1391*J1391)</f>
        <v/>
      </c>
      <c r="Q1391" s="33" t="str">
        <f aca="false">IF(F1391="","",F1391*L1391)</f>
        <v/>
      </c>
      <c r="R1391" s="33" t="str">
        <f aca="false">IF(F1391="","",IF(H1391="",F1391,0))</f>
        <v/>
      </c>
      <c r="S1391" s="32" t="str">
        <f aca="false">IF(F1391="","",IF(N(O1391)=0,"",IF(O1391&lt;=30,"1-30",IF(O1391&lt;=60,"31-60",IF(O1391&lt;=90,"61-90","90+")))))</f>
        <v/>
      </c>
      <c r="T1391" s="32" t="str">
        <f aca="false">IF(F1391="","",IF(E1391="","Diğer",E1391))</f>
        <v/>
      </c>
      <c r="U1391" s="32" t="str">
        <f aca="false">IF(OR(F1391="",C1391=""),"",IF(COUNTIF($C$2:C1391,C1391)=1,MAX($U$1:U1390)+1,""))</f>
        <v/>
      </c>
    </row>
    <row r="1392" customFormat="false" ht="15" hidden="false" customHeight="false" outlineLevel="0" collapsed="false">
      <c r="A1392" s="34"/>
      <c r="B1392" s="9"/>
      <c r="C1392" s="34"/>
      <c r="D1392" s="34"/>
      <c r="E1392" s="34"/>
      <c r="F1392" s="35"/>
      <c r="G1392" s="9"/>
      <c r="H1392" s="9"/>
      <c r="I1392" s="34"/>
      <c r="J1392" s="30" t="str">
        <f aca="false">IF(F1392="","",G1392-B1392)</f>
        <v/>
      </c>
      <c r="K1392" s="31" t="str">
        <f aca="false">IF(F1392="","",IF(H1392&lt;&gt;"",H1392,MAX('Vade Sapması'!$D$3,G1392)))</f>
        <v/>
      </c>
      <c r="L1392" s="30" t="str">
        <f aca="false">IF(F1392="","",K1392-B1392)</f>
        <v/>
      </c>
      <c r="M1392" s="30" t="str">
        <f aca="false">IF(F1392="","",L1392-J1392)</f>
        <v/>
      </c>
      <c r="N1392" s="32" t="str">
        <f aca="false">IF(F1392="","",IF(H1392&lt;&gt;"","Kapandı",IF('Vade Sapması'!$D$3&gt;G1392,"Açık · vadesi geçti","Açık · vadesi gelmedi")))</f>
        <v/>
      </c>
      <c r="O1392" s="30" t="str">
        <f aca="false">IF(F1392="","",IF(AND(H1392="",'Vade Sapması'!$D$3&gt;G1392),'Vade Sapması'!$D$3-G1392,0))</f>
        <v/>
      </c>
      <c r="P1392" s="33" t="str">
        <f aca="false">IF(F1392="","",F1392*J1392)</f>
        <v/>
      </c>
      <c r="Q1392" s="33" t="str">
        <f aca="false">IF(F1392="","",F1392*L1392)</f>
        <v/>
      </c>
      <c r="R1392" s="33" t="str">
        <f aca="false">IF(F1392="","",IF(H1392="",F1392,0))</f>
        <v/>
      </c>
      <c r="S1392" s="32" t="str">
        <f aca="false">IF(F1392="","",IF(N(O1392)=0,"",IF(O1392&lt;=30,"1-30",IF(O1392&lt;=60,"31-60",IF(O1392&lt;=90,"61-90","90+")))))</f>
        <v/>
      </c>
      <c r="T1392" s="32" t="str">
        <f aca="false">IF(F1392="","",IF(E1392="","Diğer",E1392))</f>
        <v/>
      </c>
      <c r="U1392" s="32" t="str">
        <f aca="false">IF(OR(F1392="",C1392=""),"",IF(COUNTIF($C$2:C1392,C1392)=1,MAX($U$1:U1391)+1,""))</f>
        <v/>
      </c>
    </row>
    <row r="1393" customFormat="false" ht="15" hidden="false" customHeight="false" outlineLevel="0" collapsed="false">
      <c r="A1393" s="34"/>
      <c r="B1393" s="9"/>
      <c r="C1393" s="34"/>
      <c r="D1393" s="34"/>
      <c r="E1393" s="34"/>
      <c r="F1393" s="35"/>
      <c r="G1393" s="9"/>
      <c r="H1393" s="9"/>
      <c r="I1393" s="34"/>
      <c r="J1393" s="30" t="str">
        <f aca="false">IF(F1393="","",G1393-B1393)</f>
        <v/>
      </c>
      <c r="K1393" s="31" t="str">
        <f aca="false">IF(F1393="","",IF(H1393&lt;&gt;"",H1393,MAX('Vade Sapması'!$D$3,G1393)))</f>
        <v/>
      </c>
      <c r="L1393" s="30" t="str">
        <f aca="false">IF(F1393="","",K1393-B1393)</f>
        <v/>
      </c>
      <c r="M1393" s="30" t="str">
        <f aca="false">IF(F1393="","",L1393-J1393)</f>
        <v/>
      </c>
      <c r="N1393" s="32" t="str">
        <f aca="false">IF(F1393="","",IF(H1393&lt;&gt;"","Kapandı",IF('Vade Sapması'!$D$3&gt;G1393,"Açık · vadesi geçti","Açık · vadesi gelmedi")))</f>
        <v/>
      </c>
      <c r="O1393" s="30" t="str">
        <f aca="false">IF(F1393="","",IF(AND(H1393="",'Vade Sapması'!$D$3&gt;G1393),'Vade Sapması'!$D$3-G1393,0))</f>
        <v/>
      </c>
      <c r="P1393" s="33" t="str">
        <f aca="false">IF(F1393="","",F1393*J1393)</f>
        <v/>
      </c>
      <c r="Q1393" s="33" t="str">
        <f aca="false">IF(F1393="","",F1393*L1393)</f>
        <v/>
      </c>
      <c r="R1393" s="33" t="str">
        <f aca="false">IF(F1393="","",IF(H1393="",F1393,0))</f>
        <v/>
      </c>
      <c r="S1393" s="32" t="str">
        <f aca="false">IF(F1393="","",IF(N(O1393)=0,"",IF(O1393&lt;=30,"1-30",IF(O1393&lt;=60,"31-60",IF(O1393&lt;=90,"61-90","90+")))))</f>
        <v/>
      </c>
      <c r="T1393" s="32" t="str">
        <f aca="false">IF(F1393="","",IF(E1393="","Diğer",E1393))</f>
        <v/>
      </c>
      <c r="U1393" s="32" t="str">
        <f aca="false">IF(OR(F1393="",C1393=""),"",IF(COUNTIF($C$2:C1393,C1393)=1,MAX($U$1:U1392)+1,""))</f>
        <v/>
      </c>
    </row>
    <row r="1394" customFormat="false" ht="15" hidden="false" customHeight="false" outlineLevel="0" collapsed="false">
      <c r="A1394" s="34"/>
      <c r="B1394" s="9"/>
      <c r="C1394" s="34"/>
      <c r="D1394" s="34"/>
      <c r="E1394" s="34"/>
      <c r="F1394" s="35"/>
      <c r="G1394" s="9"/>
      <c r="H1394" s="9"/>
      <c r="I1394" s="34"/>
      <c r="J1394" s="30" t="str">
        <f aca="false">IF(F1394="","",G1394-B1394)</f>
        <v/>
      </c>
      <c r="K1394" s="31" t="str">
        <f aca="false">IF(F1394="","",IF(H1394&lt;&gt;"",H1394,MAX('Vade Sapması'!$D$3,G1394)))</f>
        <v/>
      </c>
      <c r="L1394" s="30" t="str">
        <f aca="false">IF(F1394="","",K1394-B1394)</f>
        <v/>
      </c>
      <c r="M1394" s="30" t="str">
        <f aca="false">IF(F1394="","",L1394-J1394)</f>
        <v/>
      </c>
      <c r="N1394" s="32" t="str">
        <f aca="false">IF(F1394="","",IF(H1394&lt;&gt;"","Kapandı",IF('Vade Sapması'!$D$3&gt;G1394,"Açık · vadesi geçti","Açık · vadesi gelmedi")))</f>
        <v/>
      </c>
      <c r="O1394" s="30" t="str">
        <f aca="false">IF(F1394="","",IF(AND(H1394="",'Vade Sapması'!$D$3&gt;G1394),'Vade Sapması'!$D$3-G1394,0))</f>
        <v/>
      </c>
      <c r="P1394" s="33" t="str">
        <f aca="false">IF(F1394="","",F1394*J1394)</f>
        <v/>
      </c>
      <c r="Q1394" s="33" t="str">
        <f aca="false">IF(F1394="","",F1394*L1394)</f>
        <v/>
      </c>
      <c r="R1394" s="33" t="str">
        <f aca="false">IF(F1394="","",IF(H1394="",F1394,0))</f>
        <v/>
      </c>
      <c r="S1394" s="32" t="str">
        <f aca="false">IF(F1394="","",IF(N(O1394)=0,"",IF(O1394&lt;=30,"1-30",IF(O1394&lt;=60,"31-60",IF(O1394&lt;=90,"61-90","90+")))))</f>
        <v/>
      </c>
      <c r="T1394" s="32" t="str">
        <f aca="false">IF(F1394="","",IF(E1394="","Diğer",E1394))</f>
        <v/>
      </c>
      <c r="U1394" s="32" t="str">
        <f aca="false">IF(OR(F1394="",C1394=""),"",IF(COUNTIF($C$2:C1394,C1394)=1,MAX($U$1:U1393)+1,""))</f>
        <v/>
      </c>
    </row>
    <row r="1395" customFormat="false" ht="15" hidden="false" customHeight="false" outlineLevel="0" collapsed="false">
      <c r="A1395" s="34"/>
      <c r="B1395" s="9"/>
      <c r="C1395" s="34"/>
      <c r="D1395" s="34"/>
      <c r="E1395" s="34"/>
      <c r="F1395" s="35"/>
      <c r="G1395" s="9"/>
      <c r="H1395" s="9"/>
      <c r="I1395" s="34"/>
      <c r="J1395" s="30" t="str">
        <f aca="false">IF(F1395="","",G1395-B1395)</f>
        <v/>
      </c>
      <c r="K1395" s="31" t="str">
        <f aca="false">IF(F1395="","",IF(H1395&lt;&gt;"",H1395,MAX('Vade Sapması'!$D$3,G1395)))</f>
        <v/>
      </c>
      <c r="L1395" s="30" t="str">
        <f aca="false">IF(F1395="","",K1395-B1395)</f>
        <v/>
      </c>
      <c r="M1395" s="30" t="str">
        <f aca="false">IF(F1395="","",L1395-J1395)</f>
        <v/>
      </c>
      <c r="N1395" s="32" t="str">
        <f aca="false">IF(F1395="","",IF(H1395&lt;&gt;"","Kapandı",IF('Vade Sapması'!$D$3&gt;G1395,"Açık · vadesi geçti","Açık · vadesi gelmedi")))</f>
        <v/>
      </c>
      <c r="O1395" s="30" t="str">
        <f aca="false">IF(F1395="","",IF(AND(H1395="",'Vade Sapması'!$D$3&gt;G1395),'Vade Sapması'!$D$3-G1395,0))</f>
        <v/>
      </c>
      <c r="P1395" s="33" t="str">
        <f aca="false">IF(F1395="","",F1395*J1395)</f>
        <v/>
      </c>
      <c r="Q1395" s="33" t="str">
        <f aca="false">IF(F1395="","",F1395*L1395)</f>
        <v/>
      </c>
      <c r="R1395" s="33" t="str">
        <f aca="false">IF(F1395="","",IF(H1395="",F1395,0))</f>
        <v/>
      </c>
      <c r="S1395" s="32" t="str">
        <f aca="false">IF(F1395="","",IF(N(O1395)=0,"",IF(O1395&lt;=30,"1-30",IF(O1395&lt;=60,"31-60",IF(O1395&lt;=90,"61-90","90+")))))</f>
        <v/>
      </c>
      <c r="T1395" s="32" t="str">
        <f aca="false">IF(F1395="","",IF(E1395="","Diğer",E1395))</f>
        <v/>
      </c>
      <c r="U1395" s="32" t="str">
        <f aca="false">IF(OR(F1395="",C1395=""),"",IF(COUNTIF($C$2:C1395,C1395)=1,MAX($U$1:U1394)+1,""))</f>
        <v/>
      </c>
    </row>
    <row r="1396" customFormat="false" ht="15" hidden="false" customHeight="false" outlineLevel="0" collapsed="false">
      <c r="A1396" s="34"/>
      <c r="B1396" s="9"/>
      <c r="C1396" s="34"/>
      <c r="D1396" s="34"/>
      <c r="E1396" s="34"/>
      <c r="F1396" s="35"/>
      <c r="G1396" s="9"/>
      <c r="H1396" s="9"/>
      <c r="I1396" s="34"/>
      <c r="J1396" s="30" t="str">
        <f aca="false">IF(F1396="","",G1396-B1396)</f>
        <v/>
      </c>
      <c r="K1396" s="31" t="str">
        <f aca="false">IF(F1396="","",IF(H1396&lt;&gt;"",H1396,MAX('Vade Sapması'!$D$3,G1396)))</f>
        <v/>
      </c>
      <c r="L1396" s="30" t="str">
        <f aca="false">IF(F1396="","",K1396-B1396)</f>
        <v/>
      </c>
      <c r="M1396" s="30" t="str">
        <f aca="false">IF(F1396="","",L1396-J1396)</f>
        <v/>
      </c>
      <c r="N1396" s="32" t="str">
        <f aca="false">IF(F1396="","",IF(H1396&lt;&gt;"","Kapandı",IF('Vade Sapması'!$D$3&gt;G1396,"Açık · vadesi geçti","Açık · vadesi gelmedi")))</f>
        <v/>
      </c>
      <c r="O1396" s="30" t="str">
        <f aca="false">IF(F1396="","",IF(AND(H1396="",'Vade Sapması'!$D$3&gt;G1396),'Vade Sapması'!$D$3-G1396,0))</f>
        <v/>
      </c>
      <c r="P1396" s="33" t="str">
        <f aca="false">IF(F1396="","",F1396*J1396)</f>
        <v/>
      </c>
      <c r="Q1396" s="33" t="str">
        <f aca="false">IF(F1396="","",F1396*L1396)</f>
        <v/>
      </c>
      <c r="R1396" s="33" t="str">
        <f aca="false">IF(F1396="","",IF(H1396="",F1396,0))</f>
        <v/>
      </c>
      <c r="S1396" s="32" t="str">
        <f aca="false">IF(F1396="","",IF(N(O1396)=0,"",IF(O1396&lt;=30,"1-30",IF(O1396&lt;=60,"31-60",IF(O1396&lt;=90,"61-90","90+")))))</f>
        <v/>
      </c>
      <c r="T1396" s="32" t="str">
        <f aca="false">IF(F1396="","",IF(E1396="","Diğer",E1396))</f>
        <v/>
      </c>
      <c r="U1396" s="32" t="str">
        <f aca="false">IF(OR(F1396="",C1396=""),"",IF(COUNTIF($C$2:C1396,C1396)=1,MAX($U$1:U1395)+1,""))</f>
        <v/>
      </c>
    </row>
    <row r="1397" customFormat="false" ht="15" hidden="false" customHeight="false" outlineLevel="0" collapsed="false">
      <c r="A1397" s="34"/>
      <c r="B1397" s="9"/>
      <c r="C1397" s="34"/>
      <c r="D1397" s="34"/>
      <c r="E1397" s="34"/>
      <c r="F1397" s="35"/>
      <c r="G1397" s="9"/>
      <c r="H1397" s="9"/>
      <c r="I1397" s="34"/>
      <c r="J1397" s="30" t="str">
        <f aca="false">IF(F1397="","",G1397-B1397)</f>
        <v/>
      </c>
      <c r="K1397" s="31" t="str">
        <f aca="false">IF(F1397="","",IF(H1397&lt;&gt;"",H1397,MAX('Vade Sapması'!$D$3,G1397)))</f>
        <v/>
      </c>
      <c r="L1397" s="30" t="str">
        <f aca="false">IF(F1397="","",K1397-B1397)</f>
        <v/>
      </c>
      <c r="M1397" s="30" t="str">
        <f aca="false">IF(F1397="","",L1397-J1397)</f>
        <v/>
      </c>
      <c r="N1397" s="32" t="str">
        <f aca="false">IF(F1397="","",IF(H1397&lt;&gt;"","Kapandı",IF('Vade Sapması'!$D$3&gt;G1397,"Açık · vadesi geçti","Açık · vadesi gelmedi")))</f>
        <v/>
      </c>
      <c r="O1397" s="30" t="str">
        <f aca="false">IF(F1397="","",IF(AND(H1397="",'Vade Sapması'!$D$3&gt;G1397),'Vade Sapması'!$D$3-G1397,0))</f>
        <v/>
      </c>
      <c r="P1397" s="33" t="str">
        <f aca="false">IF(F1397="","",F1397*J1397)</f>
        <v/>
      </c>
      <c r="Q1397" s="33" t="str">
        <f aca="false">IF(F1397="","",F1397*L1397)</f>
        <v/>
      </c>
      <c r="R1397" s="33" t="str">
        <f aca="false">IF(F1397="","",IF(H1397="",F1397,0))</f>
        <v/>
      </c>
      <c r="S1397" s="32" t="str">
        <f aca="false">IF(F1397="","",IF(N(O1397)=0,"",IF(O1397&lt;=30,"1-30",IF(O1397&lt;=60,"31-60",IF(O1397&lt;=90,"61-90","90+")))))</f>
        <v/>
      </c>
      <c r="T1397" s="32" t="str">
        <f aca="false">IF(F1397="","",IF(E1397="","Diğer",E1397))</f>
        <v/>
      </c>
      <c r="U1397" s="32" t="str">
        <f aca="false">IF(OR(F1397="",C1397=""),"",IF(COUNTIF($C$2:C1397,C1397)=1,MAX($U$1:U1396)+1,""))</f>
        <v/>
      </c>
    </row>
    <row r="1398" customFormat="false" ht="15" hidden="false" customHeight="false" outlineLevel="0" collapsed="false">
      <c r="A1398" s="34"/>
      <c r="B1398" s="9"/>
      <c r="C1398" s="34"/>
      <c r="D1398" s="34"/>
      <c r="E1398" s="34"/>
      <c r="F1398" s="35"/>
      <c r="G1398" s="9"/>
      <c r="H1398" s="9"/>
      <c r="I1398" s="34"/>
      <c r="J1398" s="30" t="str">
        <f aca="false">IF(F1398="","",G1398-B1398)</f>
        <v/>
      </c>
      <c r="K1398" s="31" t="str">
        <f aca="false">IF(F1398="","",IF(H1398&lt;&gt;"",H1398,MAX('Vade Sapması'!$D$3,G1398)))</f>
        <v/>
      </c>
      <c r="L1398" s="30" t="str">
        <f aca="false">IF(F1398="","",K1398-B1398)</f>
        <v/>
      </c>
      <c r="M1398" s="30" t="str">
        <f aca="false">IF(F1398="","",L1398-J1398)</f>
        <v/>
      </c>
      <c r="N1398" s="32" t="str">
        <f aca="false">IF(F1398="","",IF(H1398&lt;&gt;"","Kapandı",IF('Vade Sapması'!$D$3&gt;G1398,"Açık · vadesi geçti","Açık · vadesi gelmedi")))</f>
        <v/>
      </c>
      <c r="O1398" s="30" t="str">
        <f aca="false">IF(F1398="","",IF(AND(H1398="",'Vade Sapması'!$D$3&gt;G1398),'Vade Sapması'!$D$3-G1398,0))</f>
        <v/>
      </c>
      <c r="P1398" s="33" t="str">
        <f aca="false">IF(F1398="","",F1398*J1398)</f>
        <v/>
      </c>
      <c r="Q1398" s="33" t="str">
        <f aca="false">IF(F1398="","",F1398*L1398)</f>
        <v/>
      </c>
      <c r="R1398" s="33" t="str">
        <f aca="false">IF(F1398="","",IF(H1398="",F1398,0))</f>
        <v/>
      </c>
      <c r="S1398" s="32" t="str">
        <f aca="false">IF(F1398="","",IF(N(O1398)=0,"",IF(O1398&lt;=30,"1-30",IF(O1398&lt;=60,"31-60",IF(O1398&lt;=90,"61-90","90+")))))</f>
        <v/>
      </c>
      <c r="T1398" s="32" t="str">
        <f aca="false">IF(F1398="","",IF(E1398="","Diğer",E1398))</f>
        <v/>
      </c>
      <c r="U1398" s="32" t="str">
        <f aca="false">IF(OR(F1398="",C1398=""),"",IF(COUNTIF($C$2:C1398,C1398)=1,MAX($U$1:U1397)+1,""))</f>
        <v/>
      </c>
    </row>
    <row r="1399" customFormat="false" ht="15" hidden="false" customHeight="false" outlineLevel="0" collapsed="false">
      <c r="A1399" s="34"/>
      <c r="B1399" s="9"/>
      <c r="C1399" s="34"/>
      <c r="D1399" s="34"/>
      <c r="E1399" s="34"/>
      <c r="F1399" s="35"/>
      <c r="G1399" s="9"/>
      <c r="H1399" s="9"/>
      <c r="I1399" s="34"/>
      <c r="J1399" s="30" t="str">
        <f aca="false">IF(F1399="","",G1399-B1399)</f>
        <v/>
      </c>
      <c r="K1399" s="31" t="str">
        <f aca="false">IF(F1399="","",IF(H1399&lt;&gt;"",H1399,MAX('Vade Sapması'!$D$3,G1399)))</f>
        <v/>
      </c>
      <c r="L1399" s="30" t="str">
        <f aca="false">IF(F1399="","",K1399-B1399)</f>
        <v/>
      </c>
      <c r="M1399" s="30" t="str">
        <f aca="false">IF(F1399="","",L1399-J1399)</f>
        <v/>
      </c>
      <c r="N1399" s="32" t="str">
        <f aca="false">IF(F1399="","",IF(H1399&lt;&gt;"","Kapandı",IF('Vade Sapması'!$D$3&gt;G1399,"Açık · vadesi geçti","Açık · vadesi gelmedi")))</f>
        <v/>
      </c>
      <c r="O1399" s="30" t="str">
        <f aca="false">IF(F1399="","",IF(AND(H1399="",'Vade Sapması'!$D$3&gt;G1399),'Vade Sapması'!$D$3-G1399,0))</f>
        <v/>
      </c>
      <c r="P1399" s="33" t="str">
        <f aca="false">IF(F1399="","",F1399*J1399)</f>
        <v/>
      </c>
      <c r="Q1399" s="33" t="str">
        <f aca="false">IF(F1399="","",F1399*L1399)</f>
        <v/>
      </c>
      <c r="R1399" s="33" t="str">
        <f aca="false">IF(F1399="","",IF(H1399="",F1399,0))</f>
        <v/>
      </c>
      <c r="S1399" s="32" t="str">
        <f aca="false">IF(F1399="","",IF(N(O1399)=0,"",IF(O1399&lt;=30,"1-30",IF(O1399&lt;=60,"31-60",IF(O1399&lt;=90,"61-90","90+")))))</f>
        <v/>
      </c>
      <c r="T1399" s="32" t="str">
        <f aca="false">IF(F1399="","",IF(E1399="","Diğer",E1399))</f>
        <v/>
      </c>
      <c r="U1399" s="32" t="str">
        <f aca="false">IF(OR(F1399="",C1399=""),"",IF(COUNTIF($C$2:C1399,C1399)=1,MAX($U$1:U1398)+1,""))</f>
        <v/>
      </c>
    </row>
    <row r="1400" customFormat="false" ht="15" hidden="false" customHeight="false" outlineLevel="0" collapsed="false">
      <c r="A1400" s="34"/>
      <c r="B1400" s="9"/>
      <c r="C1400" s="34"/>
      <c r="D1400" s="34"/>
      <c r="E1400" s="34"/>
      <c r="F1400" s="35"/>
      <c r="G1400" s="9"/>
      <c r="H1400" s="9"/>
      <c r="I1400" s="34"/>
      <c r="J1400" s="30" t="str">
        <f aca="false">IF(F1400="","",G1400-B1400)</f>
        <v/>
      </c>
      <c r="K1400" s="31" t="str">
        <f aca="false">IF(F1400="","",IF(H1400&lt;&gt;"",H1400,MAX('Vade Sapması'!$D$3,G1400)))</f>
        <v/>
      </c>
      <c r="L1400" s="30" t="str">
        <f aca="false">IF(F1400="","",K1400-B1400)</f>
        <v/>
      </c>
      <c r="M1400" s="30" t="str">
        <f aca="false">IF(F1400="","",L1400-J1400)</f>
        <v/>
      </c>
      <c r="N1400" s="32" t="str">
        <f aca="false">IF(F1400="","",IF(H1400&lt;&gt;"","Kapandı",IF('Vade Sapması'!$D$3&gt;G1400,"Açık · vadesi geçti","Açık · vadesi gelmedi")))</f>
        <v/>
      </c>
      <c r="O1400" s="30" t="str">
        <f aca="false">IF(F1400="","",IF(AND(H1400="",'Vade Sapması'!$D$3&gt;G1400),'Vade Sapması'!$D$3-G1400,0))</f>
        <v/>
      </c>
      <c r="P1400" s="33" t="str">
        <f aca="false">IF(F1400="","",F1400*J1400)</f>
        <v/>
      </c>
      <c r="Q1400" s="33" t="str">
        <f aca="false">IF(F1400="","",F1400*L1400)</f>
        <v/>
      </c>
      <c r="R1400" s="33" t="str">
        <f aca="false">IF(F1400="","",IF(H1400="",F1400,0))</f>
        <v/>
      </c>
      <c r="S1400" s="32" t="str">
        <f aca="false">IF(F1400="","",IF(N(O1400)=0,"",IF(O1400&lt;=30,"1-30",IF(O1400&lt;=60,"31-60",IF(O1400&lt;=90,"61-90","90+")))))</f>
        <v/>
      </c>
      <c r="T1400" s="32" t="str">
        <f aca="false">IF(F1400="","",IF(E1400="","Diğer",E1400))</f>
        <v/>
      </c>
      <c r="U1400" s="32" t="str">
        <f aca="false">IF(OR(F1400="",C1400=""),"",IF(COUNTIF($C$2:C1400,C1400)=1,MAX($U$1:U1399)+1,""))</f>
        <v/>
      </c>
    </row>
    <row r="1401" customFormat="false" ht="15" hidden="false" customHeight="false" outlineLevel="0" collapsed="false">
      <c r="A1401" s="34"/>
      <c r="B1401" s="9"/>
      <c r="C1401" s="34"/>
      <c r="D1401" s="34"/>
      <c r="E1401" s="34"/>
      <c r="F1401" s="35"/>
      <c r="G1401" s="9"/>
      <c r="H1401" s="9"/>
      <c r="I1401" s="34"/>
      <c r="J1401" s="30" t="str">
        <f aca="false">IF(F1401="","",G1401-B1401)</f>
        <v/>
      </c>
      <c r="K1401" s="31" t="str">
        <f aca="false">IF(F1401="","",IF(H1401&lt;&gt;"",H1401,MAX('Vade Sapması'!$D$3,G1401)))</f>
        <v/>
      </c>
      <c r="L1401" s="30" t="str">
        <f aca="false">IF(F1401="","",K1401-B1401)</f>
        <v/>
      </c>
      <c r="M1401" s="30" t="str">
        <f aca="false">IF(F1401="","",L1401-J1401)</f>
        <v/>
      </c>
      <c r="N1401" s="32" t="str">
        <f aca="false">IF(F1401="","",IF(H1401&lt;&gt;"","Kapandı",IF('Vade Sapması'!$D$3&gt;G1401,"Açık · vadesi geçti","Açık · vadesi gelmedi")))</f>
        <v/>
      </c>
      <c r="O1401" s="30" t="str">
        <f aca="false">IF(F1401="","",IF(AND(H1401="",'Vade Sapması'!$D$3&gt;G1401),'Vade Sapması'!$D$3-G1401,0))</f>
        <v/>
      </c>
      <c r="P1401" s="33" t="str">
        <f aca="false">IF(F1401="","",F1401*J1401)</f>
        <v/>
      </c>
      <c r="Q1401" s="33" t="str">
        <f aca="false">IF(F1401="","",F1401*L1401)</f>
        <v/>
      </c>
      <c r="R1401" s="33" t="str">
        <f aca="false">IF(F1401="","",IF(H1401="",F1401,0))</f>
        <v/>
      </c>
      <c r="S1401" s="32" t="str">
        <f aca="false">IF(F1401="","",IF(N(O1401)=0,"",IF(O1401&lt;=30,"1-30",IF(O1401&lt;=60,"31-60",IF(O1401&lt;=90,"61-90","90+")))))</f>
        <v/>
      </c>
      <c r="T1401" s="32" t="str">
        <f aca="false">IF(F1401="","",IF(E1401="","Diğer",E1401))</f>
        <v/>
      </c>
      <c r="U1401" s="32" t="str">
        <f aca="false">IF(OR(F1401="",C1401=""),"",IF(COUNTIF($C$2:C1401,C1401)=1,MAX($U$1:U1400)+1,""))</f>
        <v/>
      </c>
    </row>
    <row r="1402" customFormat="false" ht="15" hidden="false" customHeight="false" outlineLevel="0" collapsed="false">
      <c r="A1402" s="34"/>
      <c r="B1402" s="9"/>
      <c r="C1402" s="34"/>
      <c r="D1402" s="34"/>
      <c r="E1402" s="34"/>
      <c r="F1402" s="35"/>
      <c r="G1402" s="9"/>
      <c r="H1402" s="9"/>
      <c r="I1402" s="34"/>
      <c r="J1402" s="30" t="str">
        <f aca="false">IF(F1402="","",G1402-B1402)</f>
        <v/>
      </c>
      <c r="K1402" s="31" t="str">
        <f aca="false">IF(F1402="","",IF(H1402&lt;&gt;"",H1402,MAX('Vade Sapması'!$D$3,G1402)))</f>
        <v/>
      </c>
      <c r="L1402" s="30" t="str">
        <f aca="false">IF(F1402="","",K1402-B1402)</f>
        <v/>
      </c>
      <c r="M1402" s="30" t="str">
        <f aca="false">IF(F1402="","",L1402-J1402)</f>
        <v/>
      </c>
      <c r="N1402" s="32" t="str">
        <f aca="false">IF(F1402="","",IF(H1402&lt;&gt;"","Kapandı",IF('Vade Sapması'!$D$3&gt;G1402,"Açık · vadesi geçti","Açık · vadesi gelmedi")))</f>
        <v/>
      </c>
      <c r="O1402" s="30" t="str">
        <f aca="false">IF(F1402="","",IF(AND(H1402="",'Vade Sapması'!$D$3&gt;G1402),'Vade Sapması'!$D$3-G1402,0))</f>
        <v/>
      </c>
      <c r="P1402" s="33" t="str">
        <f aca="false">IF(F1402="","",F1402*J1402)</f>
        <v/>
      </c>
      <c r="Q1402" s="33" t="str">
        <f aca="false">IF(F1402="","",F1402*L1402)</f>
        <v/>
      </c>
      <c r="R1402" s="33" t="str">
        <f aca="false">IF(F1402="","",IF(H1402="",F1402,0))</f>
        <v/>
      </c>
      <c r="S1402" s="32" t="str">
        <f aca="false">IF(F1402="","",IF(N(O1402)=0,"",IF(O1402&lt;=30,"1-30",IF(O1402&lt;=60,"31-60",IF(O1402&lt;=90,"61-90","90+")))))</f>
        <v/>
      </c>
      <c r="T1402" s="32" t="str">
        <f aca="false">IF(F1402="","",IF(E1402="","Diğer",E1402))</f>
        <v/>
      </c>
      <c r="U1402" s="32" t="str">
        <f aca="false">IF(OR(F1402="",C1402=""),"",IF(COUNTIF($C$2:C1402,C1402)=1,MAX($U$1:U1401)+1,""))</f>
        <v/>
      </c>
    </row>
    <row r="1403" customFormat="false" ht="15" hidden="false" customHeight="false" outlineLevel="0" collapsed="false">
      <c r="A1403" s="34"/>
      <c r="B1403" s="9"/>
      <c r="C1403" s="34"/>
      <c r="D1403" s="34"/>
      <c r="E1403" s="34"/>
      <c r="F1403" s="35"/>
      <c r="G1403" s="9"/>
      <c r="H1403" s="9"/>
      <c r="I1403" s="34"/>
      <c r="J1403" s="30" t="str">
        <f aca="false">IF(F1403="","",G1403-B1403)</f>
        <v/>
      </c>
      <c r="K1403" s="31" t="str">
        <f aca="false">IF(F1403="","",IF(H1403&lt;&gt;"",H1403,MAX('Vade Sapması'!$D$3,G1403)))</f>
        <v/>
      </c>
      <c r="L1403" s="30" t="str">
        <f aca="false">IF(F1403="","",K1403-B1403)</f>
        <v/>
      </c>
      <c r="M1403" s="30" t="str">
        <f aca="false">IF(F1403="","",L1403-J1403)</f>
        <v/>
      </c>
      <c r="N1403" s="32" t="str">
        <f aca="false">IF(F1403="","",IF(H1403&lt;&gt;"","Kapandı",IF('Vade Sapması'!$D$3&gt;G1403,"Açık · vadesi geçti","Açık · vadesi gelmedi")))</f>
        <v/>
      </c>
      <c r="O1403" s="30" t="str">
        <f aca="false">IF(F1403="","",IF(AND(H1403="",'Vade Sapması'!$D$3&gt;G1403),'Vade Sapması'!$D$3-G1403,0))</f>
        <v/>
      </c>
      <c r="P1403" s="33" t="str">
        <f aca="false">IF(F1403="","",F1403*J1403)</f>
        <v/>
      </c>
      <c r="Q1403" s="33" t="str">
        <f aca="false">IF(F1403="","",F1403*L1403)</f>
        <v/>
      </c>
      <c r="R1403" s="33" t="str">
        <f aca="false">IF(F1403="","",IF(H1403="",F1403,0))</f>
        <v/>
      </c>
      <c r="S1403" s="32" t="str">
        <f aca="false">IF(F1403="","",IF(N(O1403)=0,"",IF(O1403&lt;=30,"1-30",IF(O1403&lt;=60,"31-60",IF(O1403&lt;=90,"61-90","90+")))))</f>
        <v/>
      </c>
      <c r="T1403" s="32" t="str">
        <f aca="false">IF(F1403="","",IF(E1403="","Diğer",E1403))</f>
        <v/>
      </c>
      <c r="U1403" s="32" t="str">
        <f aca="false">IF(OR(F1403="",C1403=""),"",IF(COUNTIF($C$2:C1403,C1403)=1,MAX($U$1:U1402)+1,""))</f>
        <v/>
      </c>
    </row>
    <row r="1404" customFormat="false" ht="15" hidden="false" customHeight="false" outlineLevel="0" collapsed="false">
      <c r="A1404" s="34"/>
      <c r="B1404" s="9"/>
      <c r="C1404" s="34"/>
      <c r="D1404" s="34"/>
      <c r="E1404" s="34"/>
      <c r="F1404" s="35"/>
      <c r="G1404" s="9"/>
      <c r="H1404" s="9"/>
      <c r="I1404" s="34"/>
      <c r="J1404" s="30" t="str">
        <f aca="false">IF(F1404="","",G1404-B1404)</f>
        <v/>
      </c>
      <c r="K1404" s="31" t="str">
        <f aca="false">IF(F1404="","",IF(H1404&lt;&gt;"",H1404,MAX('Vade Sapması'!$D$3,G1404)))</f>
        <v/>
      </c>
      <c r="L1404" s="30" t="str">
        <f aca="false">IF(F1404="","",K1404-B1404)</f>
        <v/>
      </c>
      <c r="M1404" s="30" t="str">
        <f aca="false">IF(F1404="","",L1404-J1404)</f>
        <v/>
      </c>
      <c r="N1404" s="32" t="str">
        <f aca="false">IF(F1404="","",IF(H1404&lt;&gt;"","Kapandı",IF('Vade Sapması'!$D$3&gt;G1404,"Açık · vadesi geçti","Açık · vadesi gelmedi")))</f>
        <v/>
      </c>
      <c r="O1404" s="30" t="str">
        <f aca="false">IF(F1404="","",IF(AND(H1404="",'Vade Sapması'!$D$3&gt;G1404),'Vade Sapması'!$D$3-G1404,0))</f>
        <v/>
      </c>
      <c r="P1404" s="33" t="str">
        <f aca="false">IF(F1404="","",F1404*J1404)</f>
        <v/>
      </c>
      <c r="Q1404" s="33" t="str">
        <f aca="false">IF(F1404="","",F1404*L1404)</f>
        <v/>
      </c>
      <c r="R1404" s="33" t="str">
        <f aca="false">IF(F1404="","",IF(H1404="",F1404,0))</f>
        <v/>
      </c>
      <c r="S1404" s="32" t="str">
        <f aca="false">IF(F1404="","",IF(N(O1404)=0,"",IF(O1404&lt;=30,"1-30",IF(O1404&lt;=60,"31-60",IF(O1404&lt;=90,"61-90","90+")))))</f>
        <v/>
      </c>
      <c r="T1404" s="32" t="str">
        <f aca="false">IF(F1404="","",IF(E1404="","Diğer",E1404))</f>
        <v/>
      </c>
      <c r="U1404" s="32" t="str">
        <f aca="false">IF(OR(F1404="",C1404=""),"",IF(COUNTIF($C$2:C1404,C1404)=1,MAX($U$1:U1403)+1,""))</f>
        <v/>
      </c>
    </row>
    <row r="1405" customFormat="false" ht="15" hidden="false" customHeight="false" outlineLevel="0" collapsed="false">
      <c r="A1405" s="34"/>
      <c r="B1405" s="9"/>
      <c r="C1405" s="34"/>
      <c r="D1405" s="34"/>
      <c r="E1405" s="34"/>
      <c r="F1405" s="35"/>
      <c r="G1405" s="9"/>
      <c r="H1405" s="9"/>
      <c r="I1405" s="34"/>
      <c r="J1405" s="30" t="str">
        <f aca="false">IF(F1405="","",G1405-B1405)</f>
        <v/>
      </c>
      <c r="K1405" s="31" t="str">
        <f aca="false">IF(F1405="","",IF(H1405&lt;&gt;"",H1405,MAX('Vade Sapması'!$D$3,G1405)))</f>
        <v/>
      </c>
      <c r="L1405" s="30" t="str">
        <f aca="false">IF(F1405="","",K1405-B1405)</f>
        <v/>
      </c>
      <c r="M1405" s="30" t="str">
        <f aca="false">IF(F1405="","",L1405-J1405)</f>
        <v/>
      </c>
      <c r="N1405" s="32" t="str">
        <f aca="false">IF(F1405="","",IF(H1405&lt;&gt;"","Kapandı",IF('Vade Sapması'!$D$3&gt;G1405,"Açık · vadesi geçti","Açık · vadesi gelmedi")))</f>
        <v/>
      </c>
      <c r="O1405" s="30" t="str">
        <f aca="false">IF(F1405="","",IF(AND(H1405="",'Vade Sapması'!$D$3&gt;G1405),'Vade Sapması'!$D$3-G1405,0))</f>
        <v/>
      </c>
      <c r="P1405" s="33" t="str">
        <f aca="false">IF(F1405="","",F1405*J1405)</f>
        <v/>
      </c>
      <c r="Q1405" s="33" t="str">
        <f aca="false">IF(F1405="","",F1405*L1405)</f>
        <v/>
      </c>
      <c r="R1405" s="33" t="str">
        <f aca="false">IF(F1405="","",IF(H1405="",F1405,0))</f>
        <v/>
      </c>
      <c r="S1405" s="32" t="str">
        <f aca="false">IF(F1405="","",IF(N(O1405)=0,"",IF(O1405&lt;=30,"1-30",IF(O1405&lt;=60,"31-60",IF(O1405&lt;=90,"61-90","90+")))))</f>
        <v/>
      </c>
      <c r="T1405" s="32" t="str">
        <f aca="false">IF(F1405="","",IF(E1405="","Diğer",E1405))</f>
        <v/>
      </c>
      <c r="U1405" s="32" t="str">
        <f aca="false">IF(OR(F1405="",C1405=""),"",IF(COUNTIF($C$2:C1405,C1405)=1,MAX($U$1:U1404)+1,""))</f>
        <v/>
      </c>
    </row>
    <row r="1406" customFormat="false" ht="15" hidden="false" customHeight="false" outlineLevel="0" collapsed="false">
      <c r="A1406" s="34"/>
      <c r="B1406" s="9"/>
      <c r="C1406" s="34"/>
      <c r="D1406" s="34"/>
      <c r="E1406" s="34"/>
      <c r="F1406" s="35"/>
      <c r="G1406" s="9"/>
      <c r="H1406" s="9"/>
      <c r="I1406" s="34"/>
      <c r="J1406" s="30" t="str">
        <f aca="false">IF(F1406="","",G1406-B1406)</f>
        <v/>
      </c>
      <c r="K1406" s="31" t="str">
        <f aca="false">IF(F1406="","",IF(H1406&lt;&gt;"",H1406,MAX('Vade Sapması'!$D$3,G1406)))</f>
        <v/>
      </c>
      <c r="L1406" s="30" t="str">
        <f aca="false">IF(F1406="","",K1406-B1406)</f>
        <v/>
      </c>
      <c r="M1406" s="30" t="str">
        <f aca="false">IF(F1406="","",L1406-J1406)</f>
        <v/>
      </c>
      <c r="N1406" s="32" t="str">
        <f aca="false">IF(F1406="","",IF(H1406&lt;&gt;"","Kapandı",IF('Vade Sapması'!$D$3&gt;G1406,"Açık · vadesi geçti","Açık · vadesi gelmedi")))</f>
        <v/>
      </c>
      <c r="O1406" s="30" t="str">
        <f aca="false">IF(F1406="","",IF(AND(H1406="",'Vade Sapması'!$D$3&gt;G1406),'Vade Sapması'!$D$3-G1406,0))</f>
        <v/>
      </c>
      <c r="P1406" s="33" t="str">
        <f aca="false">IF(F1406="","",F1406*J1406)</f>
        <v/>
      </c>
      <c r="Q1406" s="33" t="str">
        <f aca="false">IF(F1406="","",F1406*L1406)</f>
        <v/>
      </c>
      <c r="R1406" s="33" t="str">
        <f aca="false">IF(F1406="","",IF(H1406="",F1406,0))</f>
        <v/>
      </c>
      <c r="S1406" s="32" t="str">
        <f aca="false">IF(F1406="","",IF(N(O1406)=0,"",IF(O1406&lt;=30,"1-30",IF(O1406&lt;=60,"31-60",IF(O1406&lt;=90,"61-90","90+")))))</f>
        <v/>
      </c>
      <c r="T1406" s="32" t="str">
        <f aca="false">IF(F1406="","",IF(E1406="","Diğer",E1406))</f>
        <v/>
      </c>
      <c r="U1406" s="32" t="str">
        <f aca="false">IF(OR(F1406="",C1406=""),"",IF(COUNTIF($C$2:C1406,C1406)=1,MAX($U$1:U1405)+1,""))</f>
        <v/>
      </c>
    </row>
    <row r="1407" customFormat="false" ht="15" hidden="false" customHeight="false" outlineLevel="0" collapsed="false">
      <c r="A1407" s="34"/>
      <c r="B1407" s="9"/>
      <c r="C1407" s="34"/>
      <c r="D1407" s="34"/>
      <c r="E1407" s="34"/>
      <c r="F1407" s="35"/>
      <c r="G1407" s="9"/>
      <c r="H1407" s="9"/>
      <c r="I1407" s="34"/>
      <c r="J1407" s="30" t="str">
        <f aca="false">IF(F1407="","",G1407-B1407)</f>
        <v/>
      </c>
      <c r="K1407" s="31" t="str">
        <f aca="false">IF(F1407="","",IF(H1407&lt;&gt;"",H1407,MAX('Vade Sapması'!$D$3,G1407)))</f>
        <v/>
      </c>
      <c r="L1407" s="30" t="str">
        <f aca="false">IF(F1407="","",K1407-B1407)</f>
        <v/>
      </c>
      <c r="M1407" s="30" t="str">
        <f aca="false">IF(F1407="","",L1407-J1407)</f>
        <v/>
      </c>
      <c r="N1407" s="32" t="str">
        <f aca="false">IF(F1407="","",IF(H1407&lt;&gt;"","Kapandı",IF('Vade Sapması'!$D$3&gt;G1407,"Açık · vadesi geçti","Açık · vadesi gelmedi")))</f>
        <v/>
      </c>
      <c r="O1407" s="30" t="str">
        <f aca="false">IF(F1407="","",IF(AND(H1407="",'Vade Sapması'!$D$3&gt;G1407),'Vade Sapması'!$D$3-G1407,0))</f>
        <v/>
      </c>
      <c r="P1407" s="33" t="str">
        <f aca="false">IF(F1407="","",F1407*J1407)</f>
        <v/>
      </c>
      <c r="Q1407" s="33" t="str">
        <f aca="false">IF(F1407="","",F1407*L1407)</f>
        <v/>
      </c>
      <c r="R1407" s="33" t="str">
        <f aca="false">IF(F1407="","",IF(H1407="",F1407,0))</f>
        <v/>
      </c>
      <c r="S1407" s="32" t="str">
        <f aca="false">IF(F1407="","",IF(N(O1407)=0,"",IF(O1407&lt;=30,"1-30",IF(O1407&lt;=60,"31-60",IF(O1407&lt;=90,"61-90","90+")))))</f>
        <v/>
      </c>
      <c r="T1407" s="32" t="str">
        <f aca="false">IF(F1407="","",IF(E1407="","Diğer",E1407))</f>
        <v/>
      </c>
      <c r="U1407" s="32" t="str">
        <f aca="false">IF(OR(F1407="",C1407=""),"",IF(COUNTIF($C$2:C1407,C1407)=1,MAX($U$1:U1406)+1,""))</f>
        <v/>
      </c>
    </row>
    <row r="1408" customFormat="false" ht="15" hidden="false" customHeight="false" outlineLevel="0" collapsed="false">
      <c r="A1408" s="34"/>
      <c r="B1408" s="9"/>
      <c r="C1408" s="34"/>
      <c r="D1408" s="34"/>
      <c r="E1408" s="34"/>
      <c r="F1408" s="35"/>
      <c r="G1408" s="9"/>
      <c r="H1408" s="9"/>
      <c r="I1408" s="34"/>
      <c r="J1408" s="30" t="str">
        <f aca="false">IF(F1408="","",G1408-B1408)</f>
        <v/>
      </c>
      <c r="K1408" s="31" t="str">
        <f aca="false">IF(F1408="","",IF(H1408&lt;&gt;"",H1408,MAX('Vade Sapması'!$D$3,G1408)))</f>
        <v/>
      </c>
      <c r="L1408" s="30" t="str">
        <f aca="false">IF(F1408="","",K1408-B1408)</f>
        <v/>
      </c>
      <c r="M1408" s="30" t="str">
        <f aca="false">IF(F1408="","",L1408-J1408)</f>
        <v/>
      </c>
      <c r="N1408" s="32" t="str">
        <f aca="false">IF(F1408="","",IF(H1408&lt;&gt;"","Kapandı",IF('Vade Sapması'!$D$3&gt;G1408,"Açık · vadesi geçti","Açık · vadesi gelmedi")))</f>
        <v/>
      </c>
      <c r="O1408" s="30" t="str">
        <f aca="false">IF(F1408="","",IF(AND(H1408="",'Vade Sapması'!$D$3&gt;G1408),'Vade Sapması'!$D$3-G1408,0))</f>
        <v/>
      </c>
      <c r="P1408" s="33" t="str">
        <f aca="false">IF(F1408="","",F1408*J1408)</f>
        <v/>
      </c>
      <c r="Q1408" s="33" t="str">
        <f aca="false">IF(F1408="","",F1408*L1408)</f>
        <v/>
      </c>
      <c r="R1408" s="33" t="str">
        <f aca="false">IF(F1408="","",IF(H1408="",F1408,0))</f>
        <v/>
      </c>
      <c r="S1408" s="32" t="str">
        <f aca="false">IF(F1408="","",IF(N(O1408)=0,"",IF(O1408&lt;=30,"1-30",IF(O1408&lt;=60,"31-60",IF(O1408&lt;=90,"61-90","90+")))))</f>
        <v/>
      </c>
      <c r="T1408" s="32" t="str">
        <f aca="false">IF(F1408="","",IF(E1408="","Diğer",E1408))</f>
        <v/>
      </c>
      <c r="U1408" s="32" t="str">
        <f aca="false">IF(OR(F1408="",C1408=""),"",IF(COUNTIF($C$2:C1408,C1408)=1,MAX($U$1:U1407)+1,""))</f>
        <v/>
      </c>
    </row>
    <row r="1409" customFormat="false" ht="15" hidden="false" customHeight="false" outlineLevel="0" collapsed="false">
      <c r="A1409" s="34"/>
      <c r="B1409" s="9"/>
      <c r="C1409" s="34"/>
      <c r="D1409" s="34"/>
      <c r="E1409" s="34"/>
      <c r="F1409" s="35"/>
      <c r="G1409" s="9"/>
      <c r="H1409" s="9"/>
      <c r="I1409" s="34"/>
      <c r="J1409" s="30" t="str">
        <f aca="false">IF(F1409="","",G1409-B1409)</f>
        <v/>
      </c>
      <c r="K1409" s="31" t="str">
        <f aca="false">IF(F1409="","",IF(H1409&lt;&gt;"",H1409,MAX('Vade Sapması'!$D$3,G1409)))</f>
        <v/>
      </c>
      <c r="L1409" s="30" t="str">
        <f aca="false">IF(F1409="","",K1409-B1409)</f>
        <v/>
      </c>
      <c r="M1409" s="30" t="str">
        <f aca="false">IF(F1409="","",L1409-J1409)</f>
        <v/>
      </c>
      <c r="N1409" s="32" t="str">
        <f aca="false">IF(F1409="","",IF(H1409&lt;&gt;"","Kapandı",IF('Vade Sapması'!$D$3&gt;G1409,"Açık · vadesi geçti","Açık · vadesi gelmedi")))</f>
        <v/>
      </c>
      <c r="O1409" s="30" t="str">
        <f aca="false">IF(F1409="","",IF(AND(H1409="",'Vade Sapması'!$D$3&gt;G1409),'Vade Sapması'!$D$3-G1409,0))</f>
        <v/>
      </c>
      <c r="P1409" s="33" t="str">
        <f aca="false">IF(F1409="","",F1409*J1409)</f>
        <v/>
      </c>
      <c r="Q1409" s="33" t="str">
        <f aca="false">IF(F1409="","",F1409*L1409)</f>
        <v/>
      </c>
      <c r="R1409" s="33" t="str">
        <f aca="false">IF(F1409="","",IF(H1409="",F1409,0))</f>
        <v/>
      </c>
      <c r="S1409" s="32" t="str">
        <f aca="false">IF(F1409="","",IF(N(O1409)=0,"",IF(O1409&lt;=30,"1-30",IF(O1409&lt;=60,"31-60",IF(O1409&lt;=90,"61-90","90+")))))</f>
        <v/>
      </c>
      <c r="T1409" s="32" t="str">
        <f aca="false">IF(F1409="","",IF(E1409="","Diğer",E1409))</f>
        <v/>
      </c>
      <c r="U1409" s="32" t="str">
        <f aca="false">IF(OR(F1409="",C1409=""),"",IF(COUNTIF($C$2:C1409,C1409)=1,MAX($U$1:U1408)+1,""))</f>
        <v/>
      </c>
    </row>
    <row r="1410" customFormat="false" ht="15" hidden="false" customHeight="false" outlineLevel="0" collapsed="false">
      <c r="A1410" s="34"/>
      <c r="B1410" s="9"/>
      <c r="C1410" s="34"/>
      <c r="D1410" s="34"/>
      <c r="E1410" s="34"/>
      <c r="F1410" s="35"/>
      <c r="G1410" s="9"/>
      <c r="H1410" s="9"/>
      <c r="I1410" s="34"/>
      <c r="J1410" s="30" t="str">
        <f aca="false">IF(F1410="","",G1410-B1410)</f>
        <v/>
      </c>
      <c r="K1410" s="31" t="str">
        <f aca="false">IF(F1410="","",IF(H1410&lt;&gt;"",H1410,MAX('Vade Sapması'!$D$3,G1410)))</f>
        <v/>
      </c>
      <c r="L1410" s="30" t="str">
        <f aca="false">IF(F1410="","",K1410-B1410)</f>
        <v/>
      </c>
      <c r="M1410" s="30" t="str">
        <f aca="false">IF(F1410="","",L1410-J1410)</f>
        <v/>
      </c>
      <c r="N1410" s="32" t="str">
        <f aca="false">IF(F1410="","",IF(H1410&lt;&gt;"","Kapandı",IF('Vade Sapması'!$D$3&gt;G1410,"Açık · vadesi geçti","Açık · vadesi gelmedi")))</f>
        <v/>
      </c>
      <c r="O1410" s="30" t="str">
        <f aca="false">IF(F1410="","",IF(AND(H1410="",'Vade Sapması'!$D$3&gt;G1410),'Vade Sapması'!$D$3-G1410,0))</f>
        <v/>
      </c>
      <c r="P1410" s="33" t="str">
        <f aca="false">IF(F1410="","",F1410*J1410)</f>
        <v/>
      </c>
      <c r="Q1410" s="33" t="str">
        <f aca="false">IF(F1410="","",F1410*L1410)</f>
        <v/>
      </c>
      <c r="R1410" s="33" t="str">
        <f aca="false">IF(F1410="","",IF(H1410="",F1410,0))</f>
        <v/>
      </c>
      <c r="S1410" s="32" t="str">
        <f aca="false">IF(F1410="","",IF(N(O1410)=0,"",IF(O1410&lt;=30,"1-30",IF(O1410&lt;=60,"31-60",IF(O1410&lt;=90,"61-90","90+")))))</f>
        <v/>
      </c>
      <c r="T1410" s="32" t="str">
        <f aca="false">IF(F1410="","",IF(E1410="","Diğer",E1410))</f>
        <v/>
      </c>
      <c r="U1410" s="32" t="str">
        <f aca="false">IF(OR(F1410="",C1410=""),"",IF(COUNTIF($C$2:C1410,C1410)=1,MAX($U$1:U1409)+1,""))</f>
        <v/>
      </c>
    </row>
    <row r="1411" customFormat="false" ht="15" hidden="false" customHeight="false" outlineLevel="0" collapsed="false">
      <c r="A1411" s="34"/>
      <c r="B1411" s="9"/>
      <c r="C1411" s="34"/>
      <c r="D1411" s="34"/>
      <c r="E1411" s="34"/>
      <c r="F1411" s="35"/>
      <c r="G1411" s="9"/>
      <c r="H1411" s="9"/>
      <c r="I1411" s="34"/>
      <c r="J1411" s="30" t="str">
        <f aca="false">IF(F1411="","",G1411-B1411)</f>
        <v/>
      </c>
      <c r="K1411" s="31" t="str">
        <f aca="false">IF(F1411="","",IF(H1411&lt;&gt;"",H1411,MAX('Vade Sapması'!$D$3,G1411)))</f>
        <v/>
      </c>
      <c r="L1411" s="30" t="str">
        <f aca="false">IF(F1411="","",K1411-B1411)</f>
        <v/>
      </c>
      <c r="M1411" s="30" t="str">
        <f aca="false">IF(F1411="","",L1411-J1411)</f>
        <v/>
      </c>
      <c r="N1411" s="32" t="str">
        <f aca="false">IF(F1411="","",IF(H1411&lt;&gt;"","Kapandı",IF('Vade Sapması'!$D$3&gt;G1411,"Açık · vadesi geçti","Açık · vadesi gelmedi")))</f>
        <v/>
      </c>
      <c r="O1411" s="30" t="str">
        <f aca="false">IF(F1411="","",IF(AND(H1411="",'Vade Sapması'!$D$3&gt;G1411),'Vade Sapması'!$D$3-G1411,0))</f>
        <v/>
      </c>
      <c r="P1411" s="33" t="str">
        <f aca="false">IF(F1411="","",F1411*J1411)</f>
        <v/>
      </c>
      <c r="Q1411" s="33" t="str">
        <f aca="false">IF(F1411="","",F1411*L1411)</f>
        <v/>
      </c>
      <c r="R1411" s="33" t="str">
        <f aca="false">IF(F1411="","",IF(H1411="",F1411,0))</f>
        <v/>
      </c>
      <c r="S1411" s="32" t="str">
        <f aca="false">IF(F1411="","",IF(N(O1411)=0,"",IF(O1411&lt;=30,"1-30",IF(O1411&lt;=60,"31-60",IF(O1411&lt;=90,"61-90","90+")))))</f>
        <v/>
      </c>
      <c r="T1411" s="32" t="str">
        <f aca="false">IF(F1411="","",IF(E1411="","Diğer",E1411))</f>
        <v/>
      </c>
      <c r="U1411" s="32" t="str">
        <f aca="false">IF(OR(F1411="",C1411=""),"",IF(COUNTIF($C$2:C1411,C1411)=1,MAX($U$1:U1410)+1,""))</f>
        <v/>
      </c>
    </row>
    <row r="1412" customFormat="false" ht="15" hidden="false" customHeight="false" outlineLevel="0" collapsed="false">
      <c r="A1412" s="34"/>
      <c r="B1412" s="9"/>
      <c r="C1412" s="34"/>
      <c r="D1412" s="34"/>
      <c r="E1412" s="34"/>
      <c r="F1412" s="35"/>
      <c r="G1412" s="9"/>
      <c r="H1412" s="9"/>
      <c r="I1412" s="34"/>
      <c r="J1412" s="30" t="str">
        <f aca="false">IF(F1412="","",G1412-B1412)</f>
        <v/>
      </c>
      <c r="K1412" s="31" t="str">
        <f aca="false">IF(F1412="","",IF(H1412&lt;&gt;"",H1412,MAX('Vade Sapması'!$D$3,G1412)))</f>
        <v/>
      </c>
      <c r="L1412" s="30" t="str">
        <f aca="false">IF(F1412="","",K1412-B1412)</f>
        <v/>
      </c>
      <c r="M1412" s="30" t="str">
        <f aca="false">IF(F1412="","",L1412-J1412)</f>
        <v/>
      </c>
      <c r="N1412" s="32" t="str">
        <f aca="false">IF(F1412="","",IF(H1412&lt;&gt;"","Kapandı",IF('Vade Sapması'!$D$3&gt;G1412,"Açık · vadesi geçti","Açık · vadesi gelmedi")))</f>
        <v/>
      </c>
      <c r="O1412" s="30" t="str">
        <f aca="false">IF(F1412="","",IF(AND(H1412="",'Vade Sapması'!$D$3&gt;G1412),'Vade Sapması'!$D$3-G1412,0))</f>
        <v/>
      </c>
      <c r="P1412" s="33" t="str">
        <f aca="false">IF(F1412="","",F1412*J1412)</f>
        <v/>
      </c>
      <c r="Q1412" s="33" t="str">
        <f aca="false">IF(F1412="","",F1412*L1412)</f>
        <v/>
      </c>
      <c r="R1412" s="33" t="str">
        <f aca="false">IF(F1412="","",IF(H1412="",F1412,0))</f>
        <v/>
      </c>
      <c r="S1412" s="32" t="str">
        <f aca="false">IF(F1412="","",IF(N(O1412)=0,"",IF(O1412&lt;=30,"1-30",IF(O1412&lt;=60,"31-60",IF(O1412&lt;=90,"61-90","90+")))))</f>
        <v/>
      </c>
      <c r="T1412" s="32" t="str">
        <f aca="false">IF(F1412="","",IF(E1412="","Diğer",E1412))</f>
        <v/>
      </c>
      <c r="U1412" s="32" t="str">
        <f aca="false">IF(OR(F1412="",C1412=""),"",IF(COUNTIF($C$2:C1412,C1412)=1,MAX($U$1:U1411)+1,""))</f>
        <v/>
      </c>
    </row>
    <row r="1413" customFormat="false" ht="15" hidden="false" customHeight="false" outlineLevel="0" collapsed="false">
      <c r="A1413" s="34"/>
      <c r="B1413" s="9"/>
      <c r="C1413" s="34"/>
      <c r="D1413" s="34"/>
      <c r="E1413" s="34"/>
      <c r="F1413" s="35"/>
      <c r="G1413" s="9"/>
      <c r="H1413" s="9"/>
      <c r="I1413" s="34"/>
      <c r="J1413" s="30" t="str">
        <f aca="false">IF(F1413="","",G1413-B1413)</f>
        <v/>
      </c>
      <c r="K1413" s="31" t="str">
        <f aca="false">IF(F1413="","",IF(H1413&lt;&gt;"",H1413,MAX('Vade Sapması'!$D$3,G1413)))</f>
        <v/>
      </c>
      <c r="L1413" s="30" t="str">
        <f aca="false">IF(F1413="","",K1413-B1413)</f>
        <v/>
      </c>
      <c r="M1413" s="30" t="str">
        <f aca="false">IF(F1413="","",L1413-J1413)</f>
        <v/>
      </c>
      <c r="N1413" s="32" t="str">
        <f aca="false">IF(F1413="","",IF(H1413&lt;&gt;"","Kapandı",IF('Vade Sapması'!$D$3&gt;G1413,"Açık · vadesi geçti","Açık · vadesi gelmedi")))</f>
        <v/>
      </c>
      <c r="O1413" s="30" t="str">
        <f aca="false">IF(F1413="","",IF(AND(H1413="",'Vade Sapması'!$D$3&gt;G1413),'Vade Sapması'!$D$3-G1413,0))</f>
        <v/>
      </c>
      <c r="P1413" s="33" t="str">
        <f aca="false">IF(F1413="","",F1413*J1413)</f>
        <v/>
      </c>
      <c r="Q1413" s="33" t="str">
        <f aca="false">IF(F1413="","",F1413*L1413)</f>
        <v/>
      </c>
      <c r="R1413" s="33" t="str">
        <f aca="false">IF(F1413="","",IF(H1413="",F1413,0))</f>
        <v/>
      </c>
      <c r="S1413" s="32" t="str">
        <f aca="false">IF(F1413="","",IF(N(O1413)=0,"",IF(O1413&lt;=30,"1-30",IF(O1413&lt;=60,"31-60",IF(O1413&lt;=90,"61-90","90+")))))</f>
        <v/>
      </c>
      <c r="T1413" s="32" t="str">
        <f aca="false">IF(F1413="","",IF(E1413="","Diğer",E1413))</f>
        <v/>
      </c>
      <c r="U1413" s="32" t="str">
        <f aca="false">IF(OR(F1413="",C1413=""),"",IF(COUNTIF($C$2:C1413,C1413)=1,MAX($U$1:U1412)+1,""))</f>
        <v/>
      </c>
    </row>
    <row r="1414" customFormat="false" ht="15" hidden="false" customHeight="false" outlineLevel="0" collapsed="false">
      <c r="A1414" s="34"/>
      <c r="B1414" s="9"/>
      <c r="C1414" s="34"/>
      <c r="D1414" s="34"/>
      <c r="E1414" s="34"/>
      <c r="F1414" s="35"/>
      <c r="G1414" s="9"/>
      <c r="H1414" s="9"/>
      <c r="I1414" s="34"/>
      <c r="J1414" s="30" t="str">
        <f aca="false">IF(F1414="","",G1414-B1414)</f>
        <v/>
      </c>
      <c r="K1414" s="31" t="str">
        <f aca="false">IF(F1414="","",IF(H1414&lt;&gt;"",H1414,MAX('Vade Sapması'!$D$3,G1414)))</f>
        <v/>
      </c>
      <c r="L1414" s="30" t="str">
        <f aca="false">IF(F1414="","",K1414-B1414)</f>
        <v/>
      </c>
      <c r="M1414" s="30" t="str">
        <f aca="false">IF(F1414="","",L1414-J1414)</f>
        <v/>
      </c>
      <c r="N1414" s="32" t="str">
        <f aca="false">IF(F1414="","",IF(H1414&lt;&gt;"","Kapandı",IF('Vade Sapması'!$D$3&gt;G1414,"Açık · vadesi geçti","Açık · vadesi gelmedi")))</f>
        <v/>
      </c>
      <c r="O1414" s="30" t="str">
        <f aca="false">IF(F1414="","",IF(AND(H1414="",'Vade Sapması'!$D$3&gt;G1414),'Vade Sapması'!$D$3-G1414,0))</f>
        <v/>
      </c>
      <c r="P1414" s="33" t="str">
        <f aca="false">IF(F1414="","",F1414*J1414)</f>
        <v/>
      </c>
      <c r="Q1414" s="33" t="str">
        <f aca="false">IF(F1414="","",F1414*L1414)</f>
        <v/>
      </c>
      <c r="R1414" s="33" t="str">
        <f aca="false">IF(F1414="","",IF(H1414="",F1414,0))</f>
        <v/>
      </c>
      <c r="S1414" s="32" t="str">
        <f aca="false">IF(F1414="","",IF(N(O1414)=0,"",IF(O1414&lt;=30,"1-30",IF(O1414&lt;=60,"31-60",IF(O1414&lt;=90,"61-90","90+")))))</f>
        <v/>
      </c>
      <c r="T1414" s="32" t="str">
        <f aca="false">IF(F1414="","",IF(E1414="","Diğer",E1414))</f>
        <v/>
      </c>
      <c r="U1414" s="32" t="str">
        <f aca="false">IF(OR(F1414="",C1414=""),"",IF(COUNTIF($C$2:C1414,C1414)=1,MAX($U$1:U1413)+1,""))</f>
        <v/>
      </c>
    </row>
    <row r="1415" customFormat="false" ht="15" hidden="false" customHeight="false" outlineLevel="0" collapsed="false">
      <c r="A1415" s="34"/>
      <c r="B1415" s="9"/>
      <c r="C1415" s="34"/>
      <c r="D1415" s="34"/>
      <c r="E1415" s="34"/>
      <c r="F1415" s="35"/>
      <c r="G1415" s="9"/>
      <c r="H1415" s="9"/>
      <c r="I1415" s="34"/>
      <c r="J1415" s="30" t="str">
        <f aca="false">IF(F1415="","",G1415-B1415)</f>
        <v/>
      </c>
      <c r="K1415" s="31" t="str">
        <f aca="false">IF(F1415="","",IF(H1415&lt;&gt;"",H1415,MAX('Vade Sapması'!$D$3,G1415)))</f>
        <v/>
      </c>
      <c r="L1415" s="30" t="str">
        <f aca="false">IF(F1415="","",K1415-B1415)</f>
        <v/>
      </c>
      <c r="M1415" s="30" t="str">
        <f aca="false">IF(F1415="","",L1415-J1415)</f>
        <v/>
      </c>
      <c r="N1415" s="32" t="str">
        <f aca="false">IF(F1415="","",IF(H1415&lt;&gt;"","Kapandı",IF('Vade Sapması'!$D$3&gt;G1415,"Açık · vadesi geçti","Açık · vadesi gelmedi")))</f>
        <v/>
      </c>
      <c r="O1415" s="30" t="str">
        <f aca="false">IF(F1415="","",IF(AND(H1415="",'Vade Sapması'!$D$3&gt;G1415),'Vade Sapması'!$D$3-G1415,0))</f>
        <v/>
      </c>
      <c r="P1415" s="33" t="str">
        <f aca="false">IF(F1415="","",F1415*J1415)</f>
        <v/>
      </c>
      <c r="Q1415" s="33" t="str">
        <f aca="false">IF(F1415="","",F1415*L1415)</f>
        <v/>
      </c>
      <c r="R1415" s="33" t="str">
        <f aca="false">IF(F1415="","",IF(H1415="",F1415,0))</f>
        <v/>
      </c>
      <c r="S1415" s="32" t="str">
        <f aca="false">IF(F1415="","",IF(N(O1415)=0,"",IF(O1415&lt;=30,"1-30",IF(O1415&lt;=60,"31-60",IF(O1415&lt;=90,"61-90","90+")))))</f>
        <v/>
      </c>
      <c r="T1415" s="32" t="str">
        <f aca="false">IF(F1415="","",IF(E1415="","Diğer",E1415))</f>
        <v/>
      </c>
      <c r="U1415" s="32" t="str">
        <f aca="false">IF(OR(F1415="",C1415=""),"",IF(COUNTIF($C$2:C1415,C1415)=1,MAX($U$1:U1414)+1,""))</f>
        <v/>
      </c>
    </row>
    <row r="1416" customFormat="false" ht="15" hidden="false" customHeight="false" outlineLevel="0" collapsed="false">
      <c r="A1416" s="34"/>
      <c r="B1416" s="9"/>
      <c r="C1416" s="34"/>
      <c r="D1416" s="34"/>
      <c r="E1416" s="34"/>
      <c r="F1416" s="35"/>
      <c r="G1416" s="9"/>
      <c r="H1416" s="9"/>
      <c r="I1416" s="34"/>
      <c r="J1416" s="30" t="str">
        <f aca="false">IF(F1416="","",G1416-B1416)</f>
        <v/>
      </c>
      <c r="K1416" s="31" t="str">
        <f aca="false">IF(F1416="","",IF(H1416&lt;&gt;"",H1416,MAX('Vade Sapması'!$D$3,G1416)))</f>
        <v/>
      </c>
      <c r="L1416" s="30" t="str">
        <f aca="false">IF(F1416="","",K1416-B1416)</f>
        <v/>
      </c>
      <c r="M1416" s="30" t="str">
        <f aca="false">IF(F1416="","",L1416-J1416)</f>
        <v/>
      </c>
      <c r="N1416" s="32" t="str">
        <f aca="false">IF(F1416="","",IF(H1416&lt;&gt;"","Kapandı",IF('Vade Sapması'!$D$3&gt;G1416,"Açık · vadesi geçti","Açık · vadesi gelmedi")))</f>
        <v/>
      </c>
      <c r="O1416" s="30" t="str">
        <f aca="false">IF(F1416="","",IF(AND(H1416="",'Vade Sapması'!$D$3&gt;G1416),'Vade Sapması'!$D$3-G1416,0))</f>
        <v/>
      </c>
      <c r="P1416" s="33" t="str">
        <f aca="false">IF(F1416="","",F1416*J1416)</f>
        <v/>
      </c>
      <c r="Q1416" s="33" t="str">
        <f aca="false">IF(F1416="","",F1416*L1416)</f>
        <v/>
      </c>
      <c r="R1416" s="33" t="str">
        <f aca="false">IF(F1416="","",IF(H1416="",F1416,0))</f>
        <v/>
      </c>
      <c r="S1416" s="32" t="str">
        <f aca="false">IF(F1416="","",IF(N(O1416)=0,"",IF(O1416&lt;=30,"1-30",IF(O1416&lt;=60,"31-60",IF(O1416&lt;=90,"61-90","90+")))))</f>
        <v/>
      </c>
      <c r="T1416" s="32" t="str">
        <f aca="false">IF(F1416="","",IF(E1416="","Diğer",E1416))</f>
        <v/>
      </c>
      <c r="U1416" s="32" t="str">
        <f aca="false">IF(OR(F1416="",C1416=""),"",IF(COUNTIF($C$2:C1416,C1416)=1,MAX($U$1:U1415)+1,""))</f>
        <v/>
      </c>
    </row>
    <row r="1417" customFormat="false" ht="15" hidden="false" customHeight="false" outlineLevel="0" collapsed="false">
      <c r="A1417" s="34"/>
      <c r="B1417" s="9"/>
      <c r="C1417" s="34"/>
      <c r="D1417" s="34"/>
      <c r="E1417" s="34"/>
      <c r="F1417" s="35"/>
      <c r="G1417" s="9"/>
      <c r="H1417" s="9"/>
      <c r="I1417" s="34"/>
      <c r="J1417" s="30" t="str">
        <f aca="false">IF(F1417="","",G1417-B1417)</f>
        <v/>
      </c>
      <c r="K1417" s="31" t="str">
        <f aca="false">IF(F1417="","",IF(H1417&lt;&gt;"",H1417,MAX('Vade Sapması'!$D$3,G1417)))</f>
        <v/>
      </c>
      <c r="L1417" s="30" t="str">
        <f aca="false">IF(F1417="","",K1417-B1417)</f>
        <v/>
      </c>
      <c r="M1417" s="30" t="str">
        <f aca="false">IF(F1417="","",L1417-J1417)</f>
        <v/>
      </c>
      <c r="N1417" s="32" t="str">
        <f aca="false">IF(F1417="","",IF(H1417&lt;&gt;"","Kapandı",IF('Vade Sapması'!$D$3&gt;G1417,"Açık · vadesi geçti","Açık · vadesi gelmedi")))</f>
        <v/>
      </c>
      <c r="O1417" s="30" t="str">
        <f aca="false">IF(F1417="","",IF(AND(H1417="",'Vade Sapması'!$D$3&gt;G1417),'Vade Sapması'!$D$3-G1417,0))</f>
        <v/>
      </c>
      <c r="P1417" s="33" t="str">
        <f aca="false">IF(F1417="","",F1417*J1417)</f>
        <v/>
      </c>
      <c r="Q1417" s="33" t="str">
        <f aca="false">IF(F1417="","",F1417*L1417)</f>
        <v/>
      </c>
      <c r="R1417" s="33" t="str">
        <f aca="false">IF(F1417="","",IF(H1417="",F1417,0))</f>
        <v/>
      </c>
      <c r="S1417" s="32" t="str">
        <f aca="false">IF(F1417="","",IF(N(O1417)=0,"",IF(O1417&lt;=30,"1-30",IF(O1417&lt;=60,"31-60",IF(O1417&lt;=90,"61-90","90+")))))</f>
        <v/>
      </c>
      <c r="T1417" s="32" t="str">
        <f aca="false">IF(F1417="","",IF(E1417="","Diğer",E1417))</f>
        <v/>
      </c>
      <c r="U1417" s="32" t="str">
        <f aca="false">IF(OR(F1417="",C1417=""),"",IF(COUNTIF($C$2:C1417,C1417)=1,MAX($U$1:U1416)+1,""))</f>
        <v/>
      </c>
    </row>
    <row r="1418" customFormat="false" ht="15" hidden="false" customHeight="false" outlineLevel="0" collapsed="false">
      <c r="A1418" s="34"/>
      <c r="B1418" s="9"/>
      <c r="C1418" s="34"/>
      <c r="D1418" s="34"/>
      <c r="E1418" s="34"/>
      <c r="F1418" s="35"/>
      <c r="G1418" s="9"/>
      <c r="H1418" s="9"/>
      <c r="I1418" s="34"/>
      <c r="J1418" s="30" t="str">
        <f aca="false">IF(F1418="","",G1418-B1418)</f>
        <v/>
      </c>
      <c r="K1418" s="31" t="str">
        <f aca="false">IF(F1418="","",IF(H1418&lt;&gt;"",H1418,MAX('Vade Sapması'!$D$3,G1418)))</f>
        <v/>
      </c>
      <c r="L1418" s="30" t="str">
        <f aca="false">IF(F1418="","",K1418-B1418)</f>
        <v/>
      </c>
      <c r="M1418" s="30" t="str">
        <f aca="false">IF(F1418="","",L1418-J1418)</f>
        <v/>
      </c>
      <c r="N1418" s="32" t="str">
        <f aca="false">IF(F1418="","",IF(H1418&lt;&gt;"","Kapandı",IF('Vade Sapması'!$D$3&gt;G1418,"Açık · vadesi geçti","Açık · vadesi gelmedi")))</f>
        <v/>
      </c>
      <c r="O1418" s="30" t="str">
        <f aca="false">IF(F1418="","",IF(AND(H1418="",'Vade Sapması'!$D$3&gt;G1418),'Vade Sapması'!$D$3-G1418,0))</f>
        <v/>
      </c>
      <c r="P1418" s="33" t="str">
        <f aca="false">IF(F1418="","",F1418*J1418)</f>
        <v/>
      </c>
      <c r="Q1418" s="33" t="str">
        <f aca="false">IF(F1418="","",F1418*L1418)</f>
        <v/>
      </c>
      <c r="R1418" s="33" t="str">
        <f aca="false">IF(F1418="","",IF(H1418="",F1418,0))</f>
        <v/>
      </c>
      <c r="S1418" s="32" t="str">
        <f aca="false">IF(F1418="","",IF(N(O1418)=0,"",IF(O1418&lt;=30,"1-30",IF(O1418&lt;=60,"31-60",IF(O1418&lt;=90,"61-90","90+")))))</f>
        <v/>
      </c>
      <c r="T1418" s="32" t="str">
        <f aca="false">IF(F1418="","",IF(E1418="","Diğer",E1418))</f>
        <v/>
      </c>
      <c r="U1418" s="32" t="str">
        <f aca="false">IF(OR(F1418="",C1418=""),"",IF(COUNTIF($C$2:C1418,C1418)=1,MAX($U$1:U1417)+1,""))</f>
        <v/>
      </c>
    </row>
    <row r="1419" customFormat="false" ht="15" hidden="false" customHeight="false" outlineLevel="0" collapsed="false">
      <c r="A1419" s="34"/>
      <c r="B1419" s="9"/>
      <c r="C1419" s="34"/>
      <c r="D1419" s="34"/>
      <c r="E1419" s="34"/>
      <c r="F1419" s="35"/>
      <c r="G1419" s="9"/>
      <c r="H1419" s="9"/>
      <c r="I1419" s="34"/>
      <c r="J1419" s="30" t="str">
        <f aca="false">IF(F1419="","",G1419-B1419)</f>
        <v/>
      </c>
      <c r="K1419" s="31" t="str">
        <f aca="false">IF(F1419="","",IF(H1419&lt;&gt;"",H1419,MAX('Vade Sapması'!$D$3,G1419)))</f>
        <v/>
      </c>
      <c r="L1419" s="30" t="str">
        <f aca="false">IF(F1419="","",K1419-B1419)</f>
        <v/>
      </c>
      <c r="M1419" s="30" t="str">
        <f aca="false">IF(F1419="","",L1419-J1419)</f>
        <v/>
      </c>
      <c r="N1419" s="32" t="str">
        <f aca="false">IF(F1419="","",IF(H1419&lt;&gt;"","Kapandı",IF('Vade Sapması'!$D$3&gt;G1419,"Açık · vadesi geçti","Açık · vadesi gelmedi")))</f>
        <v/>
      </c>
      <c r="O1419" s="30" t="str">
        <f aca="false">IF(F1419="","",IF(AND(H1419="",'Vade Sapması'!$D$3&gt;G1419),'Vade Sapması'!$D$3-G1419,0))</f>
        <v/>
      </c>
      <c r="P1419" s="33" t="str">
        <f aca="false">IF(F1419="","",F1419*J1419)</f>
        <v/>
      </c>
      <c r="Q1419" s="33" t="str">
        <f aca="false">IF(F1419="","",F1419*L1419)</f>
        <v/>
      </c>
      <c r="R1419" s="33" t="str">
        <f aca="false">IF(F1419="","",IF(H1419="",F1419,0))</f>
        <v/>
      </c>
      <c r="S1419" s="32" t="str">
        <f aca="false">IF(F1419="","",IF(N(O1419)=0,"",IF(O1419&lt;=30,"1-30",IF(O1419&lt;=60,"31-60",IF(O1419&lt;=90,"61-90","90+")))))</f>
        <v/>
      </c>
      <c r="T1419" s="32" t="str">
        <f aca="false">IF(F1419="","",IF(E1419="","Diğer",E1419))</f>
        <v/>
      </c>
      <c r="U1419" s="32" t="str">
        <f aca="false">IF(OR(F1419="",C1419=""),"",IF(COUNTIF($C$2:C1419,C1419)=1,MAX($U$1:U1418)+1,""))</f>
        <v/>
      </c>
    </row>
    <row r="1420" customFormat="false" ht="15" hidden="false" customHeight="false" outlineLevel="0" collapsed="false">
      <c r="A1420" s="34"/>
      <c r="B1420" s="9"/>
      <c r="C1420" s="34"/>
      <c r="D1420" s="34"/>
      <c r="E1420" s="34"/>
      <c r="F1420" s="35"/>
      <c r="G1420" s="9"/>
      <c r="H1420" s="9"/>
      <c r="I1420" s="34"/>
      <c r="J1420" s="30" t="str">
        <f aca="false">IF(F1420="","",G1420-B1420)</f>
        <v/>
      </c>
      <c r="K1420" s="31" t="str">
        <f aca="false">IF(F1420="","",IF(H1420&lt;&gt;"",H1420,MAX('Vade Sapması'!$D$3,G1420)))</f>
        <v/>
      </c>
      <c r="L1420" s="30" t="str">
        <f aca="false">IF(F1420="","",K1420-B1420)</f>
        <v/>
      </c>
      <c r="M1420" s="30" t="str">
        <f aca="false">IF(F1420="","",L1420-J1420)</f>
        <v/>
      </c>
      <c r="N1420" s="32" t="str">
        <f aca="false">IF(F1420="","",IF(H1420&lt;&gt;"","Kapandı",IF('Vade Sapması'!$D$3&gt;G1420,"Açık · vadesi geçti","Açık · vadesi gelmedi")))</f>
        <v/>
      </c>
      <c r="O1420" s="30" t="str">
        <f aca="false">IF(F1420="","",IF(AND(H1420="",'Vade Sapması'!$D$3&gt;G1420),'Vade Sapması'!$D$3-G1420,0))</f>
        <v/>
      </c>
      <c r="P1420" s="33" t="str">
        <f aca="false">IF(F1420="","",F1420*J1420)</f>
        <v/>
      </c>
      <c r="Q1420" s="33" t="str">
        <f aca="false">IF(F1420="","",F1420*L1420)</f>
        <v/>
      </c>
      <c r="R1420" s="33" t="str">
        <f aca="false">IF(F1420="","",IF(H1420="",F1420,0))</f>
        <v/>
      </c>
      <c r="S1420" s="32" t="str">
        <f aca="false">IF(F1420="","",IF(N(O1420)=0,"",IF(O1420&lt;=30,"1-30",IF(O1420&lt;=60,"31-60",IF(O1420&lt;=90,"61-90","90+")))))</f>
        <v/>
      </c>
      <c r="T1420" s="32" t="str">
        <f aca="false">IF(F1420="","",IF(E1420="","Diğer",E1420))</f>
        <v/>
      </c>
      <c r="U1420" s="32" t="str">
        <f aca="false">IF(OR(F1420="",C1420=""),"",IF(COUNTIF($C$2:C1420,C1420)=1,MAX($U$1:U1419)+1,""))</f>
        <v/>
      </c>
    </row>
    <row r="1421" customFormat="false" ht="15" hidden="false" customHeight="false" outlineLevel="0" collapsed="false">
      <c r="A1421" s="34"/>
      <c r="B1421" s="9"/>
      <c r="C1421" s="34"/>
      <c r="D1421" s="34"/>
      <c r="E1421" s="34"/>
      <c r="F1421" s="35"/>
      <c r="G1421" s="9"/>
      <c r="H1421" s="9"/>
      <c r="I1421" s="34"/>
      <c r="J1421" s="30" t="str">
        <f aca="false">IF(F1421="","",G1421-B1421)</f>
        <v/>
      </c>
      <c r="K1421" s="31" t="str">
        <f aca="false">IF(F1421="","",IF(H1421&lt;&gt;"",H1421,MAX('Vade Sapması'!$D$3,G1421)))</f>
        <v/>
      </c>
      <c r="L1421" s="30" t="str">
        <f aca="false">IF(F1421="","",K1421-B1421)</f>
        <v/>
      </c>
      <c r="M1421" s="30" t="str">
        <f aca="false">IF(F1421="","",L1421-J1421)</f>
        <v/>
      </c>
      <c r="N1421" s="32" t="str">
        <f aca="false">IF(F1421="","",IF(H1421&lt;&gt;"","Kapandı",IF('Vade Sapması'!$D$3&gt;G1421,"Açık · vadesi geçti","Açık · vadesi gelmedi")))</f>
        <v/>
      </c>
      <c r="O1421" s="30" t="str">
        <f aca="false">IF(F1421="","",IF(AND(H1421="",'Vade Sapması'!$D$3&gt;G1421),'Vade Sapması'!$D$3-G1421,0))</f>
        <v/>
      </c>
      <c r="P1421" s="33" t="str">
        <f aca="false">IF(F1421="","",F1421*J1421)</f>
        <v/>
      </c>
      <c r="Q1421" s="33" t="str">
        <f aca="false">IF(F1421="","",F1421*L1421)</f>
        <v/>
      </c>
      <c r="R1421" s="33" t="str">
        <f aca="false">IF(F1421="","",IF(H1421="",F1421,0))</f>
        <v/>
      </c>
      <c r="S1421" s="32" t="str">
        <f aca="false">IF(F1421="","",IF(N(O1421)=0,"",IF(O1421&lt;=30,"1-30",IF(O1421&lt;=60,"31-60",IF(O1421&lt;=90,"61-90","90+")))))</f>
        <v/>
      </c>
      <c r="T1421" s="32" t="str">
        <f aca="false">IF(F1421="","",IF(E1421="","Diğer",E1421))</f>
        <v/>
      </c>
      <c r="U1421" s="32" t="str">
        <f aca="false">IF(OR(F1421="",C1421=""),"",IF(COUNTIF($C$2:C1421,C1421)=1,MAX($U$1:U1420)+1,""))</f>
        <v/>
      </c>
    </row>
    <row r="1422" customFormat="false" ht="15" hidden="false" customHeight="false" outlineLevel="0" collapsed="false">
      <c r="A1422" s="34"/>
      <c r="B1422" s="9"/>
      <c r="C1422" s="34"/>
      <c r="D1422" s="34"/>
      <c r="E1422" s="34"/>
      <c r="F1422" s="35"/>
      <c r="G1422" s="9"/>
      <c r="H1422" s="9"/>
      <c r="I1422" s="34"/>
      <c r="J1422" s="30" t="str">
        <f aca="false">IF(F1422="","",G1422-B1422)</f>
        <v/>
      </c>
      <c r="K1422" s="31" t="str">
        <f aca="false">IF(F1422="","",IF(H1422&lt;&gt;"",H1422,MAX('Vade Sapması'!$D$3,G1422)))</f>
        <v/>
      </c>
      <c r="L1422" s="30" t="str">
        <f aca="false">IF(F1422="","",K1422-B1422)</f>
        <v/>
      </c>
      <c r="M1422" s="30" t="str">
        <f aca="false">IF(F1422="","",L1422-J1422)</f>
        <v/>
      </c>
      <c r="N1422" s="32" t="str">
        <f aca="false">IF(F1422="","",IF(H1422&lt;&gt;"","Kapandı",IF('Vade Sapması'!$D$3&gt;G1422,"Açık · vadesi geçti","Açık · vadesi gelmedi")))</f>
        <v/>
      </c>
      <c r="O1422" s="30" t="str">
        <f aca="false">IF(F1422="","",IF(AND(H1422="",'Vade Sapması'!$D$3&gt;G1422),'Vade Sapması'!$D$3-G1422,0))</f>
        <v/>
      </c>
      <c r="P1422" s="33" t="str">
        <f aca="false">IF(F1422="","",F1422*J1422)</f>
        <v/>
      </c>
      <c r="Q1422" s="33" t="str">
        <f aca="false">IF(F1422="","",F1422*L1422)</f>
        <v/>
      </c>
      <c r="R1422" s="33" t="str">
        <f aca="false">IF(F1422="","",IF(H1422="",F1422,0))</f>
        <v/>
      </c>
      <c r="S1422" s="32" t="str">
        <f aca="false">IF(F1422="","",IF(N(O1422)=0,"",IF(O1422&lt;=30,"1-30",IF(O1422&lt;=60,"31-60",IF(O1422&lt;=90,"61-90","90+")))))</f>
        <v/>
      </c>
      <c r="T1422" s="32" t="str">
        <f aca="false">IF(F1422="","",IF(E1422="","Diğer",E1422))</f>
        <v/>
      </c>
      <c r="U1422" s="32" t="str">
        <f aca="false">IF(OR(F1422="",C1422=""),"",IF(COUNTIF($C$2:C1422,C1422)=1,MAX($U$1:U1421)+1,""))</f>
        <v/>
      </c>
    </row>
    <row r="1423" customFormat="false" ht="15" hidden="false" customHeight="false" outlineLevel="0" collapsed="false">
      <c r="A1423" s="34"/>
      <c r="B1423" s="9"/>
      <c r="C1423" s="34"/>
      <c r="D1423" s="34"/>
      <c r="E1423" s="34"/>
      <c r="F1423" s="35"/>
      <c r="G1423" s="9"/>
      <c r="H1423" s="9"/>
      <c r="I1423" s="34"/>
      <c r="J1423" s="30" t="str">
        <f aca="false">IF(F1423="","",G1423-B1423)</f>
        <v/>
      </c>
      <c r="K1423" s="31" t="str">
        <f aca="false">IF(F1423="","",IF(H1423&lt;&gt;"",H1423,MAX('Vade Sapması'!$D$3,G1423)))</f>
        <v/>
      </c>
      <c r="L1423" s="30" t="str">
        <f aca="false">IF(F1423="","",K1423-B1423)</f>
        <v/>
      </c>
      <c r="M1423" s="30" t="str">
        <f aca="false">IF(F1423="","",L1423-J1423)</f>
        <v/>
      </c>
      <c r="N1423" s="32" t="str">
        <f aca="false">IF(F1423="","",IF(H1423&lt;&gt;"","Kapandı",IF('Vade Sapması'!$D$3&gt;G1423,"Açık · vadesi geçti","Açık · vadesi gelmedi")))</f>
        <v/>
      </c>
      <c r="O1423" s="30" t="str">
        <f aca="false">IF(F1423="","",IF(AND(H1423="",'Vade Sapması'!$D$3&gt;G1423),'Vade Sapması'!$D$3-G1423,0))</f>
        <v/>
      </c>
      <c r="P1423" s="33" t="str">
        <f aca="false">IF(F1423="","",F1423*J1423)</f>
        <v/>
      </c>
      <c r="Q1423" s="33" t="str">
        <f aca="false">IF(F1423="","",F1423*L1423)</f>
        <v/>
      </c>
      <c r="R1423" s="33" t="str">
        <f aca="false">IF(F1423="","",IF(H1423="",F1423,0))</f>
        <v/>
      </c>
      <c r="S1423" s="32" t="str">
        <f aca="false">IF(F1423="","",IF(N(O1423)=0,"",IF(O1423&lt;=30,"1-30",IF(O1423&lt;=60,"31-60",IF(O1423&lt;=90,"61-90","90+")))))</f>
        <v/>
      </c>
      <c r="T1423" s="32" t="str">
        <f aca="false">IF(F1423="","",IF(E1423="","Diğer",E1423))</f>
        <v/>
      </c>
      <c r="U1423" s="32" t="str">
        <f aca="false">IF(OR(F1423="",C1423=""),"",IF(COUNTIF($C$2:C1423,C1423)=1,MAX($U$1:U1422)+1,""))</f>
        <v/>
      </c>
    </row>
    <row r="1424" customFormat="false" ht="15" hidden="false" customHeight="false" outlineLevel="0" collapsed="false">
      <c r="A1424" s="34"/>
      <c r="B1424" s="9"/>
      <c r="C1424" s="34"/>
      <c r="D1424" s="34"/>
      <c r="E1424" s="34"/>
      <c r="F1424" s="35"/>
      <c r="G1424" s="9"/>
      <c r="H1424" s="9"/>
      <c r="I1424" s="34"/>
      <c r="J1424" s="30" t="str">
        <f aca="false">IF(F1424="","",G1424-B1424)</f>
        <v/>
      </c>
      <c r="K1424" s="31" t="str">
        <f aca="false">IF(F1424="","",IF(H1424&lt;&gt;"",H1424,MAX('Vade Sapması'!$D$3,G1424)))</f>
        <v/>
      </c>
      <c r="L1424" s="30" t="str">
        <f aca="false">IF(F1424="","",K1424-B1424)</f>
        <v/>
      </c>
      <c r="M1424" s="30" t="str">
        <f aca="false">IF(F1424="","",L1424-J1424)</f>
        <v/>
      </c>
      <c r="N1424" s="32" t="str">
        <f aca="false">IF(F1424="","",IF(H1424&lt;&gt;"","Kapandı",IF('Vade Sapması'!$D$3&gt;G1424,"Açık · vadesi geçti","Açık · vadesi gelmedi")))</f>
        <v/>
      </c>
      <c r="O1424" s="30" t="str">
        <f aca="false">IF(F1424="","",IF(AND(H1424="",'Vade Sapması'!$D$3&gt;G1424),'Vade Sapması'!$D$3-G1424,0))</f>
        <v/>
      </c>
      <c r="P1424" s="33" t="str">
        <f aca="false">IF(F1424="","",F1424*J1424)</f>
        <v/>
      </c>
      <c r="Q1424" s="33" t="str">
        <f aca="false">IF(F1424="","",F1424*L1424)</f>
        <v/>
      </c>
      <c r="R1424" s="33" t="str">
        <f aca="false">IF(F1424="","",IF(H1424="",F1424,0))</f>
        <v/>
      </c>
      <c r="S1424" s="32" t="str">
        <f aca="false">IF(F1424="","",IF(N(O1424)=0,"",IF(O1424&lt;=30,"1-30",IF(O1424&lt;=60,"31-60",IF(O1424&lt;=90,"61-90","90+")))))</f>
        <v/>
      </c>
      <c r="T1424" s="32" t="str">
        <f aca="false">IF(F1424="","",IF(E1424="","Diğer",E1424))</f>
        <v/>
      </c>
      <c r="U1424" s="32" t="str">
        <f aca="false">IF(OR(F1424="",C1424=""),"",IF(COUNTIF($C$2:C1424,C1424)=1,MAX($U$1:U1423)+1,""))</f>
        <v/>
      </c>
    </row>
    <row r="1425" customFormat="false" ht="15" hidden="false" customHeight="false" outlineLevel="0" collapsed="false">
      <c r="A1425" s="34"/>
      <c r="B1425" s="9"/>
      <c r="C1425" s="34"/>
      <c r="D1425" s="34"/>
      <c r="E1425" s="34"/>
      <c r="F1425" s="35"/>
      <c r="G1425" s="9"/>
      <c r="H1425" s="9"/>
      <c r="I1425" s="34"/>
      <c r="J1425" s="30" t="str">
        <f aca="false">IF(F1425="","",G1425-B1425)</f>
        <v/>
      </c>
      <c r="K1425" s="31" t="str">
        <f aca="false">IF(F1425="","",IF(H1425&lt;&gt;"",H1425,MAX('Vade Sapması'!$D$3,G1425)))</f>
        <v/>
      </c>
      <c r="L1425" s="30" t="str">
        <f aca="false">IF(F1425="","",K1425-B1425)</f>
        <v/>
      </c>
      <c r="M1425" s="30" t="str">
        <f aca="false">IF(F1425="","",L1425-J1425)</f>
        <v/>
      </c>
      <c r="N1425" s="32" t="str">
        <f aca="false">IF(F1425="","",IF(H1425&lt;&gt;"","Kapandı",IF('Vade Sapması'!$D$3&gt;G1425,"Açık · vadesi geçti","Açık · vadesi gelmedi")))</f>
        <v/>
      </c>
      <c r="O1425" s="30" t="str">
        <f aca="false">IF(F1425="","",IF(AND(H1425="",'Vade Sapması'!$D$3&gt;G1425),'Vade Sapması'!$D$3-G1425,0))</f>
        <v/>
      </c>
      <c r="P1425" s="33" t="str">
        <f aca="false">IF(F1425="","",F1425*J1425)</f>
        <v/>
      </c>
      <c r="Q1425" s="33" t="str">
        <f aca="false">IF(F1425="","",F1425*L1425)</f>
        <v/>
      </c>
      <c r="R1425" s="33" t="str">
        <f aca="false">IF(F1425="","",IF(H1425="",F1425,0))</f>
        <v/>
      </c>
      <c r="S1425" s="32" t="str">
        <f aca="false">IF(F1425="","",IF(N(O1425)=0,"",IF(O1425&lt;=30,"1-30",IF(O1425&lt;=60,"31-60",IF(O1425&lt;=90,"61-90","90+")))))</f>
        <v/>
      </c>
      <c r="T1425" s="32" t="str">
        <f aca="false">IF(F1425="","",IF(E1425="","Diğer",E1425))</f>
        <v/>
      </c>
      <c r="U1425" s="32" t="str">
        <f aca="false">IF(OR(F1425="",C1425=""),"",IF(COUNTIF($C$2:C1425,C1425)=1,MAX($U$1:U1424)+1,""))</f>
        <v/>
      </c>
    </row>
    <row r="1426" customFormat="false" ht="15" hidden="false" customHeight="false" outlineLevel="0" collapsed="false">
      <c r="A1426" s="34"/>
      <c r="B1426" s="9"/>
      <c r="C1426" s="34"/>
      <c r="D1426" s="34"/>
      <c r="E1426" s="34"/>
      <c r="F1426" s="35"/>
      <c r="G1426" s="9"/>
      <c r="H1426" s="9"/>
      <c r="I1426" s="34"/>
      <c r="J1426" s="30" t="str">
        <f aca="false">IF(F1426="","",G1426-B1426)</f>
        <v/>
      </c>
      <c r="K1426" s="31" t="str">
        <f aca="false">IF(F1426="","",IF(H1426&lt;&gt;"",H1426,MAX('Vade Sapması'!$D$3,G1426)))</f>
        <v/>
      </c>
      <c r="L1426" s="30" t="str">
        <f aca="false">IF(F1426="","",K1426-B1426)</f>
        <v/>
      </c>
      <c r="M1426" s="30" t="str">
        <f aca="false">IF(F1426="","",L1426-J1426)</f>
        <v/>
      </c>
      <c r="N1426" s="32" t="str">
        <f aca="false">IF(F1426="","",IF(H1426&lt;&gt;"","Kapandı",IF('Vade Sapması'!$D$3&gt;G1426,"Açık · vadesi geçti","Açık · vadesi gelmedi")))</f>
        <v/>
      </c>
      <c r="O1426" s="30" t="str">
        <f aca="false">IF(F1426="","",IF(AND(H1426="",'Vade Sapması'!$D$3&gt;G1426),'Vade Sapması'!$D$3-G1426,0))</f>
        <v/>
      </c>
      <c r="P1426" s="33" t="str">
        <f aca="false">IF(F1426="","",F1426*J1426)</f>
        <v/>
      </c>
      <c r="Q1426" s="33" t="str">
        <f aca="false">IF(F1426="","",F1426*L1426)</f>
        <v/>
      </c>
      <c r="R1426" s="33" t="str">
        <f aca="false">IF(F1426="","",IF(H1426="",F1426,0))</f>
        <v/>
      </c>
      <c r="S1426" s="32" t="str">
        <f aca="false">IF(F1426="","",IF(N(O1426)=0,"",IF(O1426&lt;=30,"1-30",IF(O1426&lt;=60,"31-60",IF(O1426&lt;=90,"61-90","90+")))))</f>
        <v/>
      </c>
      <c r="T1426" s="32" t="str">
        <f aca="false">IF(F1426="","",IF(E1426="","Diğer",E1426))</f>
        <v/>
      </c>
      <c r="U1426" s="32" t="str">
        <f aca="false">IF(OR(F1426="",C1426=""),"",IF(COUNTIF($C$2:C1426,C1426)=1,MAX($U$1:U1425)+1,""))</f>
        <v/>
      </c>
    </row>
    <row r="1427" customFormat="false" ht="15" hidden="false" customHeight="false" outlineLevel="0" collapsed="false">
      <c r="A1427" s="34"/>
      <c r="B1427" s="9"/>
      <c r="C1427" s="34"/>
      <c r="D1427" s="34"/>
      <c r="E1427" s="34"/>
      <c r="F1427" s="35"/>
      <c r="G1427" s="9"/>
      <c r="H1427" s="9"/>
      <c r="I1427" s="34"/>
      <c r="J1427" s="30" t="str">
        <f aca="false">IF(F1427="","",G1427-B1427)</f>
        <v/>
      </c>
      <c r="K1427" s="31" t="str">
        <f aca="false">IF(F1427="","",IF(H1427&lt;&gt;"",H1427,MAX('Vade Sapması'!$D$3,G1427)))</f>
        <v/>
      </c>
      <c r="L1427" s="30" t="str">
        <f aca="false">IF(F1427="","",K1427-B1427)</f>
        <v/>
      </c>
      <c r="M1427" s="30" t="str">
        <f aca="false">IF(F1427="","",L1427-J1427)</f>
        <v/>
      </c>
      <c r="N1427" s="32" t="str">
        <f aca="false">IF(F1427="","",IF(H1427&lt;&gt;"","Kapandı",IF('Vade Sapması'!$D$3&gt;G1427,"Açık · vadesi geçti","Açık · vadesi gelmedi")))</f>
        <v/>
      </c>
      <c r="O1427" s="30" t="str">
        <f aca="false">IF(F1427="","",IF(AND(H1427="",'Vade Sapması'!$D$3&gt;G1427),'Vade Sapması'!$D$3-G1427,0))</f>
        <v/>
      </c>
      <c r="P1427" s="33" t="str">
        <f aca="false">IF(F1427="","",F1427*J1427)</f>
        <v/>
      </c>
      <c r="Q1427" s="33" t="str">
        <f aca="false">IF(F1427="","",F1427*L1427)</f>
        <v/>
      </c>
      <c r="R1427" s="33" t="str">
        <f aca="false">IF(F1427="","",IF(H1427="",F1427,0))</f>
        <v/>
      </c>
      <c r="S1427" s="32" t="str">
        <f aca="false">IF(F1427="","",IF(N(O1427)=0,"",IF(O1427&lt;=30,"1-30",IF(O1427&lt;=60,"31-60",IF(O1427&lt;=90,"61-90","90+")))))</f>
        <v/>
      </c>
      <c r="T1427" s="32" t="str">
        <f aca="false">IF(F1427="","",IF(E1427="","Diğer",E1427))</f>
        <v/>
      </c>
      <c r="U1427" s="32" t="str">
        <f aca="false">IF(OR(F1427="",C1427=""),"",IF(COUNTIF($C$2:C1427,C1427)=1,MAX($U$1:U1426)+1,""))</f>
        <v/>
      </c>
    </row>
    <row r="1428" customFormat="false" ht="15" hidden="false" customHeight="false" outlineLevel="0" collapsed="false">
      <c r="A1428" s="34"/>
      <c r="B1428" s="9"/>
      <c r="C1428" s="34"/>
      <c r="D1428" s="34"/>
      <c r="E1428" s="34"/>
      <c r="F1428" s="35"/>
      <c r="G1428" s="9"/>
      <c r="H1428" s="9"/>
      <c r="I1428" s="34"/>
      <c r="J1428" s="30" t="str">
        <f aca="false">IF(F1428="","",G1428-B1428)</f>
        <v/>
      </c>
      <c r="K1428" s="31" t="str">
        <f aca="false">IF(F1428="","",IF(H1428&lt;&gt;"",H1428,MAX('Vade Sapması'!$D$3,G1428)))</f>
        <v/>
      </c>
      <c r="L1428" s="30" t="str">
        <f aca="false">IF(F1428="","",K1428-B1428)</f>
        <v/>
      </c>
      <c r="M1428" s="30" t="str">
        <f aca="false">IF(F1428="","",L1428-J1428)</f>
        <v/>
      </c>
      <c r="N1428" s="32" t="str">
        <f aca="false">IF(F1428="","",IF(H1428&lt;&gt;"","Kapandı",IF('Vade Sapması'!$D$3&gt;G1428,"Açık · vadesi geçti","Açık · vadesi gelmedi")))</f>
        <v/>
      </c>
      <c r="O1428" s="30" t="str">
        <f aca="false">IF(F1428="","",IF(AND(H1428="",'Vade Sapması'!$D$3&gt;G1428),'Vade Sapması'!$D$3-G1428,0))</f>
        <v/>
      </c>
      <c r="P1428" s="33" t="str">
        <f aca="false">IF(F1428="","",F1428*J1428)</f>
        <v/>
      </c>
      <c r="Q1428" s="33" t="str">
        <f aca="false">IF(F1428="","",F1428*L1428)</f>
        <v/>
      </c>
      <c r="R1428" s="33" t="str">
        <f aca="false">IF(F1428="","",IF(H1428="",F1428,0))</f>
        <v/>
      </c>
      <c r="S1428" s="32" t="str">
        <f aca="false">IF(F1428="","",IF(N(O1428)=0,"",IF(O1428&lt;=30,"1-30",IF(O1428&lt;=60,"31-60",IF(O1428&lt;=90,"61-90","90+")))))</f>
        <v/>
      </c>
      <c r="T1428" s="32" t="str">
        <f aca="false">IF(F1428="","",IF(E1428="","Diğer",E1428))</f>
        <v/>
      </c>
      <c r="U1428" s="32" t="str">
        <f aca="false">IF(OR(F1428="",C1428=""),"",IF(COUNTIF($C$2:C1428,C1428)=1,MAX($U$1:U1427)+1,""))</f>
        <v/>
      </c>
    </row>
    <row r="1429" customFormat="false" ht="15" hidden="false" customHeight="false" outlineLevel="0" collapsed="false">
      <c r="A1429" s="34"/>
      <c r="B1429" s="9"/>
      <c r="C1429" s="34"/>
      <c r="D1429" s="34"/>
      <c r="E1429" s="34"/>
      <c r="F1429" s="35"/>
      <c r="G1429" s="9"/>
      <c r="H1429" s="9"/>
      <c r="I1429" s="34"/>
      <c r="J1429" s="30" t="str">
        <f aca="false">IF(F1429="","",G1429-B1429)</f>
        <v/>
      </c>
      <c r="K1429" s="31" t="str">
        <f aca="false">IF(F1429="","",IF(H1429&lt;&gt;"",H1429,MAX('Vade Sapması'!$D$3,G1429)))</f>
        <v/>
      </c>
      <c r="L1429" s="30" t="str">
        <f aca="false">IF(F1429="","",K1429-B1429)</f>
        <v/>
      </c>
      <c r="M1429" s="30" t="str">
        <f aca="false">IF(F1429="","",L1429-J1429)</f>
        <v/>
      </c>
      <c r="N1429" s="32" t="str">
        <f aca="false">IF(F1429="","",IF(H1429&lt;&gt;"","Kapandı",IF('Vade Sapması'!$D$3&gt;G1429,"Açık · vadesi geçti","Açık · vadesi gelmedi")))</f>
        <v/>
      </c>
      <c r="O1429" s="30" t="str">
        <f aca="false">IF(F1429="","",IF(AND(H1429="",'Vade Sapması'!$D$3&gt;G1429),'Vade Sapması'!$D$3-G1429,0))</f>
        <v/>
      </c>
      <c r="P1429" s="33" t="str">
        <f aca="false">IF(F1429="","",F1429*J1429)</f>
        <v/>
      </c>
      <c r="Q1429" s="33" t="str">
        <f aca="false">IF(F1429="","",F1429*L1429)</f>
        <v/>
      </c>
      <c r="R1429" s="33" t="str">
        <f aca="false">IF(F1429="","",IF(H1429="",F1429,0))</f>
        <v/>
      </c>
      <c r="S1429" s="32" t="str">
        <f aca="false">IF(F1429="","",IF(N(O1429)=0,"",IF(O1429&lt;=30,"1-30",IF(O1429&lt;=60,"31-60",IF(O1429&lt;=90,"61-90","90+")))))</f>
        <v/>
      </c>
      <c r="T1429" s="32" t="str">
        <f aca="false">IF(F1429="","",IF(E1429="","Diğer",E1429))</f>
        <v/>
      </c>
      <c r="U1429" s="32" t="str">
        <f aca="false">IF(OR(F1429="",C1429=""),"",IF(COUNTIF($C$2:C1429,C1429)=1,MAX($U$1:U1428)+1,""))</f>
        <v/>
      </c>
    </row>
    <row r="1430" customFormat="false" ht="15" hidden="false" customHeight="false" outlineLevel="0" collapsed="false">
      <c r="A1430" s="34"/>
      <c r="B1430" s="9"/>
      <c r="C1430" s="34"/>
      <c r="D1430" s="34"/>
      <c r="E1430" s="34"/>
      <c r="F1430" s="35"/>
      <c r="G1430" s="9"/>
      <c r="H1430" s="9"/>
      <c r="I1430" s="34"/>
      <c r="J1430" s="30" t="str">
        <f aca="false">IF(F1430="","",G1430-B1430)</f>
        <v/>
      </c>
      <c r="K1430" s="31" t="str">
        <f aca="false">IF(F1430="","",IF(H1430&lt;&gt;"",H1430,MAX('Vade Sapması'!$D$3,G1430)))</f>
        <v/>
      </c>
      <c r="L1430" s="30" t="str">
        <f aca="false">IF(F1430="","",K1430-B1430)</f>
        <v/>
      </c>
      <c r="M1430" s="30" t="str">
        <f aca="false">IF(F1430="","",L1430-J1430)</f>
        <v/>
      </c>
      <c r="N1430" s="32" t="str">
        <f aca="false">IF(F1430="","",IF(H1430&lt;&gt;"","Kapandı",IF('Vade Sapması'!$D$3&gt;G1430,"Açık · vadesi geçti","Açık · vadesi gelmedi")))</f>
        <v/>
      </c>
      <c r="O1430" s="30" t="str">
        <f aca="false">IF(F1430="","",IF(AND(H1430="",'Vade Sapması'!$D$3&gt;G1430),'Vade Sapması'!$D$3-G1430,0))</f>
        <v/>
      </c>
      <c r="P1430" s="33" t="str">
        <f aca="false">IF(F1430="","",F1430*J1430)</f>
        <v/>
      </c>
      <c r="Q1430" s="33" t="str">
        <f aca="false">IF(F1430="","",F1430*L1430)</f>
        <v/>
      </c>
      <c r="R1430" s="33" t="str">
        <f aca="false">IF(F1430="","",IF(H1430="",F1430,0))</f>
        <v/>
      </c>
      <c r="S1430" s="32" t="str">
        <f aca="false">IF(F1430="","",IF(N(O1430)=0,"",IF(O1430&lt;=30,"1-30",IF(O1430&lt;=60,"31-60",IF(O1430&lt;=90,"61-90","90+")))))</f>
        <v/>
      </c>
      <c r="T1430" s="32" t="str">
        <f aca="false">IF(F1430="","",IF(E1430="","Diğer",E1430))</f>
        <v/>
      </c>
      <c r="U1430" s="32" t="str">
        <f aca="false">IF(OR(F1430="",C1430=""),"",IF(COUNTIF($C$2:C1430,C1430)=1,MAX($U$1:U1429)+1,""))</f>
        <v/>
      </c>
    </row>
    <row r="1431" customFormat="false" ht="15" hidden="false" customHeight="false" outlineLevel="0" collapsed="false">
      <c r="A1431" s="34"/>
      <c r="B1431" s="9"/>
      <c r="C1431" s="34"/>
      <c r="D1431" s="34"/>
      <c r="E1431" s="34"/>
      <c r="F1431" s="35"/>
      <c r="G1431" s="9"/>
      <c r="H1431" s="9"/>
      <c r="I1431" s="34"/>
      <c r="J1431" s="30" t="str">
        <f aca="false">IF(F1431="","",G1431-B1431)</f>
        <v/>
      </c>
      <c r="K1431" s="31" t="str">
        <f aca="false">IF(F1431="","",IF(H1431&lt;&gt;"",H1431,MAX('Vade Sapması'!$D$3,G1431)))</f>
        <v/>
      </c>
      <c r="L1431" s="30" t="str">
        <f aca="false">IF(F1431="","",K1431-B1431)</f>
        <v/>
      </c>
      <c r="M1431" s="30" t="str">
        <f aca="false">IF(F1431="","",L1431-J1431)</f>
        <v/>
      </c>
      <c r="N1431" s="32" t="str">
        <f aca="false">IF(F1431="","",IF(H1431&lt;&gt;"","Kapandı",IF('Vade Sapması'!$D$3&gt;G1431,"Açık · vadesi geçti","Açık · vadesi gelmedi")))</f>
        <v/>
      </c>
      <c r="O1431" s="30" t="str">
        <f aca="false">IF(F1431="","",IF(AND(H1431="",'Vade Sapması'!$D$3&gt;G1431),'Vade Sapması'!$D$3-G1431,0))</f>
        <v/>
      </c>
      <c r="P1431" s="33" t="str">
        <f aca="false">IF(F1431="","",F1431*J1431)</f>
        <v/>
      </c>
      <c r="Q1431" s="33" t="str">
        <f aca="false">IF(F1431="","",F1431*L1431)</f>
        <v/>
      </c>
      <c r="R1431" s="33" t="str">
        <f aca="false">IF(F1431="","",IF(H1431="",F1431,0))</f>
        <v/>
      </c>
      <c r="S1431" s="32" t="str">
        <f aca="false">IF(F1431="","",IF(N(O1431)=0,"",IF(O1431&lt;=30,"1-30",IF(O1431&lt;=60,"31-60",IF(O1431&lt;=90,"61-90","90+")))))</f>
        <v/>
      </c>
      <c r="T1431" s="32" t="str">
        <f aca="false">IF(F1431="","",IF(E1431="","Diğer",E1431))</f>
        <v/>
      </c>
      <c r="U1431" s="32" t="str">
        <f aca="false">IF(OR(F1431="",C1431=""),"",IF(COUNTIF($C$2:C1431,C1431)=1,MAX($U$1:U1430)+1,""))</f>
        <v/>
      </c>
    </row>
    <row r="1432" customFormat="false" ht="15" hidden="false" customHeight="false" outlineLevel="0" collapsed="false">
      <c r="A1432" s="34"/>
      <c r="B1432" s="9"/>
      <c r="C1432" s="34"/>
      <c r="D1432" s="34"/>
      <c r="E1432" s="34"/>
      <c r="F1432" s="35"/>
      <c r="G1432" s="9"/>
      <c r="H1432" s="9"/>
      <c r="I1432" s="34"/>
      <c r="J1432" s="30" t="str">
        <f aca="false">IF(F1432="","",G1432-B1432)</f>
        <v/>
      </c>
      <c r="K1432" s="31" t="str">
        <f aca="false">IF(F1432="","",IF(H1432&lt;&gt;"",H1432,MAX('Vade Sapması'!$D$3,G1432)))</f>
        <v/>
      </c>
      <c r="L1432" s="30" t="str">
        <f aca="false">IF(F1432="","",K1432-B1432)</f>
        <v/>
      </c>
      <c r="M1432" s="30" t="str">
        <f aca="false">IF(F1432="","",L1432-J1432)</f>
        <v/>
      </c>
      <c r="N1432" s="32" t="str">
        <f aca="false">IF(F1432="","",IF(H1432&lt;&gt;"","Kapandı",IF('Vade Sapması'!$D$3&gt;G1432,"Açık · vadesi geçti","Açık · vadesi gelmedi")))</f>
        <v/>
      </c>
      <c r="O1432" s="30" t="str">
        <f aca="false">IF(F1432="","",IF(AND(H1432="",'Vade Sapması'!$D$3&gt;G1432),'Vade Sapması'!$D$3-G1432,0))</f>
        <v/>
      </c>
      <c r="P1432" s="33" t="str">
        <f aca="false">IF(F1432="","",F1432*J1432)</f>
        <v/>
      </c>
      <c r="Q1432" s="33" t="str">
        <f aca="false">IF(F1432="","",F1432*L1432)</f>
        <v/>
      </c>
      <c r="R1432" s="33" t="str">
        <f aca="false">IF(F1432="","",IF(H1432="",F1432,0))</f>
        <v/>
      </c>
      <c r="S1432" s="32" t="str">
        <f aca="false">IF(F1432="","",IF(N(O1432)=0,"",IF(O1432&lt;=30,"1-30",IF(O1432&lt;=60,"31-60",IF(O1432&lt;=90,"61-90","90+")))))</f>
        <v/>
      </c>
      <c r="T1432" s="32" t="str">
        <f aca="false">IF(F1432="","",IF(E1432="","Diğer",E1432))</f>
        <v/>
      </c>
      <c r="U1432" s="32" t="str">
        <f aca="false">IF(OR(F1432="",C1432=""),"",IF(COUNTIF($C$2:C1432,C1432)=1,MAX($U$1:U1431)+1,""))</f>
        <v/>
      </c>
    </row>
    <row r="1433" customFormat="false" ht="15" hidden="false" customHeight="false" outlineLevel="0" collapsed="false">
      <c r="A1433" s="34"/>
      <c r="B1433" s="9"/>
      <c r="C1433" s="34"/>
      <c r="D1433" s="34"/>
      <c r="E1433" s="34"/>
      <c r="F1433" s="35"/>
      <c r="G1433" s="9"/>
      <c r="H1433" s="9"/>
      <c r="I1433" s="34"/>
      <c r="J1433" s="30" t="str">
        <f aca="false">IF(F1433="","",G1433-B1433)</f>
        <v/>
      </c>
      <c r="K1433" s="31" t="str">
        <f aca="false">IF(F1433="","",IF(H1433&lt;&gt;"",H1433,MAX('Vade Sapması'!$D$3,G1433)))</f>
        <v/>
      </c>
      <c r="L1433" s="30" t="str">
        <f aca="false">IF(F1433="","",K1433-B1433)</f>
        <v/>
      </c>
      <c r="M1433" s="30" t="str">
        <f aca="false">IF(F1433="","",L1433-J1433)</f>
        <v/>
      </c>
      <c r="N1433" s="32" t="str">
        <f aca="false">IF(F1433="","",IF(H1433&lt;&gt;"","Kapandı",IF('Vade Sapması'!$D$3&gt;G1433,"Açık · vadesi geçti","Açık · vadesi gelmedi")))</f>
        <v/>
      </c>
      <c r="O1433" s="30" t="str">
        <f aca="false">IF(F1433="","",IF(AND(H1433="",'Vade Sapması'!$D$3&gt;G1433),'Vade Sapması'!$D$3-G1433,0))</f>
        <v/>
      </c>
      <c r="P1433" s="33" t="str">
        <f aca="false">IF(F1433="","",F1433*J1433)</f>
        <v/>
      </c>
      <c r="Q1433" s="33" t="str">
        <f aca="false">IF(F1433="","",F1433*L1433)</f>
        <v/>
      </c>
      <c r="R1433" s="33" t="str">
        <f aca="false">IF(F1433="","",IF(H1433="",F1433,0))</f>
        <v/>
      </c>
      <c r="S1433" s="32" t="str">
        <f aca="false">IF(F1433="","",IF(N(O1433)=0,"",IF(O1433&lt;=30,"1-30",IF(O1433&lt;=60,"31-60",IF(O1433&lt;=90,"61-90","90+")))))</f>
        <v/>
      </c>
      <c r="T1433" s="32" t="str">
        <f aca="false">IF(F1433="","",IF(E1433="","Diğer",E1433))</f>
        <v/>
      </c>
      <c r="U1433" s="32" t="str">
        <f aca="false">IF(OR(F1433="",C1433=""),"",IF(COUNTIF($C$2:C1433,C1433)=1,MAX($U$1:U1432)+1,""))</f>
        <v/>
      </c>
    </row>
    <row r="1434" customFormat="false" ht="15" hidden="false" customHeight="false" outlineLevel="0" collapsed="false">
      <c r="A1434" s="34"/>
      <c r="B1434" s="9"/>
      <c r="C1434" s="34"/>
      <c r="D1434" s="34"/>
      <c r="E1434" s="34"/>
      <c r="F1434" s="35"/>
      <c r="G1434" s="9"/>
      <c r="H1434" s="9"/>
      <c r="I1434" s="34"/>
      <c r="J1434" s="30" t="str">
        <f aca="false">IF(F1434="","",G1434-B1434)</f>
        <v/>
      </c>
      <c r="K1434" s="31" t="str">
        <f aca="false">IF(F1434="","",IF(H1434&lt;&gt;"",H1434,MAX('Vade Sapması'!$D$3,G1434)))</f>
        <v/>
      </c>
      <c r="L1434" s="30" t="str">
        <f aca="false">IF(F1434="","",K1434-B1434)</f>
        <v/>
      </c>
      <c r="M1434" s="30" t="str">
        <f aca="false">IF(F1434="","",L1434-J1434)</f>
        <v/>
      </c>
      <c r="N1434" s="32" t="str">
        <f aca="false">IF(F1434="","",IF(H1434&lt;&gt;"","Kapandı",IF('Vade Sapması'!$D$3&gt;G1434,"Açık · vadesi geçti","Açık · vadesi gelmedi")))</f>
        <v/>
      </c>
      <c r="O1434" s="30" t="str">
        <f aca="false">IF(F1434="","",IF(AND(H1434="",'Vade Sapması'!$D$3&gt;G1434),'Vade Sapması'!$D$3-G1434,0))</f>
        <v/>
      </c>
      <c r="P1434" s="33" t="str">
        <f aca="false">IF(F1434="","",F1434*J1434)</f>
        <v/>
      </c>
      <c r="Q1434" s="33" t="str">
        <f aca="false">IF(F1434="","",F1434*L1434)</f>
        <v/>
      </c>
      <c r="R1434" s="33" t="str">
        <f aca="false">IF(F1434="","",IF(H1434="",F1434,0))</f>
        <v/>
      </c>
      <c r="S1434" s="32" t="str">
        <f aca="false">IF(F1434="","",IF(N(O1434)=0,"",IF(O1434&lt;=30,"1-30",IF(O1434&lt;=60,"31-60",IF(O1434&lt;=90,"61-90","90+")))))</f>
        <v/>
      </c>
      <c r="T1434" s="32" t="str">
        <f aca="false">IF(F1434="","",IF(E1434="","Diğer",E1434))</f>
        <v/>
      </c>
      <c r="U1434" s="32" t="str">
        <f aca="false">IF(OR(F1434="",C1434=""),"",IF(COUNTIF($C$2:C1434,C1434)=1,MAX($U$1:U1433)+1,""))</f>
        <v/>
      </c>
    </row>
    <row r="1435" customFormat="false" ht="15" hidden="false" customHeight="false" outlineLevel="0" collapsed="false">
      <c r="A1435" s="34"/>
      <c r="B1435" s="9"/>
      <c r="C1435" s="34"/>
      <c r="D1435" s="34"/>
      <c r="E1435" s="34"/>
      <c r="F1435" s="35"/>
      <c r="G1435" s="9"/>
      <c r="H1435" s="9"/>
      <c r="I1435" s="34"/>
      <c r="J1435" s="30" t="str">
        <f aca="false">IF(F1435="","",G1435-B1435)</f>
        <v/>
      </c>
      <c r="K1435" s="31" t="str">
        <f aca="false">IF(F1435="","",IF(H1435&lt;&gt;"",H1435,MAX('Vade Sapması'!$D$3,G1435)))</f>
        <v/>
      </c>
      <c r="L1435" s="30" t="str">
        <f aca="false">IF(F1435="","",K1435-B1435)</f>
        <v/>
      </c>
      <c r="M1435" s="30" t="str">
        <f aca="false">IF(F1435="","",L1435-J1435)</f>
        <v/>
      </c>
      <c r="N1435" s="32" t="str">
        <f aca="false">IF(F1435="","",IF(H1435&lt;&gt;"","Kapandı",IF('Vade Sapması'!$D$3&gt;G1435,"Açık · vadesi geçti","Açık · vadesi gelmedi")))</f>
        <v/>
      </c>
      <c r="O1435" s="30" t="str">
        <f aca="false">IF(F1435="","",IF(AND(H1435="",'Vade Sapması'!$D$3&gt;G1435),'Vade Sapması'!$D$3-G1435,0))</f>
        <v/>
      </c>
      <c r="P1435" s="33" t="str">
        <f aca="false">IF(F1435="","",F1435*J1435)</f>
        <v/>
      </c>
      <c r="Q1435" s="33" t="str">
        <f aca="false">IF(F1435="","",F1435*L1435)</f>
        <v/>
      </c>
      <c r="R1435" s="33" t="str">
        <f aca="false">IF(F1435="","",IF(H1435="",F1435,0))</f>
        <v/>
      </c>
      <c r="S1435" s="32" t="str">
        <f aca="false">IF(F1435="","",IF(N(O1435)=0,"",IF(O1435&lt;=30,"1-30",IF(O1435&lt;=60,"31-60",IF(O1435&lt;=90,"61-90","90+")))))</f>
        <v/>
      </c>
      <c r="T1435" s="32" t="str">
        <f aca="false">IF(F1435="","",IF(E1435="","Diğer",E1435))</f>
        <v/>
      </c>
      <c r="U1435" s="32" t="str">
        <f aca="false">IF(OR(F1435="",C1435=""),"",IF(COUNTIF($C$2:C1435,C1435)=1,MAX($U$1:U1434)+1,""))</f>
        <v/>
      </c>
    </row>
    <row r="1436" customFormat="false" ht="15" hidden="false" customHeight="false" outlineLevel="0" collapsed="false">
      <c r="A1436" s="34"/>
      <c r="B1436" s="9"/>
      <c r="C1436" s="34"/>
      <c r="D1436" s="34"/>
      <c r="E1436" s="34"/>
      <c r="F1436" s="35"/>
      <c r="G1436" s="9"/>
      <c r="H1436" s="9"/>
      <c r="I1436" s="34"/>
      <c r="J1436" s="30" t="str">
        <f aca="false">IF(F1436="","",G1436-B1436)</f>
        <v/>
      </c>
      <c r="K1436" s="31" t="str">
        <f aca="false">IF(F1436="","",IF(H1436&lt;&gt;"",H1436,MAX('Vade Sapması'!$D$3,G1436)))</f>
        <v/>
      </c>
      <c r="L1436" s="30" t="str">
        <f aca="false">IF(F1436="","",K1436-B1436)</f>
        <v/>
      </c>
      <c r="M1436" s="30" t="str">
        <f aca="false">IF(F1436="","",L1436-J1436)</f>
        <v/>
      </c>
      <c r="N1436" s="32" t="str">
        <f aca="false">IF(F1436="","",IF(H1436&lt;&gt;"","Kapandı",IF('Vade Sapması'!$D$3&gt;G1436,"Açık · vadesi geçti","Açık · vadesi gelmedi")))</f>
        <v/>
      </c>
      <c r="O1436" s="30" t="str">
        <f aca="false">IF(F1436="","",IF(AND(H1436="",'Vade Sapması'!$D$3&gt;G1436),'Vade Sapması'!$D$3-G1436,0))</f>
        <v/>
      </c>
      <c r="P1436" s="33" t="str">
        <f aca="false">IF(F1436="","",F1436*J1436)</f>
        <v/>
      </c>
      <c r="Q1436" s="33" t="str">
        <f aca="false">IF(F1436="","",F1436*L1436)</f>
        <v/>
      </c>
      <c r="R1436" s="33" t="str">
        <f aca="false">IF(F1436="","",IF(H1436="",F1436,0))</f>
        <v/>
      </c>
      <c r="S1436" s="32" t="str">
        <f aca="false">IF(F1436="","",IF(N(O1436)=0,"",IF(O1436&lt;=30,"1-30",IF(O1436&lt;=60,"31-60",IF(O1436&lt;=90,"61-90","90+")))))</f>
        <v/>
      </c>
      <c r="T1436" s="32" t="str">
        <f aca="false">IF(F1436="","",IF(E1436="","Diğer",E1436))</f>
        <v/>
      </c>
      <c r="U1436" s="32" t="str">
        <f aca="false">IF(OR(F1436="",C1436=""),"",IF(COUNTIF($C$2:C1436,C1436)=1,MAX($U$1:U1435)+1,""))</f>
        <v/>
      </c>
    </row>
    <row r="1437" customFormat="false" ht="15" hidden="false" customHeight="false" outlineLevel="0" collapsed="false">
      <c r="A1437" s="34"/>
      <c r="B1437" s="9"/>
      <c r="C1437" s="34"/>
      <c r="D1437" s="34"/>
      <c r="E1437" s="34"/>
      <c r="F1437" s="35"/>
      <c r="G1437" s="9"/>
      <c r="H1437" s="9"/>
      <c r="I1437" s="34"/>
      <c r="J1437" s="30" t="str">
        <f aca="false">IF(F1437="","",G1437-B1437)</f>
        <v/>
      </c>
      <c r="K1437" s="31" t="str">
        <f aca="false">IF(F1437="","",IF(H1437&lt;&gt;"",H1437,MAX('Vade Sapması'!$D$3,G1437)))</f>
        <v/>
      </c>
      <c r="L1437" s="30" t="str">
        <f aca="false">IF(F1437="","",K1437-B1437)</f>
        <v/>
      </c>
      <c r="M1437" s="30" t="str">
        <f aca="false">IF(F1437="","",L1437-J1437)</f>
        <v/>
      </c>
      <c r="N1437" s="32" t="str">
        <f aca="false">IF(F1437="","",IF(H1437&lt;&gt;"","Kapandı",IF('Vade Sapması'!$D$3&gt;G1437,"Açık · vadesi geçti","Açık · vadesi gelmedi")))</f>
        <v/>
      </c>
      <c r="O1437" s="30" t="str">
        <f aca="false">IF(F1437="","",IF(AND(H1437="",'Vade Sapması'!$D$3&gt;G1437),'Vade Sapması'!$D$3-G1437,0))</f>
        <v/>
      </c>
      <c r="P1437" s="33" t="str">
        <f aca="false">IF(F1437="","",F1437*J1437)</f>
        <v/>
      </c>
      <c r="Q1437" s="33" t="str">
        <f aca="false">IF(F1437="","",F1437*L1437)</f>
        <v/>
      </c>
      <c r="R1437" s="33" t="str">
        <f aca="false">IF(F1437="","",IF(H1437="",F1437,0))</f>
        <v/>
      </c>
      <c r="S1437" s="32" t="str">
        <f aca="false">IF(F1437="","",IF(N(O1437)=0,"",IF(O1437&lt;=30,"1-30",IF(O1437&lt;=60,"31-60",IF(O1437&lt;=90,"61-90","90+")))))</f>
        <v/>
      </c>
      <c r="T1437" s="32" t="str">
        <f aca="false">IF(F1437="","",IF(E1437="","Diğer",E1437))</f>
        <v/>
      </c>
      <c r="U1437" s="32" t="str">
        <f aca="false">IF(OR(F1437="",C1437=""),"",IF(COUNTIF($C$2:C1437,C1437)=1,MAX($U$1:U1436)+1,""))</f>
        <v/>
      </c>
    </row>
    <row r="1438" customFormat="false" ht="15" hidden="false" customHeight="false" outlineLevel="0" collapsed="false">
      <c r="A1438" s="34"/>
      <c r="B1438" s="9"/>
      <c r="C1438" s="34"/>
      <c r="D1438" s="34"/>
      <c r="E1438" s="34"/>
      <c r="F1438" s="35"/>
      <c r="G1438" s="9"/>
      <c r="H1438" s="9"/>
      <c r="I1438" s="34"/>
      <c r="J1438" s="30" t="str">
        <f aca="false">IF(F1438="","",G1438-B1438)</f>
        <v/>
      </c>
      <c r="K1438" s="31" t="str">
        <f aca="false">IF(F1438="","",IF(H1438&lt;&gt;"",H1438,MAX('Vade Sapması'!$D$3,G1438)))</f>
        <v/>
      </c>
      <c r="L1438" s="30" t="str">
        <f aca="false">IF(F1438="","",K1438-B1438)</f>
        <v/>
      </c>
      <c r="M1438" s="30" t="str">
        <f aca="false">IF(F1438="","",L1438-J1438)</f>
        <v/>
      </c>
      <c r="N1438" s="32" t="str">
        <f aca="false">IF(F1438="","",IF(H1438&lt;&gt;"","Kapandı",IF('Vade Sapması'!$D$3&gt;G1438,"Açık · vadesi geçti","Açık · vadesi gelmedi")))</f>
        <v/>
      </c>
      <c r="O1438" s="30" t="str">
        <f aca="false">IF(F1438="","",IF(AND(H1438="",'Vade Sapması'!$D$3&gt;G1438),'Vade Sapması'!$D$3-G1438,0))</f>
        <v/>
      </c>
      <c r="P1438" s="33" t="str">
        <f aca="false">IF(F1438="","",F1438*J1438)</f>
        <v/>
      </c>
      <c r="Q1438" s="33" t="str">
        <f aca="false">IF(F1438="","",F1438*L1438)</f>
        <v/>
      </c>
      <c r="R1438" s="33" t="str">
        <f aca="false">IF(F1438="","",IF(H1438="",F1438,0))</f>
        <v/>
      </c>
      <c r="S1438" s="32" t="str">
        <f aca="false">IF(F1438="","",IF(N(O1438)=0,"",IF(O1438&lt;=30,"1-30",IF(O1438&lt;=60,"31-60",IF(O1438&lt;=90,"61-90","90+")))))</f>
        <v/>
      </c>
      <c r="T1438" s="32" t="str">
        <f aca="false">IF(F1438="","",IF(E1438="","Diğer",E1438))</f>
        <v/>
      </c>
      <c r="U1438" s="32" t="str">
        <f aca="false">IF(OR(F1438="",C1438=""),"",IF(COUNTIF($C$2:C1438,C1438)=1,MAX($U$1:U1437)+1,""))</f>
        <v/>
      </c>
    </row>
    <row r="1439" customFormat="false" ht="15" hidden="false" customHeight="false" outlineLevel="0" collapsed="false">
      <c r="A1439" s="34"/>
      <c r="B1439" s="9"/>
      <c r="C1439" s="34"/>
      <c r="D1439" s="34"/>
      <c r="E1439" s="34"/>
      <c r="F1439" s="35"/>
      <c r="G1439" s="9"/>
      <c r="H1439" s="9"/>
      <c r="I1439" s="34"/>
      <c r="J1439" s="30" t="str">
        <f aca="false">IF(F1439="","",G1439-B1439)</f>
        <v/>
      </c>
      <c r="K1439" s="31" t="str">
        <f aca="false">IF(F1439="","",IF(H1439&lt;&gt;"",H1439,MAX('Vade Sapması'!$D$3,G1439)))</f>
        <v/>
      </c>
      <c r="L1439" s="30" t="str">
        <f aca="false">IF(F1439="","",K1439-B1439)</f>
        <v/>
      </c>
      <c r="M1439" s="30" t="str">
        <f aca="false">IF(F1439="","",L1439-J1439)</f>
        <v/>
      </c>
      <c r="N1439" s="32" t="str">
        <f aca="false">IF(F1439="","",IF(H1439&lt;&gt;"","Kapandı",IF('Vade Sapması'!$D$3&gt;G1439,"Açık · vadesi geçti","Açık · vadesi gelmedi")))</f>
        <v/>
      </c>
      <c r="O1439" s="30" t="str">
        <f aca="false">IF(F1439="","",IF(AND(H1439="",'Vade Sapması'!$D$3&gt;G1439),'Vade Sapması'!$D$3-G1439,0))</f>
        <v/>
      </c>
      <c r="P1439" s="33" t="str">
        <f aca="false">IF(F1439="","",F1439*J1439)</f>
        <v/>
      </c>
      <c r="Q1439" s="33" t="str">
        <f aca="false">IF(F1439="","",F1439*L1439)</f>
        <v/>
      </c>
      <c r="R1439" s="33" t="str">
        <f aca="false">IF(F1439="","",IF(H1439="",F1439,0))</f>
        <v/>
      </c>
      <c r="S1439" s="32" t="str">
        <f aca="false">IF(F1439="","",IF(N(O1439)=0,"",IF(O1439&lt;=30,"1-30",IF(O1439&lt;=60,"31-60",IF(O1439&lt;=90,"61-90","90+")))))</f>
        <v/>
      </c>
      <c r="T1439" s="32" t="str">
        <f aca="false">IF(F1439="","",IF(E1439="","Diğer",E1439))</f>
        <v/>
      </c>
      <c r="U1439" s="32" t="str">
        <f aca="false">IF(OR(F1439="",C1439=""),"",IF(COUNTIF($C$2:C1439,C1439)=1,MAX($U$1:U1438)+1,""))</f>
        <v/>
      </c>
    </row>
    <row r="1440" customFormat="false" ht="15" hidden="false" customHeight="false" outlineLevel="0" collapsed="false">
      <c r="A1440" s="34"/>
      <c r="B1440" s="9"/>
      <c r="C1440" s="34"/>
      <c r="D1440" s="34"/>
      <c r="E1440" s="34"/>
      <c r="F1440" s="35"/>
      <c r="G1440" s="9"/>
      <c r="H1440" s="9"/>
      <c r="I1440" s="34"/>
      <c r="J1440" s="30" t="str">
        <f aca="false">IF(F1440="","",G1440-B1440)</f>
        <v/>
      </c>
      <c r="K1440" s="31" t="str">
        <f aca="false">IF(F1440="","",IF(H1440&lt;&gt;"",H1440,MAX('Vade Sapması'!$D$3,G1440)))</f>
        <v/>
      </c>
      <c r="L1440" s="30" t="str">
        <f aca="false">IF(F1440="","",K1440-B1440)</f>
        <v/>
      </c>
      <c r="M1440" s="30" t="str">
        <f aca="false">IF(F1440="","",L1440-J1440)</f>
        <v/>
      </c>
      <c r="N1440" s="32" t="str">
        <f aca="false">IF(F1440="","",IF(H1440&lt;&gt;"","Kapandı",IF('Vade Sapması'!$D$3&gt;G1440,"Açık · vadesi geçti","Açık · vadesi gelmedi")))</f>
        <v/>
      </c>
      <c r="O1440" s="30" t="str">
        <f aca="false">IF(F1440="","",IF(AND(H1440="",'Vade Sapması'!$D$3&gt;G1440),'Vade Sapması'!$D$3-G1440,0))</f>
        <v/>
      </c>
      <c r="P1440" s="33" t="str">
        <f aca="false">IF(F1440="","",F1440*J1440)</f>
        <v/>
      </c>
      <c r="Q1440" s="33" t="str">
        <f aca="false">IF(F1440="","",F1440*L1440)</f>
        <v/>
      </c>
      <c r="R1440" s="33" t="str">
        <f aca="false">IF(F1440="","",IF(H1440="",F1440,0))</f>
        <v/>
      </c>
      <c r="S1440" s="32" t="str">
        <f aca="false">IF(F1440="","",IF(N(O1440)=0,"",IF(O1440&lt;=30,"1-30",IF(O1440&lt;=60,"31-60",IF(O1440&lt;=90,"61-90","90+")))))</f>
        <v/>
      </c>
      <c r="T1440" s="32" t="str">
        <f aca="false">IF(F1440="","",IF(E1440="","Diğer",E1440))</f>
        <v/>
      </c>
      <c r="U1440" s="32" t="str">
        <f aca="false">IF(OR(F1440="",C1440=""),"",IF(COUNTIF($C$2:C1440,C1440)=1,MAX($U$1:U1439)+1,""))</f>
        <v/>
      </c>
    </row>
    <row r="1441" customFormat="false" ht="15" hidden="false" customHeight="false" outlineLevel="0" collapsed="false">
      <c r="A1441" s="34"/>
      <c r="B1441" s="9"/>
      <c r="C1441" s="34"/>
      <c r="D1441" s="34"/>
      <c r="E1441" s="34"/>
      <c r="F1441" s="35"/>
      <c r="G1441" s="9"/>
      <c r="H1441" s="9"/>
      <c r="I1441" s="34"/>
      <c r="J1441" s="30" t="str">
        <f aca="false">IF(F1441="","",G1441-B1441)</f>
        <v/>
      </c>
      <c r="K1441" s="31" t="str">
        <f aca="false">IF(F1441="","",IF(H1441&lt;&gt;"",H1441,MAX('Vade Sapması'!$D$3,G1441)))</f>
        <v/>
      </c>
      <c r="L1441" s="30" t="str">
        <f aca="false">IF(F1441="","",K1441-B1441)</f>
        <v/>
      </c>
      <c r="M1441" s="30" t="str">
        <f aca="false">IF(F1441="","",L1441-J1441)</f>
        <v/>
      </c>
      <c r="N1441" s="32" t="str">
        <f aca="false">IF(F1441="","",IF(H1441&lt;&gt;"","Kapandı",IF('Vade Sapması'!$D$3&gt;G1441,"Açık · vadesi geçti","Açık · vadesi gelmedi")))</f>
        <v/>
      </c>
      <c r="O1441" s="30" t="str">
        <f aca="false">IF(F1441="","",IF(AND(H1441="",'Vade Sapması'!$D$3&gt;G1441),'Vade Sapması'!$D$3-G1441,0))</f>
        <v/>
      </c>
      <c r="P1441" s="33" t="str">
        <f aca="false">IF(F1441="","",F1441*J1441)</f>
        <v/>
      </c>
      <c r="Q1441" s="33" t="str">
        <f aca="false">IF(F1441="","",F1441*L1441)</f>
        <v/>
      </c>
      <c r="R1441" s="33" t="str">
        <f aca="false">IF(F1441="","",IF(H1441="",F1441,0))</f>
        <v/>
      </c>
      <c r="S1441" s="32" t="str">
        <f aca="false">IF(F1441="","",IF(N(O1441)=0,"",IF(O1441&lt;=30,"1-30",IF(O1441&lt;=60,"31-60",IF(O1441&lt;=90,"61-90","90+")))))</f>
        <v/>
      </c>
      <c r="T1441" s="32" t="str">
        <f aca="false">IF(F1441="","",IF(E1441="","Diğer",E1441))</f>
        <v/>
      </c>
      <c r="U1441" s="32" t="str">
        <f aca="false">IF(OR(F1441="",C1441=""),"",IF(COUNTIF($C$2:C1441,C1441)=1,MAX($U$1:U1440)+1,""))</f>
        <v/>
      </c>
    </row>
    <row r="1442" customFormat="false" ht="15" hidden="false" customHeight="false" outlineLevel="0" collapsed="false">
      <c r="A1442" s="34"/>
      <c r="B1442" s="9"/>
      <c r="C1442" s="34"/>
      <c r="D1442" s="34"/>
      <c r="E1442" s="34"/>
      <c r="F1442" s="35"/>
      <c r="G1442" s="9"/>
      <c r="H1442" s="9"/>
      <c r="I1442" s="34"/>
      <c r="J1442" s="30" t="str">
        <f aca="false">IF(F1442="","",G1442-B1442)</f>
        <v/>
      </c>
      <c r="K1442" s="31" t="str">
        <f aca="false">IF(F1442="","",IF(H1442&lt;&gt;"",H1442,MAX('Vade Sapması'!$D$3,G1442)))</f>
        <v/>
      </c>
      <c r="L1442" s="30" t="str">
        <f aca="false">IF(F1442="","",K1442-B1442)</f>
        <v/>
      </c>
      <c r="M1442" s="30" t="str">
        <f aca="false">IF(F1442="","",L1442-J1442)</f>
        <v/>
      </c>
      <c r="N1442" s="32" t="str">
        <f aca="false">IF(F1442="","",IF(H1442&lt;&gt;"","Kapandı",IF('Vade Sapması'!$D$3&gt;G1442,"Açık · vadesi geçti","Açık · vadesi gelmedi")))</f>
        <v/>
      </c>
      <c r="O1442" s="30" t="str">
        <f aca="false">IF(F1442="","",IF(AND(H1442="",'Vade Sapması'!$D$3&gt;G1442),'Vade Sapması'!$D$3-G1442,0))</f>
        <v/>
      </c>
      <c r="P1442" s="33" t="str">
        <f aca="false">IF(F1442="","",F1442*J1442)</f>
        <v/>
      </c>
      <c r="Q1442" s="33" t="str">
        <f aca="false">IF(F1442="","",F1442*L1442)</f>
        <v/>
      </c>
      <c r="R1442" s="33" t="str">
        <f aca="false">IF(F1442="","",IF(H1442="",F1442,0))</f>
        <v/>
      </c>
      <c r="S1442" s="32" t="str">
        <f aca="false">IF(F1442="","",IF(N(O1442)=0,"",IF(O1442&lt;=30,"1-30",IF(O1442&lt;=60,"31-60",IF(O1442&lt;=90,"61-90","90+")))))</f>
        <v/>
      </c>
      <c r="T1442" s="32" t="str">
        <f aca="false">IF(F1442="","",IF(E1442="","Diğer",E1442))</f>
        <v/>
      </c>
      <c r="U1442" s="32" t="str">
        <f aca="false">IF(OR(F1442="",C1442=""),"",IF(COUNTIF($C$2:C1442,C1442)=1,MAX($U$1:U1441)+1,""))</f>
        <v/>
      </c>
    </row>
    <row r="1443" customFormat="false" ht="15" hidden="false" customHeight="false" outlineLevel="0" collapsed="false">
      <c r="A1443" s="34"/>
      <c r="B1443" s="9"/>
      <c r="C1443" s="34"/>
      <c r="D1443" s="34"/>
      <c r="E1443" s="34"/>
      <c r="F1443" s="35"/>
      <c r="G1443" s="9"/>
      <c r="H1443" s="9"/>
      <c r="I1443" s="34"/>
      <c r="J1443" s="30" t="str">
        <f aca="false">IF(F1443="","",G1443-B1443)</f>
        <v/>
      </c>
      <c r="K1443" s="31" t="str">
        <f aca="false">IF(F1443="","",IF(H1443&lt;&gt;"",H1443,MAX('Vade Sapması'!$D$3,G1443)))</f>
        <v/>
      </c>
      <c r="L1443" s="30" t="str">
        <f aca="false">IF(F1443="","",K1443-B1443)</f>
        <v/>
      </c>
      <c r="M1443" s="30" t="str">
        <f aca="false">IF(F1443="","",L1443-J1443)</f>
        <v/>
      </c>
      <c r="N1443" s="32" t="str">
        <f aca="false">IF(F1443="","",IF(H1443&lt;&gt;"","Kapandı",IF('Vade Sapması'!$D$3&gt;G1443,"Açık · vadesi geçti","Açık · vadesi gelmedi")))</f>
        <v/>
      </c>
      <c r="O1443" s="30" t="str">
        <f aca="false">IF(F1443="","",IF(AND(H1443="",'Vade Sapması'!$D$3&gt;G1443),'Vade Sapması'!$D$3-G1443,0))</f>
        <v/>
      </c>
      <c r="P1443" s="33" t="str">
        <f aca="false">IF(F1443="","",F1443*J1443)</f>
        <v/>
      </c>
      <c r="Q1443" s="33" t="str">
        <f aca="false">IF(F1443="","",F1443*L1443)</f>
        <v/>
      </c>
      <c r="R1443" s="33" t="str">
        <f aca="false">IF(F1443="","",IF(H1443="",F1443,0))</f>
        <v/>
      </c>
      <c r="S1443" s="32" t="str">
        <f aca="false">IF(F1443="","",IF(N(O1443)=0,"",IF(O1443&lt;=30,"1-30",IF(O1443&lt;=60,"31-60",IF(O1443&lt;=90,"61-90","90+")))))</f>
        <v/>
      </c>
      <c r="T1443" s="32" t="str">
        <f aca="false">IF(F1443="","",IF(E1443="","Diğer",E1443))</f>
        <v/>
      </c>
      <c r="U1443" s="32" t="str">
        <f aca="false">IF(OR(F1443="",C1443=""),"",IF(COUNTIF($C$2:C1443,C1443)=1,MAX($U$1:U1442)+1,""))</f>
        <v/>
      </c>
    </row>
    <row r="1444" customFormat="false" ht="15" hidden="false" customHeight="false" outlineLevel="0" collapsed="false">
      <c r="A1444" s="34"/>
      <c r="B1444" s="9"/>
      <c r="C1444" s="34"/>
      <c r="D1444" s="34"/>
      <c r="E1444" s="34"/>
      <c r="F1444" s="35"/>
      <c r="G1444" s="9"/>
      <c r="H1444" s="9"/>
      <c r="I1444" s="34"/>
      <c r="J1444" s="30" t="str">
        <f aca="false">IF(F1444="","",G1444-B1444)</f>
        <v/>
      </c>
      <c r="K1444" s="31" t="str">
        <f aca="false">IF(F1444="","",IF(H1444&lt;&gt;"",H1444,MAX('Vade Sapması'!$D$3,G1444)))</f>
        <v/>
      </c>
      <c r="L1444" s="30" t="str">
        <f aca="false">IF(F1444="","",K1444-B1444)</f>
        <v/>
      </c>
      <c r="M1444" s="30" t="str">
        <f aca="false">IF(F1444="","",L1444-J1444)</f>
        <v/>
      </c>
      <c r="N1444" s="32" t="str">
        <f aca="false">IF(F1444="","",IF(H1444&lt;&gt;"","Kapandı",IF('Vade Sapması'!$D$3&gt;G1444,"Açık · vadesi geçti","Açık · vadesi gelmedi")))</f>
        <v/>
      </c>
      <c r="O1444" s="30" t="str">
        <f aca="false">IF(F1444="","",IF(AND(H1444="",'Vade Sapması'!$D$3&gt;G1444),'Vade Sapması'!$D$3-G1444,0))</f>
        <v/>
      </c>
      <c r="P1444" s="33" t="str">
        <f aca="false">IF(F1444="","",F1444*J1444)</f>
        <v/>
      </c>
      <c r="Q1444" s="33" t="str">
        <f aca="false">IF(F1444="","",F1444*L1444)</f>
        <v/>
      </c>
      <c r="R1444" s="33" t="str">
        <f aca="false">IF(F1444="","",IF(H1444="",F1444,0))</f>
        <v/>
      </c>
      <c r="S1444" s="32" t="str">
        <f aca="false">IF(F1444="","",IF(N(O1444)=0,"",IF(O1444&lt;=30,"1-30",IF(O1444&lt;=60,"31-60",IF(O1444&lt;=90,"61-90","90+")))))</f>
        <v/>
      </c>
      <c r="T1444" s="32" t="str">
        <f aca="false">IF(F1444="","",IF(E1444="","Diğer",E1444))</f>
        <v/>
      </c>
      <c r="U1444" s="32" t="str">
        <f aca="false">IF(OR(F1444="",C1444=""),"",IF(COUNTIF($C$2:C1444,C1444)=1,MAX($U$1:U1443)+1,""))</f>
        <v/>
      </c>
    </row>
    <row r="1445" customFormat="false" ht="15" hidden="false" customHeight="false" outlineLevel="0" collapsed="false">
      <c r="A1445" s="34"/>
      <c r="B1445" s="9"/>
      <c r="C1445" s="34"/>
      <c r="D1445" s="34"/>
      <c r="E1445" s="34"/>
      <c r="F1445" s="35"/>
      <c r="G1445" s="9"/>
      <c r="H1445" s="9"/>
      <c r="I1445" s="34"/>
      <c r="J1445" s="30" t="str">
        <f aca="false">IF(F1445="","",G1445-B1445)</f>
        <v/>
      </c>
      <c r="K1445" s="31" t="str">
        <f aca="false">IF(F1445="","",IF(H1445&lt;&gt;"",H1445,MAX('Vade Sapması'!$D$3,G1445)))</f>
        <v/>
      </c>
      <c r="L1445" s="30" t="str">
        <f aca="false">IF(F1445="","",K1445-B1445)</f>
        <v/>
      </c>
      <c r="M1445" s="30" t="str">
        <f aca="false">IF(F1445="","",L1445-J1445)</f>
        <v/>
      </c>
      <c r="N1445" s="32" t="str">
        <f aca="false">IF(F1445="","",IF(H1445&lt;&gt;"","Kapandı",IF('Vade Sapması'!$D$3&gt;G1445,"Açık · vadesi geçti","Açık · vadesi gelmedi")))</f>
        <v/>
      </c>
      <c r="O1445" s="30" t="str">
        <f aca="false">IF(F1445="","",IF(AND(H1445="",'Vade Sapması'!$D$3&gt;G1445),'Vade Sapması'!$D$3-G1445,0))</f>
        <v/>
      </c>
      <c r="P1445" s="33" t="str">
        <f aca="false">IF(F1445="","",F1445*J1445)</f>
        <v/>
      </c>
      <c r="Q1445" s="33" t="str">
        <f aca="false">IF(F1445="","",F1445*L1445)</f>
        <v/>
      </c>
      <c r="R1445" s="33" t="str">
        <f aca="false">IF(F1445="","",IF(H1445="",F1445,0))</f>
        <v/>
      </c>
      <c r="S1445" s="32" t="str">
        <f aca="false">IF(F1445="","",IF(N(O1445)=0,"",IF(O1445&lt;=30,"1-30",IF(O1445&lt;=60,"31-60",IF(O1445&lt;=90,"61-90","90+")))))</f>
        <v/>
      </c>
      <c r="T1445" s="32" t="str">
        <f aca="false">IF(F1445="","",IF(E1445="","Diğer",E1445))</f>
        <v/>
      </c>
      <c r="U1445" s="32" t="str">
        <f aca="false">IF(OR(F1445="",C1445=""),"",IF(COUNTIF($C$2:C1445,C1445)=1,MAX($U$1:U1444)+1,""))</f>
        <v/>
      </c>
    </row>
    <row r="1446" customFormat="false" ht="15" hidden="false" customHeight="false" outlineLevel="0" collapsed="false">
      <c r="A1446" s="34"/>
      <c r="B1446" s="9"/>
      <c r="C1446" s="34"/>
      <c r="D1446" s="34"/>
      <c r="E1446" s="34"/>
      <c r="F1446" s="35"/>
      <c r="G1446" s="9"/>
      <c r="H1446" s="9"/>
      <c r="I1446" s="34"/>
      <c r="J1446" s="30" t="str">
        <f aca="false">IF(F1446="","",G1446-B1446)</f>
        <v/>
      </c>
      <c r="K1446" s="31" t="str">
        <f aca="false">IF(F1446="","",IF(H1446&lt;&gt;"",H1446,MAX('Vade Sapması'!$D$3,G1446)))</f>
        <v/>
      </c>
      <c r="L1446" s="30" t="str">
        <f aca="false">IF(F1446="","",K1446-B1446)</f>
        <v/>
      </c>
      <c r="M1446" s="30" t="str">
        <f aca="false">IF(F1446="","",L1446-J1446)</f>
        <v/>
      </c>
      <c r="N1446" s="32" t="str">
        <f aca="false">IF(F1446="","",IF(H1446&lt;&gt;"","Kapandı",IF('Vade Sapması'!$D$3&gt;G1446,"Açık · vadesi geçti","Açık · vadesi gelmedi")))</f>
        <v/>
      </c>
      <c r="O1446" s="30" t="str">
        <f aca="false">IF(F1446="","",IF(AND(H1446="",'Vade Sapması'!$D$3&gt;G1446),'Vade Sapması'!$D$3-G1446,0))</f>
        <v/>
      </c>
      <c r="P1446" s="33" t="str">
        <f aca="false">IF(F1446="","",F1446*J1446)</f>
        <v/>
      </c>
      <c r="Q1446" s="33" t="str">
        <f aca="false">IF(F1446="","",F1446*L1446)</f>
        <v/>
      </c>
      <c r="R1446" s="33" t="str">
        <f aca="false">IF(F1446="","",IF(H1446="",F1446,0))</f>
        <v/>
      </c>
      <c r="S1446" s="32" t="str">
        <f aca="false">IF(F1446="","",IF(N(O1446)=0,"",IF(O1446&lt;=30,"1-30",IF(O1446&lt;=60,"31-60",IF(O1446&lt;=90,"61-90","90+")))))</f>
        <v/>
      </c>
      <c r="T1446" s="32" t="str">
        <f aca="false">IF(F1446="","",IF(E1446="","Diğer",E1446))</f>
        <v/>
      </c>
      <c r="U1446" s="32" t="str">
        <f aca="false">IF(OR(F1446="",C1446=""),"",IF(COUNTIF($C$2:C1446,C1446)=1,MAX($U$1:U1445)+1,""))</f>
        <v/>
      </c>
    </row>
    <row r="1447" customFormat="false" ht="15" hidden="false" customHeight="false" outlineLevel="0" collapsed="false">
      <c r="A1447" s="34"/>
      <c r="B1447" s="9"/>
      <c r="C1447" s="34"/>
      <c r="D1447" s="34"/>
      <c r="E1447" s="34"/>
      <c r="F1447" s="35"/>
      <c r="G1447" s="9"/>
      <c r="H1447" s="9"/>
      <c r="I1447" s="34"/>
      <c r="J1447" s="30" t="str">
        <f aca="false">IF(F1447="","",G1447-B1447)</f>
        <v/>
      </c>
      <c r="K1447" s="31" t="str">
        <f aca="false">IF(F1447="","",IF(H1447&lt;&gt;"",H1447,MAX('Vade Sapması'!$D$3,G1447)))</f>
        <v/>
      </c>
      <c r="L1447" s="30" t="str">
        <f aca="false">IF(F1447="","",K1447-B1447)</f>
        <v/>
      </c>
      <c r="M1447" s="30" t="str">
        <f aca="false">IF(F1447="","",L1447-J1447)</f>
        <v/>
      </c>
      <c r="N1447" s="32" t="str">
        <f aca="false">IF(F1447="","",IF(H1447&lt;&gt;"","Kapandı",IF('Vade Sapması'!$D$3&gt;G1447,"Açık · vadesi geçti","Açık · vadesi gelmedi")))</f>
        <v/>
      </c>
      <c r="O1447" s="30" t="str">
        <f aca="false">IF(F1447="","",IF(AND(H1447="",'Vade Sapması'!$D$3&gt;G1447),'Vade Sapması'!$D$3-G1447,0))</f>
        <v/>
      </c>
      <c r="P1447" s="33" t="str">
        <f aca="false">IF(F1447="","",F1447*J1447)</f>
        <v/>
      </c>
      <c r="Q1447" s="33" t="str">
        <f aca="false">IF(F1447="","",F1447*L1447)</f>
        <v/>
      </c>
      <c r="R1447" s="33" t="str">
        <f aca="false">IF(F1447="","",IF(H1447="",F1447,0))</f>
        <v/>
      </c>
      <c r="S1447" s="32" t="str">
        <f aca="false">IF(F1447="","",IF(N(O1447)=0,"",IF(O1447&lt;=30,"1-30",IF(O1447&lt;=60,"31-60",IF(O1447&lt;=90,"61-90","90+")))))</f>
        <v/>
      </c>
      <c r="T1447" s="32" t="str">
        <f aca="false">IF(F1447="","",IF(E1447="","Diğer",E1447))</f>
        <v/>
      </c>
      <c r="U1447" s="32" t="str">
        <f aca="false">IF(OR(F1447="",C1447=""),"",IF(COUNTIF($C$2:C1447,C1447)=1,MAX($U$1:U1446)+1,""))</f>
        <v/>
      </c>
    </row>
    <row r="1448" customFormat="false" ht="15" hidden="false" customHeight="false" outlineLevel="0" collapsed="false">
      <c r="A1448" s="34"/>
      <c r="B1448" s="9"/>
      <c r="C1448" s="34"/>
      <c r="D1448" s="34"/>
      <c r="E1448" s="34"/>
      <c r="F1448" s="35"/>
      <c r="G1448" s="9"/>
      <c r="H1448" s="9"/>
      <c r="I1448" s="34"/>
      <c r="J1448" s="30" t="str">
        <f aca="false">IF(F1448="","",G1448-B1448)</f>
        <v/>
      </c>
      <c r="K1448" s="31" t="str">
        <f aca="false">IF(F1448="","",IF(H1448&lt;&gt;"",H1448,MAX('Vade Sapması'!$D$3,G1448)))</f>
        <v/>
      </c>
      <c r="L1448" s="30" t="str">
        <f aca="false">IF(F1448="","",K1448-B1448)</f>
        <v/>
      </c>
      <c r="M1448" s="30" t="str">
        <f aca="false">IF(F1448="","",L1448-J1448)</f>
        <v/>
      </c>
      <c r="N1448" s="32" t="str">
        <f aca="false">IF(F1448="","",IF(H1448&lt;&gt;"","Kapandı",IF('Vade Sapması'!$D$3&gt;G1448,"Açık · vadesi geçti","Açık · vadesi gelmedi")))</f>
        <v/>
      </c>
      <c r="O1448" s="30" t="str">
        <f aca="false">IF(F1448="","",IF(AND(H1448="",'Vade Sapması'!$D$3&gt;G1448),'Vade Sapması'!$D$3-G1448,0))</f>
        <v/>
      </c>
      <c r="P1448" s="33" t="str">
        <f aca="false">IF(F1448="","",F1448*J1448)</f>
        <v/>
      </c>
      <c r="Q1448" s="33" t="str">
        <f aca="false">IF(F1448="","",F1448*L1448)</f>
        <v/>
      </c>
      <c r="R1448" s="33" t="str">
        <f aca="false">IF(F1448="","",IF(H1448="",F1448,0))</f>
        <v/>
      </c>
      <c r="S1448" s="32" t="str">
        <f aca="false">IF(F1448="","",IF(N(O1448)=0,"",IF(O1448&lt;=30,"1-30",IF(O1448&lt;=60,"31-60",IF(O1448&lt;=90,"61-90","90+")))))</f>
        <v/>
      </c>
      <c r="T1448" s="32" t="str">
        <f aca="false">IF(F1448="","",IF(E1448="","Diğer",E1448))</f>
        <v/>
      </c>
      <c r="U1448" s="32" t="str">
        <f aca="false">IF(OR(F1448="",C1448=""),"",IF(COUNTIF($C$2:C1448,C1448)=1,MAX($U$1:U1447)+1,""))</f>
        <v/>
      </c>
    </row>
    <row r="1449" customFormat="false" ht="15" hidden="false" customHeight="false" outlineLevel="0" collapsed="false">
      <c r="A1449" s="34"/>
      <c r="B1449" s="9"/>
      <c r="C1449" s="34"/>
      <c r="D1449" s="34"/>
      <c r="E1449" s="34"/>
      <c r="F1449" s="35"/>
      <c r="G1449" s="9"/>
      <c r="H1449" s="9"/>
      <c r="I1449" s="34"/>
      <c r="J1449" s="30" t="str">
        <f aca="false">IF(F1449="","",G1449-B1449)</f>
        <v/>
      </c>
      <c r="K1449" s="31" t="str">
        <f aca="false">IF(F1449="","",IF(H1449&lt;&gt;"",H1449,MAX('Vade Sapması'!$D$3,G1449)))</f>
        <v/>
      </c>
      <c r="L1449" s="30" t="str">
        <f aca="false">IF(F1449="","",K1449-B1449)</f>
        <v/>
      </c>
      <c r="M1449" s="30" t="str">
        <f aca="false">IF(F1449="","",L1449-J1449)</f>
        <v/>
      </c>
      <c r="N1449" s="32" t="str">
        <f aca="false">IF(F1449="","",IF(H1449&lt;&gt;"","Kapandı",IF('Vade Sapması'!$D$3&gt;G1449,"Açık · vadesi geçti","Açık · vadesi gelmedi")))</f>
        <v/>
      </c>
      <c r="O1449" s="30" t="str">
        <f aca="false">IF(F1449="","",IF(AND(H1449="",'Vade Sapması'!$D$3&gt;G1449),'Vade Sapması'!$D$3-G1449,0))</f>
        <v/>
      </c>
      <c r="P1449" s="33" t="str">
        <f aca="false">IF(F1449="","",F1449*J1449)</f>
        <v/>
      </c>
      <c r="Q1449" s="33" t="str">
        <f aca="false">IF(F1449="","",F1449*L1449)</f>
        <v/>
      </c>
      <c r="R1449" s="33" t="str">
        <f aca="false">IF(F1449="","",IF(H1449="",F1449,0))</f>
        <v/>
      </c>
      <c r="S1449" s="32" t="str">
        <f aca="false">IF(F1449="","",IF(N(O1449)=0,"",IF(O1449&lt;=30,"1-30",IF(O1449&lt;=60,"31-60",IF(O1449&lt;=90,"61-90","90+")))))</f>
        <v/>
      </c>
      <c r="T1449" s="32" t="str">
        <f aca="false">IF(F1449="","",IF(E1449="","Diğer",E1449))</f>
        <v/>
      </c>
      <c r="U1449" s="32" t="str">
        <f aca="false">IF(OR(F1449="",C1449=""),"",IF(COUNTIF($C$2:C1449,C1449)=1,MAX($U$1:U1448)+1,""))</f>
        <v/>
      </c>
    </row>
    <row r="1450" customFormat="false" ht="15" hidden="false" customHeight="false" outlineLevel="0" collapsed="false">
      <c r="A1450" s="34"/>
      <c r="B1450" s="9"/>
      <c r="C1450" s="34"/>
      <c r="D1450" s="34"/>
      <c r="E1450" s="34"/>
      <c r="F1450" s="35"/>
      <c r="G1450" s="9"/>
      <c r="H1450" s="9"/>
      <c r="I1450" s="34"/>
      <c r="J1450" s="30" t="str">
        <f aca="false">IF(F1450="","",G1450-B1450)</f>
        <v/>
      </c>
      <c r="K1450" s="31" t="str">
        <f aca="false">IF(F1450="","",IF(H1450&lt;&gt;"",H1450,MAX('Vade Sapması'!$D$3,G1450)))</f>
        <v/>
      </c>
      <c r="L1450" s="30" t="str">
        <f aca="false">IF(F1450="","",K1450-B1450)</f>
        <v/>
      </c>
      <c r="M1450" s="30" t="str">
        <f aca="false">IF(F1450="","",L1450-J1450)</f>
        <v/>
      </c>
      <c r="N1450" s="32" t="str">
        <f aca="false">IF(F1450="","",IF(H1450&lt;&gt;"","Kapandı",IF('Vade Sapması'!$D$3&gt;G1450,"Açık · vadesi geçti","Açık · vadesi gelmedi")))</f>
        <v/>
      </c>
      <c r="O1450" s="30" t="str">
        <f aca="false">IF(F1450="","",IF(AND(H1450="",'Vade Sapması'!$D$3&gt;G1450),'Vade Sapması'!$D$3-G1450,0))</f>
        <v/>
      </c>
      <c r="P1450" s="33" t="str">
        <f aca="false">IF(F1450="","",F1450*J1450)</f>
        <v/>
      </c>
      <c r="Q1450" s="33" t="str">
        <f aca="false">IF(F1450="","",F1450*L1450)</f>
        <v/>
      </c>
      <c r="R1450" s="33" t="str">
        <f aca="false">IF(F1450="","",IF(H1450="",F1450,0))</f>
        <v/>
      </c>
      <c r="S1450" s="32" t="str">
        <f aca="false">IF(F1450="","",IF(N(O1450)=0,"",IF(O1450&lt;=30,"1-30",IF(O1450&lt;=60,"31-60",IF(O1450&lt;=90,"61-90","90+")))))</f>
        <v/>
      </c>
      <c r="T1450" s="32" t="str">
        <f aca="false">IF(F1450="","",IF(E1450="","Diğer",E1450))</f>
        <v/>
      </c>
      <c r="U1450" s="32" t="str">
        <f aca="false">IF(OR(F1450="",C1450=""),"",IF(COUNTIF($C$2:C1450,C1450)=1,MAX($U$1:U1449)+1,""))</f>
        <v/>
      </c>
    </row>
    <row r="1451" customFormat="false" ht="15" hidden="false" customHeight="false" outlineLevel="0" collapsed="false">
      <c r="A1451" s="34"/>
      <c r="B1451" s="9"/>
      <c r="C1451" s="34"/>
      <c r="D1451" s="34"/>
      <c r="E1451" s="34"/>
      <c r="F1451" s="35"/>
      <c r="G1451" s="9"/>
      <c r="H1451" s="9"/>
      <c r="I1451" s="34"/>
      <c r="J1451" s="30" t="str">
        <f aca="false">IF(F1451="","",G1451-B1451)</f>
        <v/>
      </c>
      <c r="K1451" s="31" t="str">
        <f aca="false">IF(F1451="","",IF(H1451&lt;&gt;"",H1451,MAX('Vade Sapması'!$D$3,G1451)))</f>
        <v/>
      </c>
      <c r="L1451" s="30" t="str">
        <f aca="false">IF(F1451="","",K1451-B1451)</f>
        <v/>
      </c>
      <c r="M1451" s="30" t="str">
        <f aca="false">IF(F1451="","",L1451-J1451)</f>
        <v/>
      </c>
      <c r="N1451" s="32" t="str">
        <f aca="false">IF(F1451="","",IF(H1451&lt;&gt;"","Kapandı",IF('Vade Sapması'!$D$3&gt;G1451,"Açık · vadesi geçti","Açık · vadesi gelmedi")))</f>
        <v/>
      </c>
      <c r="O1451" s="30" t="str">
        <f aca="false">IF(F1451="","",IF(AND(H1451="",'Vade Sapması'!$D$3&gt;G1451),'Vade Sapması'!$D$3-G1451,0))</f>
        <v/>
      </c>
      <c r="P1451" s="33" t="str">
        <f aca="false">IF(F1451="","",F1451*J1451)</f>
        <v/>
      </c>
      <c r="Q1451" s="33" t="str">
        <f aca="false">IF(F1451="","",F1451*L1451)</f>
        <v/>
      </c>
      <c r="R1451" s="33" t="str">
        <f aca="false">IF(F1451="","",IF(H1451="",F1451,0))</f>
        <v/>
      </c>
      <c r="S1451" s="32" t="str">
        <f aca="false">IF(F1451="","",IF(N(O1451)=0,"",IF(O1451&lt;=30,"1-30",IF(O1451&lt;=60,"31-60",IF(O1451&lt;=90,"61-90","90+")))))</f>
        <v/>
      </c>
      <c r="T1451" s="32" t="str">
        <f aca="false">IF(F1451="","",IF(E1451="","Diğer",E1451))</f>
        <v/>
      </c>
      <c r="U1451" s="32" t="str">
        <f aca="false">IF(OR(F1451="",C1451=""),"",IF(COUNTIF($C$2:C1451,C1451)=1,MAX($U$1:U1450)+1,""))</f>
        <v/>
      </c>
    </row>
    <row r="1452" customFormat="false" ht="15" hidden="false" customHeight="false" outlineLevel="0" collapsed="false">
      <c r="A1452" s="34"/>
      <c r="B1452" s="9"/>
      <c r="C1452" s="34"/>
      <c r="D1452" s="34"/>
      <c r="E1452" s="34"/>
      <c r="F1452" s="35"/>
      <c r="G1452" s="9"/>
      <c r="H1452" s="9"/>
      <c r="I1452" s="34"/>
      <c r="J1452" s="30" t="str">
        <f aca="false">IF(F1452="","",G1452-B1452)</f>
        <v/>
      </c>
      <c r="K1452" s="31" t="str">
        <f aca="false">IF(F1452="","",IF(H1452&lt;&gt;"",H1452,MAX('Vade Sapması'!$D$3,G1452)))</f>
        <v/>
      </c>
      <c r="L1452" s="30" t="str">
        <f aca="false">IF(F1452="","",K1452-B1452)</f>
        <v/>
      </c>
      <c r="M1452" s="30" t="str">
        <f aca="false">IF(F1452="","",L1452-J1452)</f>
        <v/>
      </c>
      <c r="N1452" s="32" t="str">
        <f aca="false">IF(F1452="","",IF(H1452&lt;&gt;"","Kapandı",IF('Vade Sapması'!$D$3&gt;G1452,"Açık · vadesi geçti","Açık · vadesi gelmedi")))</f>
        <v/>
      </c>
      <c r="O1452" s="30" t="str">
        <f aca="false">IF(F1452="","",IF(AND(H1452="",'Vade Sapması'!$D$3&gt;G1452),'Vade Sapması'!$D$3-G1452,0))</f>
        <v/>
      </c>
      <c r="P1452" s="33" t="str">
        <f aca="false">IF(F1452="","",F1452*J1452)</f>
        <v/>
      </c>
      <c r="Q1452" s="33" t="str">
        <f aca="false">IF(F1452="","",F1452*L1452)</f>
        <v/>
      </c>
      <c r="R1452" s="33" t="str">
        <f aca="false">IF(F1452="","",IF(H1452="",F1452,0))</f>
        <v/>
      </c>
      <c r="S1452" s="32" t="str">
        <f aca="false">IF(F1452="","",IF(N(O1452)=0,"",IF(O1452&lt;=30,"1-30",IF(O1452&lt;=60,"31-60",IF(O1452&lt;=90,"61-90","90+")))))</f>
        <v/>
      </c>
      <c r="T1452" s="32" t="str">
        <f aca="false">IF(F1452="","",IF(E1452="","Diğer",E1452))</f>
        <v/>
      </c>
      <c r="U1452" s="32" t="str">
        <f aca="false">IF(OR(F1452="",C1452=""),"",IF(COUNTIF($C$2:C1452,C1452)=1,MAX($U$1:U1451)+1,""))</f>
        <v/>
      </c>
    </row>
    <row r="1453" customFormat="false" ht="15" hidden="false" customHeight="false" outlineLevel="0" collapsed="false">
      <c r="A1453" s="34"/>
      <c r="B1453" s="9"/>
      <c r="C1453" s="34"/>
      <c r="D1453" s="34"/>
      <c r="E1453" s="34"/>
      <c r="F1453" s="35"/>
      <c r="G1453" s="9"/>
      <c r="H1453" s="9"/>
      <c r="I1453" s="34"/>
      <c r="J1453" s="30" t="str">
        <f aca="false">IF(F1453="","",G1453-B1453)</f>
        <v/>
      </c>
      <c r="K1453" s="31" t="str">
        <f aca="false">IF(F1453="","",IF(H1453&lt;&gt;"",H1453,MAX('Vade Sapması'!$D$3,G1453)))</f>
        <v/>
      </c>
      <c r="L1453" s="30" t="str">
        <f aca="false">IF(F1453="","",K1453-B1453)</f>
        <v/>
      </c>
      <c r="M1453" s="30" t="str">
        <f aca="false">IF(F1453="","",L1453-J1453)</f>
        <v/>
      </c>
      <c r="N1453" s="32" t="str">
        <f aca="false">IF(F1453="","",IF(H1453&lt;&gt;"","Kapandı",IF('Vade Sapması'!$D$3&gt;G1453,"Açık · vadesi geçti","Açık · vadesi gelmedi")))</f>
        <v/>
      </c>
      <c r="O1453" s="30" t="str">
        <f aca="false">IF(F1453="","",IF(AND(H1453="",'Vade Sapması'!$D$3&gt;G1453),'Vade Sapması'!$D$3-G1453,0))</f>
        <v/>
      </c>
      <c r="P1453" s="33" t="str">
        <f aca="false">IF(F1453="","",F1453*J1453)</f>
        <v/>
      </c>
      <c r="Q1453" s="33" t="str">
        <f aca="false">IF(F1453="","",F1453*L1453)</f>
        <v/>
      </c>
      <c r="R1453" s="33" t="str">
        <f aca="false">IF(F1453="","",IF(H1453="",F1453,0))</f>
        <v/>
      </c>
      <c r="S1453" s="32" t="str">
        <f aca="false">IF(F1453="","",IF(N(O1453)=0,"",IF(O1453&lt;=30,"1-30",IF(O1453&lt;=60,"31-60",IF(O1453&lt;=90,"61-90","90+")))))</f>
        <v/>
      </c>
      <c r="T1453" s="32" t="str">
        <f aca="false">IF(F1453="","",IF(E1453="","Diğer",E1453))</f>
        <v/>
      </c>
      <c r="U1453" s="32" t="str">
        <f aca="false">IF(OR(F1453="",C1453=""),"",IF(COUNTIF($C$2:C1453,C1453)=1,MAX($U$1:U1452)+1,""))</f>
        <v/>
      </c>
    </row>
    <row r="1454" customFormat="false" ht="15" hidden="false" customHeight="false" outlineLevel="0" collapsed="false">
      <c r="A1454" s="34"/>
      <c r="B1454" s="9"/>
      <c r="C1454" s="34"/>
      <c r="D1454" s="34"/>
      <c r="E1454" s="34"/>
      <c r="F1454" s="35"/>
      <c r="G1454" s="9"/>
      <c r="H1454" s="9"/>
      <c r="I1454" s="34"/>
      <c r="J1454" s="30" t="str">
        <f aca="false">IF(F1454="","",G1454-B1454)</f>
        <v/>
      </c>
      <c r="K1454" s="31" t="str">
        <f aca="false">IF(F1454="","",IF(H1454&lt;&gt;"",H1454,MAX('Vade Sapması'!$D$3,G1454)))</f>
        <v/>
      </c>
      <c r="L1454" s="30" t="str">
        <f aca="false">IF(F1454="","",K1454-B1454)</f>
        <v/>
      </c>
      <c r="M1454" s="30" t="str">
        <f aca="false">IF(F1454="","",L1454-J1454)</f>
        <v/>
      </c>
      <c r="N1454" s="32" t="str">
        <f aca="false">IF(F1454="","",IF(H1454&lt;&gt;"","Kapandı",IF('Vade Sapması'!$D$3&gt;G1454,"Açık · vadesi geçti","Açık · vadesi gelmedi")))</f>
        <v/>
      </c>
      <c r="O1454" s="30" t="str">
        <f aca="false">IF(F1454="","",IF(AND(H1454="",'Vade Sapması'!$D$3&gt;G1454),'Vade Sapması'!$D$3-G1454,0))</f>
        <v/>
      </c>
      <c r="P1454" s="33" t="str">
        <f aca="false">IF(F1454="","",F1454*J1454)</f>
        <v/>
      </c>
      <c r="Q1454" s="33" t="str">
        <f aca="false">IF(F1454="","",F1454*L1454)</f>
        <v/>
      </c>
      <c r="R1454" s="33" t="str">
        <f aca="false">IF(F1454="","",IF(H1454="",F1454,0))</f>
        <v/>
      </c>
      <c r="S1454" s="32" t="str">
        <f aca="false">IF(F1454="","",IF(N(O1454)=0,"",IF(O1454&lt;=30,"1-30",IF(O1454&lt;=60,"31-60",IF(O1454&lt;=90,"61-90","90+")))))</f>
        <v/>
      </c>
      <c r="T1454" s="32" t="str">
        <f aca="false">IF(F1454="","",IF(E1454="","Diğer",E1454))</f>
        <v/>
      </c>
      <c r="U1454" s="32" t="str">
        <f aca="false">IF(OR(F1454="",C1454=""),"",IF(COUNTIF($C$2:C1454,C1454)=1,MAX($U$1:U1453)+1,""))</f>
        <v/>
      </c>
    </row>
    <row r="1455" customFormat="false" ht="15" hidden="false" customHeight="false" outlineLevel="0" collapsed="false">
      <c r="A1455" s="34"/>
      <c r="B1455" s="9"/>
      <c r="C1455" s="34"/>
      <c r="D1455" s="34"/>
      <c r="E1455" s="34"/>
      <c r="F1455" s="35"/>
      <c r="G1455" s="9"/>
      <c r="H1455" s="9"/>
      <c r="I1455" s="34"/>
      <c r="J1455" s="30" t="str">
        <f aca="false">IF(F1455="","",G1455-B1455)</f>
        <v/>
      </c>
      <c r="K1455" s="31" t="str">
        <f aca="false">IF(F1455="","",IF(H1455&lt;&gt;"",H1455,MAX('Vade Sapması'!$D$3,G1455)))</f>
        <v/>
      </c>
      <c r="L1455" s="30" t="str">
        <f aca="false">IF(F1455="","",K1455-B1455)</f>
        <v/>
      </c>
      <c r="M1455" s="30" t="str">
        <f aca="false">IF(F1455="","",L1455-J1455)</f>
        <v/>
      </c>
      <c r="N1455" s="32" t="str">
        <f aca="false">IF(F1455="","",IF(H1455&lt;&gt;"","Kapandı",IF('Vade Sapması'!$D$3&gt;G1455,"Açık · vadesi geçti","Açık · vadesi gelmedi")))</f>
        <v/>
      </c>
      <c r="O1455" s="30" t="str">
        <f aca="false">IF(F1455="","",IF(AND(H1455="",'Vade Sapması'!$D$3&gt;G1455),'Vade Sapması'!$D$3-G1455,0))</f>
        <v/>
      </c>
      <c r="P1455" s="33" t="str">
        <f aca="false">IF(F1455="","",F1455*J1455)</f>
        <v/>
      </c>
      <c r="Q1455" s="33" t="str">
        <f aca="false">IF(F1455="","",F1455*L1455)</f>
        <v/>
      </c>
      <c r="R1455" s="33" t="str">
        <f aca="false">IF(F1455="","",IF(H1455="",F1455,0))</f>
        <v/>
      </c>
      <c r="S1455" s="32" t="str">
        <f aca="false">IF(F1455="","",IF(N(O1455)=0,"",IF(O1455&lt;=30,"1-30",IF(O1455&lt;=60,"31-60",IF(O1455&lt;=90,"61-90","90+")))))</f>
        <v/>
      </c>
      <c r="T1455" s="32" t="str">
        <f aca="false">IF(F1455="","",IF(E1455="","Diğer",E1455))</f>
        <v/>
      </c>
      <c r="U1455" s="32" t="str">
        <f aca="false">IF(OR(F1455="",C1455=""),"",IF(COUNTIF($C$2:C1455,C1455)=1,MAX($U$1:U1454)+1,""))</f>
        <v/>
      </c>
    </row>
    <row r="1456" customFormat="false" ht="15" hidden="false" customHeight="false" outlineLevel="0" collapsed="false">
      <c r="A1456" s="34"/>
      <c r="B1456" s="9"/>
      <c r="C1456" s="34"/>
      <c r="D1456" s="34"/>
      <c r="E1456" s="34"/>
      <c r="F1456" s="35"/>
      <c r="G1456" s="9"/>
      <c r="H1456" s="9"/>
      <c r="I1456" s="34"/>
      <c r="J1456" s="30" t="str">
        <f aca="false">IF(F1456="","",G1456-B1456)</f>
        <v/>
      </c>
      <c r="K1456" s="31" t="str">
        <f aca="false">IF(F1456="","",IF(H1456&lt;&gt;"",H1456,MAX('Vade Sapması'!$D$3,G1456)))</f>
        <v/>
      </c>
      <c r="L1456" s="30" t="str">
        <f aca="false">IF(F1456="","",K1456-B1456)</f>
        <v/>
      </c>
      <c r="M1456" s="30" t="str">
        <f aca="false">IF(F1456="","",L1456-J1456)</f>
        <v/>
      </c>
      <c r="N1456" s="32" t="str">
        <f aca="false">IF(F1456="","",IF(H1456&lt;&gt;"","Kapandı",IF('Vade Sapması'!$D$3&gt;G1456,"Açık · vadesi geçti","Açık · vadesi gelmedi")))</f>
        <v/>
      </c>
      <c r="O1456" s="30" t="str">
        <f aca="false">IF(F1456="","",IF(AND(H1456="",'Vade Sapması'!$D$3&gt;G1456),'Vade Sapması'!$D$3-G1456,0))</f>
        <v/>
      </c>
      <c r="P1456" s="33" t="str">
        <f aca="false">IF(F1456="","",F1456*J1456)</f>
        <v/>
      </c>
      <c r="Q1456" s="33" t="str">
        <f aca="false">IF(F1456="","",F1456*L1456)</f>
        <v/>
      </c>
      <c r="R1456" s="33" t="str">
        <f aca="false">IF(F1456="","",IF(H1456="",F1456,0))</f>
        <v/>
      </c>
      <c r="S1456" s="32" t="str">
        <f aca="false">IF(F1456="","",IF(N(O1456)=0,"",IF(O1456&lt;=30,"1-30",IF(O1456&lt;=60,"31-60",IF(O1456&lt;=90,"61-90","90+")))))</f>
        <v/>
      </c>
      <c r="T1456" s="32" t="str">
        <f aca="false">IF(F1456="","",IF(E1456="","Diğer",E1456))</f>
        <v/>
      </c>
      <c r="U1456" s="32" t="str">
        <f aca="false">IF(OR(F1456="",C1456=""),"",IF(COUNTIF($C$2:C1456,C1456)=1,MAX($U$1:U1455)+1,""))</f>
        <v/>
      </c>
    </row>
    <row r="1457" customFormat="false" ht="15" hidden="false" customHeight="false" outlineLevel="0" collapsed="false">
      <c r="A1457" s="34"/>
      <c r="B1457" s="9"/>
      <c r="C1457" s="34"/>
      <c r="D1457" s="34"/>
      <c r="E1457" s="34"/>
      <c r="F1457" s="35"/>
      <c r="G1457" s="9"/>
      <c r="H1457" s="9"/>
      <c r="I1457" s="34"/>
      <c r="J1457" s="30" t="str">
        <f aca="false">IF(F1457="","",G1457-B1457)</f>
        <v/>
      </c>
      <c r="K1457" s="31" t="str">
        <f aca="false">IF(F1457="","",IF(H1457&lt;&gt;"",H1457,MAX('Vade Sapması'!$D$3,G1457)))</f>
        <v/>
      </c>
      <c r="L1457" s="30" t="str">
        <f aca="false">IF(F1457="","",K1457-B1457)</f>
        <v/>
      </c>
      <c r="M1457" s="30" t="str">
        <f aca="false">IF(F1457="","",L1457-J1457)</f>
        <v/>
      </c>
      <c r="N1457" s="32" t="str">
        <f aca="false">IF(F1457="","",IF(H1457&lt;&gt;"","Kapandı",IF('Vade Sapması'!$D$3&gt;G1457,"Açık · vadesi geçti","Açık · vadesi gelmedi")))</f>
        <v/>
      </c>
      <c r="O1457" s="30" t="str">
        <f aca="false">IF(F1457="","",IF(AND(H1457="",'Vade Sapması'!$D$3&gt;G1457),'Vade Sapması'!$D$3-G1457,0))</f>
        <v/>
      </c>
      <c r="P1457" s="33" t="str">
        <f aca="false">IF(F1457="","",F1457*J1457)</f>
        <v/>
      </c>
      <c r="Q1457" s="33" t="str">
        <f aca="false">IF(F1457="","",F1457*L1457)</f>
        <v/>
      </c>
      <c r="R1457" s="33" t="str">
        <f aca="false">IF(F1457="","",IF(H1457="",F1457,0))</f>
        <v/>
      </c>
      <c r="S1457" s="32" t="str">
        <f aca="false">IF(F1457="","",IF(N(O1457)=0,"",IF(O1457&lt;=30,"1-30",IF(O1457&lt;=60,"31-60",IF(O1457&lt;=90,"61-90","90+")))))</f>
        <v/>
      </c>
      <c r="T1457" s="32" t="str">
        <f aca="false">IF(F1457="","",IF(E1457="","Diğer",E1457))</f>
        <v/>
      </c>
      <c r="U1457" s="32" t="str">
        <f aca="false">IF(OR(F1457="",C1457=""),"",IF(COUNTIF($C$2:C1457,C1457)=1,MAX($U$1:U1456)+1,""))</f>
        <v/>
      </c>
    </row>
    <row r="1458" customFormat="false" ht="15" hidden="false" customHeight="false" outlineLevel="0" collapsed="false">
      <c r="A1458" s="34"/>
      <c r="B1458" s="9"/>
      <c r="C1458" s="34"/>
      <c r="D1458" s="34"/>
      <c r="E1458" s="34"/>
      <c r="F1458" s="35"/>
      <c r="G1458" s="9"/>
      <c r="H1458" s="9"/>
      <c r="I1458" s="34"/>
      <c r="J1458" s="30" t="str">
        <f aca="false">IF(F1458="","",G1458-B1458)</f>
        <v/>
      </c>
      <c r="K1458" s="31" t="str">
        <f aca="false">IF(F1458="","",IF(H1458&lt;&gt;"",H1458,MAX('Vade Sapması'!$D$3,G1458)))</f>
        <v/>
      </c>
      <c r="L1458" s="30" t="str">
        <f aca="false">IF(F1458="","",K1458-B1458)</f>
        <v/>
      </c>
      <c r="M1458" s="30" t="str">
        <f aca="false">IF(F1458="","",L1458-J1458)</f>
        <v/>
      </c>
      <c r="N1458" s="32" t="str">
        <f aca="false">IF(F1458="","",IF(H1458&lt;&gt;"","Kapandı",IF('Vade Sapması'!$D$3&gt;G1458,"Açık · vadesi geçti","Açık · vadesi gelmedi")))</f>
        <v/>
      </c>
      <c r="O1458" s="30" t="str">
        <f aca="false">IF(F1458="","",IF(AND(H1458="",'Vade Sapması'!$D$3&gt;G1458),'Vade Sapması'!$D$3-G1458,0))</f>
        <v/>
      </c>
      <c r="P1458" s="33" t="str">
        <f aca="false">IF(F1458="","",F1458*J1458)</f>
        <v/>
      </c>
      <c r="Q1458" s="33" t="str">
        <f aca="false">IF(F1458="","",F1458*L1458)</f>
        <v/>
      </c>
      <c r="R1458" s="33" t="str">
        <f aca="false">IF(F1458="","",IF(H1458="",F1458,0))</f>
        <v/>
      </c>
      <c r="S1458" s="32" t="str">
        <f aca="false">IF(F1458="","",IF(N(O1458)=0,"",IF(O1458&lt;=30,"1-30",IF(O1458&lt;=60,"31-60",IF(O1458&lt;=90,"61-90","90+")))))</f>
        <v/>
      </c>
      <c r="T1458" s="32" t="str">
        <f aca="false">IF(F1458="","",IF(E1458="","Diğer",E1458))</f>
        <v/>
      </c>
      <c r="U1458" s="32" t="str">
        <f aca="false">IF(OR(F1458="",C1458=""),"",IF(COUNTIF($C$2:C1458,C1458)=1,MAX($U$1:U1457)+1,""))</f>
        <v/>
      </c>
    </row>
    <row r="1459" customFormat="false" ht="15" hidden="false" customHeight="false" outlineLevel="0" collapsed="false">
      <c r="A1459" s="34"/>
      <c r="B1459" s="9"/>
      <c r="C1459" s="34"/>
      <c r="D1459" s="34"/>
      <c r="E1459" s="34"/>
      <c r="F1459" s="35"/>
      <c r="G1459" s="9"/>
      <c r="H1459" s="9"/>
      <c r="I1459" s="34"/>
      <c r="J1459" s="30" t="str">
        <f aca="false">IF(F1459="","",G1459-B1459)</f>
        <v/>
      </c>
      <c r="K1459" s="31" t="str">
        <f aca="false">IF(F1459="","",IF(H1459&lt;&gt;"",H1459,MAX('Vade Sapması'!$D$3,G1459)))</f>
        <v/>
      </c>
      <c r="L1459" s="30" t="str">
        <f aca="false">IF(F1459="","",K1459-B1459)</f>
        <v/>
      </c>
      <c r="M1459" s="30" t="str">
        <f aca="false">IF(F1459="","",L1459-J1459)</f>
        <v/>
      </c>
      <c r="N1459" s="32" t="str">
        <f aca="false">IF(F1459="","",IF(H1459&lt;&gt;"","Kapandı",IF('Vade Sapması'!$D$3&gt;G1459,"Açık · vadesi geçti","Açık · vadesi gelmedi")))</f>
        <v/>
      </c>
      <c r="O1459" s="30" t="str">
        <f aca="false">IF(F1459="","",IF(AND(H1459="",'Vade Sapması'!$D$3&gt;G1459),'Vade Sapması'!$D$3-G1459,0))</f>
        <v/>
      </c>
      <c r="P1459" s="33" t="str">
        <f aca="false">IF(F1459="","",F1459*J1459)</f>
        <v/>
      </c>
      <c r="Q1459" s="33" t="str">
        <f aca="false">IF(F1459="","",F1459*L1459)</f>
        <v/>
      </c>
      <c r="R1459" s="33" t="str">
        <f aca="false">IF(F1459="","",IF(H1459="",F1459,0))</f>
        <v/>
      </c>
      <c r="S1459" s="32" t="str">
        <f aca="false">IF(F1459="","",IF(N(O1459)=0,"",IF(O1459&lt;=30,"1-30",IF(O1459&lt;=60,"31-60",IF(O1459&lt;=90,"61-90","90+")))))</f>
        <v/>
      </c>
      <c r="T1459" s="32" t="str">
        <f aca="false">IF(F1459="","",IF(E1459="","Diğer",E1459))</f>
        <v/>
      </c>
      <c r="U1459" s="32" t="str">
        <f aca="false">IF(OR(F1459="",C1459=""),"",IF(COUNTIF($C$2:C1459,C1459)=1,MAX($U$1:U1458)+1,""))</f>
        <v/>
      </c>
    </row>
    <row r="1460" customFormat="false" ht="15" hidden="false" customHeight="false" outlineLevel="0" collapsed="false">
      <c r="A1460" s="34"/>
      <c r="B1460" s="9"/>
      <c r="C1460" s="34"/>
      <c r="D1460" s="34"/>
      <c r="E1460" s="34"/>
      <c r="F1460" s="35"/>
      <c r="G1460" s="9"/>
      <c r="H1460" s="9"/>
      <c r="I1460" s="34"/>
      <c r="J1460" s="30" t="str">
        <f aca="false">IF(F1460="","",G1460-B1460)</f>
        <v/>
      </c>
      <c r="K1460" s="31" t="str">
        <f aca="false">IF(F1460="","",IF(H1460&lt;&gt;"",H1460,MAX('Vade Sapması'!$D$3,G1460)))</f>
        <v/>
      </c>
      <c r="L1460" s="30" t="str">
        <f aca="false">IF(F1460="","",K1460-B1460)</f>
        <v/>
      </c>
      <c r="M1460" s="30" t="str">
        <f aca="false">IF(F1460="","",L1460-J1460)</f>
        <v/>
      </c>
      <c r="N1460" s="32" t="str">
        <f aca="false">IF(F1460="","",IF(H1460&lt;&gt;"","Kapandı",IF('Vade Sapması'!$D$3&gt;G1460,"Açık · vadesi geçti","Açık · vadesi gelmedi")))</f>
        <v/>
      </c>
      <c r="O1460" s="30" t="str">
        <f aca="false">IF(F1460="","",IF(AND(H1460="",'Vade Sapması'!$D$3&gt;G1460),'Vade Sapması'!$D$3-G1460,0))</f>
        <v/>
      </c>
      <c r="P1460" s="33" t="str">
        <f aca="false">IF(F1460="","",F1460*J1460)</f>
        <v/>
      </c>
      <c r="Q1460" s="33" t="str">
        <f aca="false">IF(F1460="","",F1460*L1460)</f>
        <v/>
      </c>
      <c r="R1460" s="33" t="str">
        <f aca="false">IF(F1460="","",IF(H1460="",F1460,0))</f>
        <v/>
      </c>
      <c r="S1460" s="32" t="str">
        <f aca="false">IF(F1460="","",IF(N(O1460)=0,"",IF(O1460&lt;=30,"1-30",IF(O1460&lt;=60,"31-60",IF(O1460&lt;=90,"61-90","90+")))))</f>
        <v/>
      </c>
      <c r="T1460" s="32" t="str">
        <f aca="false">IF(F1460="","",IF(E1460="","Diğer",E1460))</f>
        <v/>
      </c>
      <c r="U1460" s="32" t="str">
        <f aca="false">IF(OR(F1460="",C1460=""),"",IF(COUNTIF($C$2:C1460,C1460)=1,MAX($U$1:U1459)+1,""))</f>
        <v/>
      </c>
    </row>
    <row r="1461" customFormat="false" ht="15" hidden="false" customHeight="false" outlineLevel="0" collapsed="false">
      <c r="A1461" s="34"/>
      <c r="B1461" s="9"/>
      <c r="C1461" s="34"/>
      <c r="D1461" s="34"/>
      <c r="E1461" s="34"/>
      <c r="F1461" s="35"/>
      <c r="G1461" s="9"/>
      <c r="H1461" s="9"/>
      <c r="I1461" s="34"/>
      <c r="J1461" s="30" t="str">
        <f aca="false">IF(F1461="","",G1461-B1461)</f>
        <v/>
      </c>
      <c r="K1461" s="31" t="str">
        <f aca="false">IF(F1461="","",IF(H1461&lt;&gt;"",H1461,MAX('Vade Sapması'!$D$3,G1461)))</f>
        <v/>
      </c>
      <c r="L1461" s="30" t="str">
        <f aca="false">IF(F1461="","",K1461-B1461)</f>
        <v/>
      </c>
      <c r="M1461" s="30" t="str">
        <f aca="false">IF(F1461="","",L1461-J1461)</f>
        <v/>
      </c>
      <c r="N1461" s="32" t="str">
        <f aca="false">IF(F1461="","",IF(H1461&lt;&gt;"","Kapandı",IF('Vade Sapması'!$D$3&gt;G1461,"Açık · vadesi geçti","Açık · vadesi gelmedi")))</f>
        <v/>
      </c>
      <c r="O1461" s="30" t="str">
        <f aca="false">IF(F1461="","",IF(AND(H1461="",'Vade Sapması'!$D$3&gt;G1461),'Vade Sapması'!$D$3-G1461,0))</f>
        <v/>
      </c>
      <c r="P1461" s="33" t="str">
        <f aca="false">IF(F1461="","",F1461*J1461)</f>
        <v/>
      </c>
      <c r="Q1461" s="33" t="str">
        <f aca="false">IF(F1461="","",F1461*L1461)</f>
        <v/>
      </c>
      <c r="R1461" s="33" t="str">
        <f aca="false">IF(F1461="","",IF(H1461="",F1461,0))</f>
        <v/>
      </c>
      <c r="S1461" s="32" t="str">
        <f aca="false">IF(F1461="","",IF(N(O1461)=0,"",IF(O1461&lt;=30,"1-30",IF(O1461&lt;=60,"31-60",IF(O1461&lt;=90,"61-90","90+")))))</f>
        <v/>
      </c>
      <c r="T1461" s="32" t="str">
        <f aca="false">IF(F1461="","",IF(E1461="","Diğer",E1461))</f>
        <v/>
      </c>
      <c r="U1461" s="32" t="str">
        <f aca="false">IF(OR(F1461="",C1461=""),"",IF(COUNTIF($C$2:C1461,C1461)=1,MAX($U$1:U1460)+1,""))</f>
        <v/>
      </c>
    </row>
    <row r="1462" customFormat="false" ht="15" hidden="false" customHeight="false" outlineLevel="0" collapsed="false">
      <c r="A1462" s="34"/>
      <c r="B1462" s="9"/>
      <c r="C1462" s="34"/>
      <c r="D1462" s="34"/>
      <c r="E1462" s="34"/>
      <c r="F1462" s="35"/>
      <c r="G1462" s="9"/>
      <c r="H1462" s="9"/>
      <c r="I1462" s="34"/>
      <c r="J1462" s="30" t="str">
        <f aca="false">IF(F1462="","",G1462-B1462)</f>
        <v/>
      </c>
      <c r="K1462" s="31" t="str">
        <f aca="false">IF(F1462="","",IF(H1462&lt;&gt;"",H1462,MAX('Vade Sapması'!$D$3,G1462)))</f>
        <v/>
      </c>
      <c r="L1462" s="30" t="str">
        <f aca="false">IF(F1462="","",K1462-B1462)</f>
        <v/>
      </c>
      <c r="M1462" s="30" t="str">
        <f aca="false">IF(F1462="","",L1462-J1462)</f>
        <v/>
      </c>
      <c r="N1462" s="32" t="str">
        <f aca="false">IF(F1462="","",IF(H1462&lt;&gt;"","Kapandı",IF('Vade Sapması'!$D$3&gt;G1462,"Açık · vadesi geçti","Açık · vadesi gelmedi")))</f>
        <v/>
      </c>
      <c r="O1462" s="30" t="str">
        <f aca="false">IF(F1462="","",IF(AND(H1462="",'Vade Sapması'!$D$3&gt;G1462),'Vade Sapması'!$D$3-G1462,0))</f>
        <v/>
      </c>
      <c r="P1462" s="33" t="str">
        <f aca="false">IF(F1462="","",F1462*J1462)</f>
        <v/>
      </c>
      <c r="Q1462" s="33" t="str">
        <f aca="false">IF(F1462="","",F1462*L1462)</f>
        <v/>
      </c>
      <c r="R1462" s="33" t="str">
        <f aca="false">IF(F1462="","",IF(H1462="",F1462,0))</f>
        <v/>
      </c>
      <c r="S1462" s="32" t="str">
        <f aca="false">IF(F1462="","",IF(N(O1462)=0,"",IF(O1462&lt;=30,"1-30",IF(O1462&lt;=60,"31-60",IF(O1462&lt;=90,"61-90","90+")))))</f>
        <v/>
      </c>
      <c r="T1462" s="32" t="str">
        <f aca="false">IF(F1462="","",IF(E1462="","Diğer",E1462))</f>
        <v/>
      </c>
      <c r="U1462" s="32" t="str">
        <f aca="false">IF(OR(F1462="",C1462=""),"",IF(COUNTIF($C$2:C1462,C1462)=1,MAX($U$1:U1461)+1,""))</f>
        <v/>
      </c>
    </row>
    <row r="1463" customFormat="false" ht="15" hidden="false" customHeight="false" outlineLevel="0" collapsed="false">
      <c r="A1463" s="34"/>
      <c r="B1463" s="9"/>
      <c r="C1463" s="34"/>
      <c r="D1463" s="34"/>
      <c r="E1463" s="34"/>
      <c r="F1463" s="35"/>
      <c r="G1463" s="9"/>
      <c r="H1463" s="9"/>
      <c r="I1463" s="34"/>
      <c r="J1463" s="30" t="str">
        <f aca="false">IF(F1463="","",G1463-B1463)</f>
        <v/>
      </c>
      <c r="K1463" s="31" t="str">
        <f aca="false">IF(F1463="","",IF(H1463&lt;&gt;"",H1463,MAX('Vade Sapması'!$D$3,G1463)))</f>
        <v/>
      </c>
      <c r="L1463" s="30" t="str">
        <f aca="false">IF(F1463="","",K1463-B1463)</f>
        <v/>
      </c>
      <c r="M1463" s="30" t="str">
        <f aca="false">IF(F1463="","",L1463-J1463)</f>
        <v/>
      </c>
      <c r="N1463" s="32" t="str">
        <f aca="false">IF(F1463="","",IF(H1463&lt;&gt;"","Kapandı",IF('Vade Sapması'!$D$3&gt;G1463,"Açık · vadesi geçti","Açık · vadesi gelmedi")))</f>
        <v/>
      </c>
      <c r="O1463" s="30" t="str">
        <f aca="false">IF(F1463="","",IF(AND(H1463="",'Vade Sapması'!$D$3&gt;G1463),'Vade Sapması'!$D$3-G1463,0))</f>
        <v/>
      </c>
      <c r="P1463" s="33" t="str">
        <f aca="false">IF(F1463="","",F1463*J1463)</f>
        <v/>
      </c>
      <c r="Q1463" s="33" t="str">
        <f aca="false">IF(F1463="","",F1463*L1463)</f>
        <v/>
      </c>
      <c r="R1463" s="33" t="str">
        <f aca="false">IF(F1463="","",IF(H1463="",F1463,0))</f>
        <v/>
      </c>
      <c r="S1463" s="32" t="str">
        <f aca="false">IF(F1463="","",IF(N(O1463)=0,"",IF(O1463&lt;=30,"1-30",IF(O1463&lt;=60,"31-60",IF(O1463&lt;=90,"61-90","90+")))))</f>
        <v/>
      </c>
      <c r="T1463" s="32" t="str">
        <f aca="false">IF(F1463="","",IF(E1463="","Diğer",E1463))</f>
        <v/>
      </c>
      <c r="U1463" s="32" t="str">
        <f aca="false">IF(OR(F1463="",C1463=""),"",IF(COUNTIF($C$2:C1463,C1463)=1,MAX($U$1:U1462)+1,""))</f>
        <v/>
      </c>
    </row>
    <row r="1464" customFormat="false" ht="15" hidden="false" customHeight="false" outlineLevel="0" collapsed="false">
      <c r="A1464" s="34"/>
      <c r="B1464" s="9"/>
      <c r="C1464" s="34"/>
      <c r="D1464" s="34"/>
      <c r="E1464" s="34"/>
      <c r="F1464" s="35"/>
      <c r="G1464" s="9"/>
      <c r="H1464" s="9"/>
      <c r="I1464" s="34"/>
      <c r="J1464" s="30" t="str">
        <f aca="false">IF(F1464="","",G1464-B1464)</f>
        <v/>
      </c>
      <c r="K1464" s="31" t="str">
        <f aca="false">IF(F1464="","",IF(H1464&lt;&gt;"",H1464,MAX('Vade Sapması'!$D$3,G1464)))</f>
        <v/>
      </c>
      <c r="L1464" s="30" t="str">
        <f aca="false">IF(F1464="","",K1464-B1464)</f>
        <v/>
      </c>
      <c r="M1464" s="30" t="str">
        <f aca="false">IF(F1464="","",L1464-J1464)</f>
        <v/>
      </c>
      <c r="N1464" s="32" t="str">
        <f aca="false">IF(F1464="","",IF(H1464&lt;&gt;"","Kapandı",IF('Vade Sapması'!$D$3&gt;G1464,"Açık · vadesi geçti","Açık · vadesi gelmedi")))</f>
        <v/>
      </c>
      <c r="O1464" s="30" t="str">
        <f aca="false">IF(F1464="","",IF(AND(H1464="",'Vade Sapması'!$D$3&gt;G1464),'Vade Sapması'!$D$3-G1464,0))</f>
        <v/>
      </c>
      <c r="P1464" s="33" t="str">
        <f aca="false">IF(F1464="","",F1464*J1464)</f>
        <v/>
      </c>
      <c r="Q1464" s="33" t="str">
        <f aca="false">IF(F1464="","",F1464*L1464)</f>
        <v/>
      </c>
      <c r="R1464" s="33" t="str">
        <f aca="false">IF(F1464="","",IF(H1464="",F1464,0))</f>
        <v/>
      </c>
      <c r="S1464" s="32" t="str">
        <f aca="false">IF(F1464="","",IF(N(O1464)=0,"",IF(O1464&lt;=30,"1-30",IF(O1464&lt;=60,"31-60",IF(O1464&lt;=90,"61-90","90+")))))</f>
        <v/>
      </c>
      <c r="T1464" s="32" t="str">
        <f aca="false">IF(F1464="","",IF(E1464="","Diğer",E1464))</f>
        <v/>
      </c>
      <c r="U1464" s="32" t="str">
        <f aca="false">IF(OR(F1464="",C1464=""),"",IF(COUNTIF($C$2:C1464,C1464)=1,MAX($U$1:U1463)+1,""))</f>
        <v/>
      </c>
    </row>
    <row r="1465" customFormat="false" ht="15" hidden="false" customHeight="false" outlineLevel="0" collapsed="false">
      <c r="A1465" s="34"/>
      <c r="B1465" s="9"/>
      <c r="C1465" s="34"/>
      <c r="D1465" s="34"/>
      <c r="E1465" s="34"/>
      <c r="F1465" s="35"/>
      <c r="G1465" s="9"/>
      <c r="H1465" s="9"/>
      <c r="I1465" s="34"/>
      <c r="J1465" s="30" t="str">
        <f aca="false">IF(F1465="","",G1465-B1465)</f>
        <v/>
      </c>
      <c r="K1465" s="31" t="str">
        <f aca="false">IF(F1465="","",IF(H1465&lt;&gt;"",H1465,MAX('Vade Sapması'!$D$3,G1465)))</f>
        <v/>
      </c>
      <c r="L1465" s="30" t="str">
        <f aca="false">IF(F1465="","",K1465-B1465)</f>
        <v/>
      </c>
      <c r="M1465" s="30" t="str">
        <f aca="false">IF(F1465="","",L1465-J1465)</f>
        <v/>
      </c>
      <c r="N1465" s="32" t="str">
        <f aca="false">IF(F1465="","",IF(H1465&lt;&gt;"","Kapandı",IF('Vade Sapması'!$D$3&gt;G1465,"Açık · vadesi geçti","Açık · vadesi gelmedi")))</f>
        <v/>
      </c>
      <c r="O1465" s="30" t="str">
        <f aca="false">IF(F1465="","",IF(AND(H1465="",'Vade Sapması'!$D$3&gt;G1465),'Vade Sapması'!$D$3-G1465,0))</f>
        <v/>
      </c>
      <c r="P1465" s="33" t="str">
        <f aca="false">IF(F1465="","",F1465*J1465)</f>
        <v/>
      </c>
      <c r="Q1465" s="33" t="str">
        <f aca="false">IF(F1465="","",F1465*L1465)</f>
        <v/>
      </c>
      <c r="R1465" s="33" t="str">
        <f aca="false">IF(F1465="","",IF(H1465="",F1465,0))</f>
        <v/>
      </c>
      <c r="S1465" s="32" t="str">
        <f aca="false">IF(F1465="","",IF(N(O1465)=0,"",IF(O1465&lt;=30,"1-30",IF(O1465&lt;=60,"31-60",IF(O1465&lt;=90,"61-90","90+")))))</f>
        <v/>
      </c>
      <c r="T1465" s="32" t="str">
        <f aca="false">IF(F1465="","",IF(E1465="","Diğer",E1465))</f>
        <v/>
      </c>
      <c r="U1465" s="32" t="str">
        <f aca="false">IF(OR(F1465="",C1465=""),"",IF(COUNTIF($C$2:C1465,C1465)=1,MAX($U$1:U1464)+1,""))</f>
        <v/>
      </c>
    </row>
    <row r="1466" customFormat="false" ht="15" hidden="false" customHeight="false" outlineLevel="0" collapsed="false">
      <c r="A1466" s="34"/>
      <c r="B1466" s="9"/>
      <c r="C1466" s="34"/>
      <c r="D1466" s="34"/>
      <c r="E1466" s="34"/>
      <c r="F1466" s="35"/>
      <c r="G1466" s="9"/>
      <c r="H1466" s="9"/>
      <c r="I1466" s="34"/>
      <c r="J1466" s="30" t="str">
        <f aca="false">IF(F1466="","",G1466-B1466)</f>
        <v/>
      </c>
      <c r="K1466" s="31" t="str">
        <f aca="false">IF(F1466="","",IF(H1466&lt;&gt;"",H1466,MAX('Vade Sapması'!$D$3,G1466)))</f>
        <v/>
      </c>
      <c r="L1466" s="30" t="str">
        <f aca="false">IF(F1466="","",K1466-B1466)</f>
        <v/>
      </c>
      <c r="M1466" s="30" t="str">
        <f aca="false">IF(F1466="","",L1466-J1466)</f>
        <v/>
      </c>
      <c r="N1466" s="32" t="str">
        <f aca="false">IF(F1466="","",IF(H1466&lt;&gt;"","Kapandı",IF('Vade Sapması'!$D$3&gt;G1466,"Açık · vadesi geçti","Açık · vadesi gelmedi")))</f>
        <v/>
      </c>
      <c r="O1466" s="30" t="str">
        <f aca="false">IF(F1466="","",IF(AND(H1466="",'Vade Sapması'!$D$3&gt;G1466),'Vade Sapması'!$D$3-G1466,0))</f>
        <v/>
      </c>
      <c r="P1466" s="33" t="str">
        <f aca="false">IF(F1466="","",F1466*J1466)</f>
        <v/>
      </c>
      <c r="Q1466" s="33" t="str">
        <f aca="false">IF(F1466="","",F1466*L1466)</f>
        <v/>
      </c>
      <c r="R1466" s="33" t="str">
        <f aca="false">IF(F1466="","",IF(H1466="",F1466,0))</f>
        <v/>
      </c>
      <c r="S1466" s="32" t="str">
        <f aca="false">IF(F1466="","",IF(N(O1466)=0,"",IF(O1466&lt;=30,"1-30",IF(O1466&lt;=60,"31-60",IF(O1466&lt;=90,"61-90","90+")))))</f>
        <v/>
      </c>
      <c r="T1466" s="32" t="str">
        <f aca="false">IF(F1466="","",IF(E1466="","Diğer",E1466))</f>
        <v/>
      </c>
      <c r="U1466" s="32" t="str">
        <f aca="false">IF(OR(F1466="",C1466=""),"",IF(COUNTIF($C$2:C1466,C1466)=1,MAX($U$1:U1465)+1,""))</f>
        <v/>
      </c>
    </row>
    <row r="1467" customFormat="false" ht="15" hidden="false" customHeight="false" outlineLevel="0" collapsed="false">
      <c r="A1467" s="34"/>
      <c r="B1467" s="9"/>
      <c r="C1467" s="34"/>
      <c r="D1467" s="34"/>
      <c r="E1467" s="34"/>
      <c r="F1467" s="35"/>
      <c r="G1467" s="9"/>
      <c r="H1467" s="9"/>
      <c r="I1467" s="34"/>
      <c r="J1467" s="30" t="str">
        <f aca="false">IF(F1467="","",G1467-B1467)</f>
        <v/>
      </c>
      <c r="K1467" s="31" t="str">
        <f aca="false">IF(F1467="","",IF(H1467&lt;&gt;"",H1467,MAX('Vade Sapması'!$D$3,G1467)))</f>
        <v/>
      </c>
      <c r="L1467" s="30" t="str">
        <f aca="false">IF(F1467="","",K1467-B1467)</f>
        <v/>
      </c>
      <c r="M1467" s="30" t="str">
        <f aca="false">IF(F1467="","",L1467-J1467)</f>
        <v/>
      </c>
      <c r="N1467" s="32" t="str">
        <f aca="false">IF(F1467="","",IF(H1467&lt;&gt;"","Kapandı",IF('Vade Sapması'!$D$3&gt;G1467,"Açık · vadesi geçti","Açık · vadesi gelmedi")))</f>
        <v/>
      </c>
      <c r="O1467" s="30" t="str">
        <f aca="false">IF(F1467="","",IF(AND(H1467="",'Vade Sapması'!$D$3&gt;G1467),'Vade Sapması'!$D$3-G1467,0))</f>
        <v/>
      </c>
      <c r="P1467" s="33" t="str">
        <f aca="false">IF(F1467="","",F1467*J1467)</f>
        <v/>
      </c>
      <c r="Q1467" s="33" t="str">
        <f aca="false">IF(F1467="","",F1467*L1467)</f>
        <v/>
      </c>
      <c r="R1467" s="33" t="str">
        <f aca="false">IF(F1467="","",IF(H1467="",F1467,0))</f>
        <v/>
      </c>
      <c r="S1467" s="32" t="str">
        <f aca="false">IF(F1467="","",IF(N(O1467)=0,"",IF(O1467&lt;=30,"1-30",IF(O1467&lt;=60,"31-60",IF(O1467&lt;=90,"61-90","90+")))))</f>
        <v/>
      </c>
      <c r="T1467" s="32" t="str">
        <f aca="false">IF(F1467="","",IF(E1467="","Diğer",E1467))</f>
        <v/>
      </c>
      <c r="U1467" s="32" t="str">
        <f aca="false">IF(OR(F1467="",C1467=""),"",IF(COUNTIF($C$2:C1467,C1467)=1,MAX($U$1:U1466)+1,""))</f>
        <v/>
      </c>
    </row>
    <row r="1468" customFormat="false" ht="15" hidden="false" customHeight="false" outlineLevel="0" collapsed="false">
      <c r="A1468" s="34"/>
      <c r="B1468" s="9"/>
      <c r="C1468" s="34"/>
      <c r="D1468" s="34"/>
      <c r="E1468" s="34"/>
      <c r="F1468" s="35"/>
      <c r="G1468" s="9"/>
      <c r="H1468" s="9"/>
      <c r="I1468" s="34"/>
      <c r="J1468" s="30" t="str">
        <f aca="false">IF(F1468="","",G1468-B1468)</f>
        <v/>
      </c>
      <c r="K1468" s="31" t="str">
        <f aca="false">IF(F1468="","",IF(H1468&lt;&gt;"",H1468,MAX('Vade Sapması'!$D$3,G1468)))</f>
        <v/>
      </c>
      <c r="L1468" s="30" t="str">
        <f aca="false">IF(F1468="","",K1468-B1468)</f>
        <v/>
      </c>
      <c r="M1468" s="30" t="str">
        <f aca="false">IF(F1468="","",L1468-J1468)</f>
        <v/>
      </c>
      <c r="N1468" s="32" t="str">
        <f aca="false">IF(F1468="","",IF(H1468&lt;&gt;"","Kapandı",IF('Vade Sapması'!$D$3&gt;G1468,"Açık · vadesi geçti","Açık · vadesi gelmedi")))</f>
        <v/>
      </c>
      <c r="O1468" s="30" t="str">
        <f aca="false">IF(F1468="","",IF(AND(H1468="",'Vade Sapması'!$D$3&gt;G1468),'Vade Sapması'!$D$3-G1468,0))</f>
        <v/>
      </c>
      <c r="P1468" s="33" t="str">
        <f aca="false">IF(F1468="","",F1468*J1468)</f>
        <v/>
      </c>
      <c r="Q1468" s="33" t="str">
        <f aca="false">IF(F1468="","",F1468*L1468)</f>
        <v/>
      </c>
      <c r="R1468" s="33" t="str">
        <f aca="false">IF(F1468="","",IF(H1468="",F1468,0))</f>
        <v/>
      </c>
      <c r="S1468" s="32" t="str">
        <f aca="false">IF(F1468="","",IF(N(O1468)=0,"",IF(O1468&lt;=30,"1-30",IF(O1468&lt;=60,"31-60",IF(O1468&lt;=90,"61-90","90+")))))</f>
        <v/>
      </c>
      <c r="T1468" s="32" t="str">
        <f aca="false">IF(F1468="","",IF(E1468="","Diğer",E1468))</f>
        <v/>
      </c>
      <c r="U1468" s="32" t="str">
        <f aca="false">IF(OR(F1468="",C1468=""),"",IF(COUNTIF($C$2:C1468,C1468)=1,MAX($U$1:U1467)+1,""))</f>
        <v/>
      </c>
    </row>
    <row r="1469" customFormat="false" ht="15" hidden="false" customHeight="false" outlineLevel="0" collapsed="false">
      <c r="A1469" s="34"/>
      <c r="B1469" s="9"/>
      <c r="C1469" s="34"/>
      <c r="D1469" s="34"/>
      <c r="E1469" s="34"/>
      <c r="F1469" s="35"/>
      <c r="G1469" s="9"/>
      <c r="H1469" s="9"/>
      <c r="I1469" s="34"/>
      <c r="J1469" s="30" t="str">
        <f aca="false">IF(F1469="","",G1469-B1469)</f>
        <v/>
      </c>
      <c r="K1469" s="31" t="str">
        <f aca="false">IF(F1469="","",IF(H1469&lt;&gt;"",H1469,MAX('Vade Sapması'!$D$3,G1469)))</f>
        <v/>
      </c>
      <c r="L1469" s="30" t="str">
        <f aca="false">IF(F1469="","",K1469-B1469)</f>
        <v/>
      </c>
      <c r="M1469" s="30" t="str">
        <f aca="false">IF(F1469="","",L1469-J1469)</f>
        <v/>
      </c>
      <c r="N1469" s="32" t="str">
        <f aca="false">IF(F1469="","",IF(H1469&lt;&gt;"","Kapandı",IF('Vade Sapması'!$D$3&gt;G1469,"Açık · vadesi geçti","Açık · vadesi gelmedi")))</f>
        <v/>
      </c>
      <c r="O1469" s="30" t="str">
        <f aca="false">IF(F1469="","",IF(AND(H1469="",'Vade Sapması'!$D$3&gt;G1469),'Vade Sapması'!$D$3-G1469,0))</f>
        <v/>
      </c>
      <c r="P1469" s="33" t="str">
        <f aca="false">IF(F1469="","",F1469*J1469)</f>
        <v/>
      </c>
      <c r="Q1469" s="33" t="str">
        <f aca="false">IF(F1469="","",F1469*L1469)</f>
        <v/>
      </c>
      <c r="R1469" s="33" t="str">
        <f aca="false">IF(F1469="","",IF(H1469="",F1469,0))</f>
        <v/>
      </c>
      <c r="S1469" s="32" t="str">
        <f aca="false">IF(F1469="","",IF(N(O1469)=0,"",IF(O1469&lt;=30,"1-30",IF(O1469&lt;=60,"31-60",IF(O1469&lt;=90,"61-90","90+")))))</f>
        <v/>
      </c>
      <c r="T1469" s="32" t="str">
        <f aca="false">IF(F1469="","",IF(E1469="","Diğer",E1469))</f>
        <v/>
      </c>
      <c r="U1469" s="32" t="str">
        <f aca="false">IF(OR(F1469="",C1469=""),"",IF(COUNTIF($C$2:C1469,C1469)=1,MAX($U$1:U1468)+1,""))</f>
        <v/>
      </c>
    </row>
    <row r="1470" customFormat="false" ht="15" hidden="false" customHeight="false" outlineLevel="0" collapsed="false">
      <c r="A1470" s="34"/>
      <c r="B1470" s="9"/>
      <c r="C1470" s="34"/>
      <c r="D1470" s="34"/>
      <c r="E1470" s="34"/>
      <c r="F1470" s="35"/>
      <c r="G1470" s="9"/>
      <c r="H1470" s="9"/>
      <c r="I1470" s="34"/>
      <c r="J1470" s="30" t="str">
        <f aca="false">IF(F1470="","",G1470-B1470)</f>
        <v/>
      </c>
      <c r="K1470" s="31" t="str">
        <f aca="false">IF(F1470="","",IF(H1470&lt;&gt;"",H1470,MAX('Vade Sapması'!$D$3,G1470)))</f>
        <v/>
      </c>
      <c r="L1470" s="30" t="str">
        <f aca="false">IF(F1470="","",K1470-B1470)</f>
        <v/>
      </c>
      <c r="M1470" s="30" t="str">
        <f aca="false">IF(F1470="","",L1470-J1470)</f>
        <v/>
      </c>
      <c r="N1470" s="32" t="str">
        <f aca="false">IF(F1470="","",IF(H1470&lt;&gt;"","Kapandı",IF('Vade Sapması'!$D$3&gt;G1470,"Açık · vadesi geçti","Açık · vadesi gelmedi")))</f>
        <v/>
      </c>
      <c r="O1470" s="30" t="str">
        <f aca="false">IF(F1470="","",IF(AND(H1470="",'Vade Sapması'!$D$3&gt;G1470),'Vade Sapması'!$D$3-G1470,0))</f>
        <v/>
      </c>
      <c r="P1470" s="33" t="str">
        <f aca="false">IF(F1470="","",F1470*J1470)</f>
        <v/>
      </c>
      <c r="Q1470" s="33" t="str">
        <f aca="false">IF(F1470="","",F1470*L1470)</f>
        <v/>
      </c>
      <c r="R1470" s="33" t="str">
        <f aca="false">IF(F1470="","",IF(H1470="",F1470,0))</f>
        <v/>
      </c>
      <c r="S1470" s="32" t="str">
        <f aca="false">IF(F1470="","",IF(N(O1470)=0,"",IF(O1470&lt;=30,"1-30",IF(O1470&lt;=60,"31-60",IF(O1470&lt;=90,"61-90","90+")))))</f>
        <v/>
      </c>
      <c r="T1470" s="32" t="str">
        <f aca="false">IF(F1470="","",IF(E1470="","Diğer",E1470))</f>
        <v/>
      </c>
      <c r="U1470" s="32" t="str">
        <f aca="false">IF(OR(F1470="",C1470=""),"",IF(COUNTIF($C$2:C1470,C1470)=1,MAX($U$1:U1469)+1,""))</f>
        <v/>
      </c>
    </row>
    <row r="1471" customFormat="false" ht="15" hidden="false" customHeight="false" outlineLevel="0" collapsed="false">
      <c r="A1471" s="34"/>
      <c r="B1471" s="9"/>
      <c r="C1471" s="34"/>
      <c r="D1471" s="34"/>
      <c r="E1471" s="34"/>
      <c r="F1471" s="35"/>
      <c r="G1471" s="9"/>
      <c r="H1471" s="9"/>
      <c r="I1471" s="34"/>
      <c r="J1471" s="30" t="str">
        <f aca="false">IF(F1471="","",G1471-B1471)</f>
        <v/>
      </c>
      <c r="K1471" s="31" t="str">
        <f aca="false">IF(F1471="","",IF(H1471&lt;&gt;"",H1471,MAX('Vade Sapması'!$D$3,G1471)))</f>
        <v/>
      </c>
      <c r="L1471" s="30" t="str">
        <f aca="false">IF(F1471="","",K1471-B1471)</f>
        <v/>
      </c>
      <c r="M1471" s="30" t="str">
        <f aca="false">IF(F1471="","",L1471-J1471)</f>
        <v/>
      </c>
      <c r="N1471" s="32" t="str">
        <f aca="false">IF(F1471="","",IF(H1471&lt;&gt;"","Kapandı",IF('Vade Sapması'!$D$3&gt;G1471,"Açık · vadesi geçti","Açık · vadesi gelmedi")))</f>
        <v/>
      </c>
      <c r="O1471" s="30" t="str">
        <f aca="false">IF(F1471="","",IF(AND(H1471="",'Vade Sapması'!$D$3&gt;G1471),'Vade Sapması'!$D$3-G1471,0))</f>
        <v/>
      </c>
      <c r="P1471" s="33" t="str">
        <f aca="false">IF(F1471="","",F1471*J1471)</f>
        <v/>
      </c>
      <c r="Q1471" s="33" t="str">
        <f aca="false">IF(F1471="","",F1471*L1471)</f>
        <v/>
      </c>
      <c r="R1471" s="33" t="str">
        <f aca="false">IF(F1471="","",IF(H1471="",F1471,0))</f>
        <v/>
      </c>
      <c r="S1471" s="32" t="str">
        <f aca="false">IF(F1471="","",IF(N(O1471)=0,"",IF(O1471&lt;=30,"1-30",IF(O1471&lt;=60,"31-60",IF(O1471&lt;=90,"61-90","90+")))))</f>
        <v/>
      </c>
      <c r="T1471" s="32" t="str">
        <f aca="false">IF(F1471="","",IF(E1471="","Diğer",E1471))</f>
        <v/>
      </c>
      <c r="U1471" s="32" t="str">
        <f aca="false">IF(OR(F1471="",C1471=""),"",IF(COUNTIF($C$2:C1471,C1471)=1,MAX($U$1:U1470)+1,""))</f>
        <v/>
      </c>
    </row>
    <row r="1472" customFormat="false" ht="15" hidden="false" customHeight="false" outlineLevel="0" collapsed="false">
      <c r="A1472" s="34"/>
      <c r="B1472" s="9"/>
      <c r="C1472" s="34"/>
      <c r="D1472" s="34"/>
      <c r="E1472" s="34"/>
      <c r="F1472" s="35"/>
      <c r="G1472" s="9"/>
      <c r="H1472" s="9"/>
      <c r="I1472" s="34"/>
      <c r="J1472" s="30" t="str">
        <f aca="false">IF(F1472="","",G1472-B1472)</f>
        <v/>
      </c>
      <c r="K1472" s="31" t="str">
        <f aca="false">IF(F1472="","",IF(H1472&lt;&gt;"",H1472,MAX('Vade Sapması'!$D$3,G1472)))</f>
        <v/>
      </c>
      <c r="L1472" s="30" t="str">
        <f aca="false">IF(F1472="","",K1472-B1472)</f>
        <v/>
      </c>
      <c r="M1472" s="30" t="str">
        <f aca="false">IF(F1472="","",L1472-J1472)</f>
        <v/>
      </c>
      <c r="N1472" s="32" t="str">
        <f aca="false">IF(F1472="","",IF(H1472&lt;&gt;"","Kapandı",IF('Vade Sapması'!$D$3&gt;G1472,"Açık · vadesi geçti","Açık · vadesi gelmedi")))</f>
        <v/>
      </c>
      <c r="O1472" s="30" t="str">
        <f aca="false">IF(F1472="","",IF(AND(H1472="",'Vade Sapması'!$D$3&gt;G1472),'Vade Sapması'!$D$3-G1472,0))</f>
        <v/>
      </c>
      <c r="P1472" s="33" t="str">
        <f aca="false">IF(F1472="","",F1472*J1472)</f>
        <v/>
      </c>
      <c r="Q1472" s="33" t="str">
        <f aca="false">IF(F1472="","",F1472*L1472)</f>
        <v/>
      </c>
      <c r="R1472" s="33" t="str">
        <f aca="false">IF(F1472="","",IF(H1472="",F1472,0))</f>
        <v/>
      </c>
      <c r="S1472" s="32" t="str">
        <f aca="false">IF(F1472="","",IF(N(O1472)=0,"",IF(O1472&lt;=30,"1-30",IF(O1472&lt;=60,"31-60",IF(O1472&lt;=90,"61-90","90+")))))</f>
        <v/>
      </c>
      <c r="T1472" s="32" t="str">
        <f aca="false">IF(F1472="","",IF(E1472="","Diğer",E1472))</f>
        <v/>
      </c>
      <c r="U1472" s="32" t="str">
        <f aca="false">IF(OR(F1472="",C1472=""),"",IF(COUNTIF($C$2:C1472,C1472)=1,MAX($U$1:U1471)+1,""))</f>
        <v/>
      </c>
    </row>
    <row r="1473" customFormat="false" ht="15" hidden="false" customHeight="false" outlineLevel="0" collapsed="false">
      <c r="A1473" s="34"/>
      <c r="B1473" s="9"/>
      <c r="C1473" s="34"/>
      <c r="D1473" s="34"/>
      <c r="E1473" s="34"/>
      <c r="F1473" s="35"/>
      <c r="G1473" s="9"/>
      <c r="H1473" s="9"/>
      <c r="I1473" s="34"/>
      <c r="J1473" s="30" t="str">
        <f aca="false">IF(F1473="","",G1473-B1473)</f>
        <v/>
      </c>
      <c r="K1473" s="31" t="str">
        <f aca="false">IF(F1473="","",IF(H1473&lt;&gt;"",H1473,MAX('Vade Sapması'!$D$3,G1473)))</f>
        <v/>
      </c>
      <c r="L1473" s="30" t="str">
        <f aca="false">IF(F1473="","",K1473-B1473)</f>
        <v/>
      </c>
      <c r="M1473" s="30" t="str">
        <f aca="false">IF(F1473="","",L1473-J1473)</f>
        <v/>
      </c>
      <c r="N1473" s="32" t="str">
        <f aca="false">IF(F1473="","",IF(H1473&lt;&gt;"","Kapandı",IF('Vade Sapması'!$D$3&gt;G1473,"Açık · vadesi geçti","Açık · vadesi gelmedi")))</f>
        <v/>
      </c>
      <c r="O1473" s="30" t="str">
        <f aca="false">IF(F1473="","",IF(AND(H1473="",'Vade Sapması'!$D$3&gt;G1473),'Vade Sapması'!$D$3-G1473,0))</f>
        <v/>
      </c>
      <c r="P1473" s="33" t="str">
        <f aca="false">IF(F1473="","",F1473*J1473)</f>
        <v/>
      </c>
      <c r="Q1473" s="33" t="str">
        <f aca="false">IF(F1473="","",F1473*L1473)</f>
        <v/>
      </c>
      <c r="R1473" s="33" t="str">
        <f aca="false">IF(F1473="","",IF(H1473="",F1473,0))</f>
        <v/>
      </c>
      <c r="S1473" s="32" t="str">
        <f aca="false">IF(F1473="","",IF(N(O1473)=0,"",IF(O1473&lt;=30,"1-30",IF(O1473&lt;=60,"31-60",IF(O1473&lt;=90,"61-90","90+")))))</f>
        <v/>
      </c>
      <c r="T1473" s="32" t="str">
        <f aca="false">IF(F1473="","",IF(E1473="","Diğer",E1473))</f>
        <v/>
      </c>
      <c r="U1473" s="32" t="str">
        <f aca="false">IF(OR(F1473="",C1473=""),"",IF(COUNTIF($C$2:C1473,C1473)=1,MAX($U$1:U1472)+1,""))</f>
        <v/>
      </c>
    </row>
    <row r="1474" customFormat="false" ht="15" hidden="false" customHeight="false" outlineLevel="0" collapsed="false">
      <c r="A1474" s="34"/>
      <c r="B1474" s="9"/>
      <c r="C1474" s="34"/>
      <c r="D1474" s="34"/>
      <c r="E1474" s="34"/>
      <c r="F1474" s="35"/>
      <c r="G1474" s="9"/>
      <c r="H1474" s="9"/>
      <c r="I1474" s="34"/>
      <c r="J1474" s="30" t="str">
        <f aca="false">IF(F1474="","",G1474-B1474)</f>
        <v/>
      </c>
      <c r="K1474" s="31" t="str">
        <f aca="false">IF(F1474="","",IF(H1474&lt;&gt;"",H1474,MAX('Vade Sapması'!$D$3,G1474)))</f>
        <v/>
      </c>
      <c r="L1474" s="30" t="str">
        <f aca="false">IF(F1474="","",K1474-B1474)</f>
        <v/>
      </c>
      <c r="M1474" s="30" t="str">
        <f aca="false">IF(F1474="","",L1474-J1474)</f>
        <v/>
      </c>
      <c r="N1474" s="32" t="str">
        <f aca="false">IF(F1474="","",IF(H1474&lt;&gt;"","Kapandı",IF('Vade Sapması'!$D$3&gt;G1474,"Açık · vadesi geçti","Açık · vadesi gelmedi")))</f>
        <v/>
      </c>
      <c r="O1474" s="30" t="str">
        <f aca="false">IF(F1474="","",IF(AND(H1474="",'Vade Sapması'!$D$3&gt;G1474),'Vade Sapması'!$D$3-G1474,0))</f>
        <v/>
      </c>
      <c r="P1474" s="33" t="str">
        <f aca="false">IF(F1474="","",F1474*J1474)</f>
        <v/>
      </c>
      <c r="Q1474" s="33" t="str">
        <f aca="false">IF(F1474="","",F1474*L1474)</f>
        <v/>
      </c>
      <c r="R1474" s="33" t="str">
        <f aca="false">IF(F1474="","",IF(H1474="",F1474,0))</f>
        <v/>
      </c>
      <c r="S1474" s="32" t="str">
        <f aca="false">IF(F1474="","",IF(N(O1474)=0,"",IF(O1474&lt;=30,"1-30",IF(O1474&lt;=60,"31-60",IF(O1474&lt;=90,"61-90","90+")))))</f>
        <v/>
      </c>
      <c r="T1474" s="32" t="str">
        <f aca="false">IF(F1474="","",IF(E1474="","Diğer",E1474))</f>
        <v/>
      </c>
      <c r="U1474" s="32" t="str">
        <f aca="false">IF(OR(F1474="",C1474=""),"",IF(COUNTIF($C$2:C1474,C1474)=1,MAX($U$1:U1473)+1,""))</f>
        <v/>
      </c>
    </row>
    <row r="1475" customFormat="false" ht="15" hidden="false" customHeight="false" outlineLevel="0" collapsed="false">
      <c r="A1475" s="34"/>
      <c r="B1475" s="9"/>
      <c r="C1475" s="34"/>
      <c r="D1475" s="34"/>
      <c r="E1475" s="34"/>
      <c r="F1475" s="35"/>
      <c r="G1475" s="9"/>
      <c r="H1475" s="9"/>
      <c r="I1475" s="34"/>
      <c r="J1475" s="30" t="str">
        <f aca="false">IF(F1475="","",G1475-B1475)</f>
        <v/>
      </c>
      <c r="K1475" s="31" t="str">
        <f aca="false">IF(F1475="","",IF(H1475&lt;&gt;"",H1475,MAX('Vade Sapması'!$D$3,G1475)))</f>
        <v/>
      </c>
      <c r="L1475" s="30" t="str">
        <f aca="false">IF(F1475="","",K1475-B1475)</f>
        <v/>
      </c>
      <c r="M1475" s="30" t="str">
        <f aca="false">IF(F1475="","",L1475-J1475)</f>
        <v/>
      </c>
      <c r="N1475" s="32" t="str">
        <f aca="false">IF(F1475="","",IF(H1475&lt;&gt;"","Kapandı",IF('Vade Sapması'!$D$3&gt;G1475,"Açık · vadesi geçti","Açık · vadesi gelmedi")))</f>
        <v/>
      </c>
      <c r="O1475" s="30" t="str">
        <f aca="false">IF(F1475="","",IF(AND(H1475="",'Vade Sapması'!$D$3&gt;G1475),'Vade Sapması'!$D$3-G1475,0))</f>
        <v/>
      </c>
      <c r="P1475" s="33" t="str">
        <f aca="false">IF(F1475="","",F1475*J1475)</f>
        <v/>
      </c>
      <c r="Q1475" s="33" t="str">
        <f aca="false">IF(F1475="","",F1475*L1475)</f>
        <v/>
      </c>
      <c r="R1475" s="33" t="str">
        <f aca="false">IF(F1475="","",IF(H1475="",F1475,0))</f>
        <v/>
      </c>
      <c r="S1475" s="32" t="str">
        <f aca="false">IF(F1475="","",IF(N(O1475)=0,"",IF(O1475&lt;=30,"1-30",IF(O1475&lt;=60,"31-60",IF(O1475&lt;=90,"61-90","90+")))))</f>
        <v/>
      </c>
      <c r="T1475" s="32" t="str">
        <f aca="false">IF(F1475="","",IF(E1475="","Diğer",E1475))</f>
        <v/>
      </c>
      <c r="U1475" s="32" t="str">
        <f aca="false">IF(OR(F1475="",C1475=""),"",IF(COUNTIF($C$2:C1475,C1475)=1,MAX($U$1:U1474)+1,""))</f>
        <v/>
      </c>
    </row>
    <row r="1476" customFormat="false" ht="15" hidden="false" customHeight="false" outlineLevel="0" collapsed="false">
      <c r="A1476" s="34"/>
      <c r="B1476" s="9"/>
      <c r="C1476" s="34"/>
      <c r="D1476" s="34"/>
      <c r="E1476" s="34"/>
      <c r="F1476" s="35"/>
      <c r="G1476" s="9"/>
      <c r="H1476" s="9"/>
      <c r="I1476" s="34"/>
      <c r="J1476" s="30" t="str">
        <f aca="false">IF(F1476="","",G1476-B1476)</f>
        <v/>
      </c>
      <c r="K1476" s="31" t="str">
        <f aca="false">IF(F1476="","",IF(H1476&lt;&gt;"",H1476,MAX('Vade Sapması'!$D$3,G1476)))</f>
        <v/>
      </c>
      <c r="L1476" s="30" t="str">
        <f aca="false">IF(F1476="","",K1476-B1476)</f>
        <v/>
      </c>
      <c r="M1476" s="30" t="str">
        <f aca="false">IF(F1476="","",L1476-J1476)</f>
        <v/>
      </c>
      <c r="N1476" s="32" t="str">
        <f aca="false">IF(F1476="","",IF(H1476&lt;&gt;"","Kapandı",IF('Vade Sapması'!$D$3&gt;G1476,"Açık · vadesi geçti","Açık · vadesi gelmedi")))</f>
        <v/>
      </c>
      <c r="O1476" s="30" t="str">
        <f aca="false">IF(F1476="","",IF(AND(H1476="",'Vade Sapması'!$D$3&gt;G1476),'Vade Sapması'!$D$3-G1476,0))</f>
        <v/>
      </c>
      <c r="P1476" s="33" t="str">
        <f aca="false">IF(F1476="","",F1476*J1476)</f>
        <v/>
      </c>
      <c r="Q1476" s="33" t="str">
        <f aca="false">IF(F1476="","",F1476*L1476)</f>
        <v/>
      </c>
      <c r="R1476" s="33" t="str">
        <f aca="false">IF(F1476="","",IF(H1476="",F1476,0))</f>
        <v/>
      </c>
      <c r="S1476" s="32" t="str">
        <f aca="false">IF(F1476="","",IF(N(O1476)=0,"",IF(O1476&lt;=30,"1-30",IF(O1476&lt;=60,"31-60",IF(O1476&lt;=90,"61-90","90+")))))</f>
        <v/>
      </c>
      <c r="T1476" s="32" t="str">
        <f aca="false">IF(F1476="","",IF(E1476="","Diğer",E1476))</f>
        <v/>
      </c>
      <c r="U1476" s="32" t="str">
        <f aca="false">IF(OR(F1476="",C1476=""),"",IF(COUNTIF($C$2:C1476,C1476)=1,MAX($U$1:U1475)+1,""))</f>
        <v/>
      </c>
    </row>
    <row r="1477" customFormat="false" ht="15" hidden="false" customHeight="false" outlineLevel="0" collapsed="false">
      <c r="A1477" s="34"/>
      <c r="B1477" s="9"/>
      <c r="C1477" s="34"/>
      <c r="D1477" s="34"/>
      <c r="E1477" s="34"/>
      <c r="F1477" s="35"/>
      <c r="G1477" s="9"/>
      <c r="H1477" s="9"/>
      <c r="I1477" s="34"/>
      <c r="J1477" s="30" t="str">
        <f aca="false">IF(F1477="","",G1477-B1477)</f>
        <v/>
      </c>
      <c r="K1477" s="31" t="str">
        <f aca="false">IF(F1477="","",IF(H1477&lt;&gt;"",H1477,MAX('Vade Sapması'!$D$3,G1477)))</f>
        <v/>
      </c>
      <c r="L1477" s="30" t="str">
        <f aca="false">IF(F1477="","",K1477-B1477)</f>
        <v/>
      </c>
      <c r="M1477" s="30" t="str">
        <f aca="false">IF(F1477="","",L1477-J1477)</f>
        <v/>
      </c>
      <c r="N1477" s="32" t="str">
        <f aca="false">IF(F1477="","",IF(H1477&lt;&gt;"","Kapandı",IF('Vade Sapması'!$D$3&gt;G1477,"Açık · vadesi geçti","Açık · vadesi gelmedi")))</f>
        <v/>
      </c>
      <c r="O1477" s="30" t="str">
        <f aca="false">IF(F1477="","",IF(AND(H1477="",'Vade Sapması'!$D$3&gt;G1477),'Vade Sapması'!$D$3-G1477,0))</f>
        <v/>
      </c>
      <c r="P1477" s="33" t="str">
        <f aca="false">IF(F1477="","",F1477*J1477)</f>
        <v/>
      </c>
      <c r="Q1477" s="33" t="str">
        <f aca="false">IF(F1477="","",F1477*L1477)</f>
        <v/>
      </c>
      <c r="R1477" s="33" t="str">
        <f aca="false">IF(F1477="","",IF(H1477="",F1477,0))</f>
        <v/>
      </c>
      <c r="S1477" s="32" t="str">
        <f aca="false">IF(F1477="","",IF(N(O1477)=0,"",IF(O1477&lt;=30,"1-30",IF(O1477&lt;=60,"31-60",IF(O1477&lt;=90,"61-90","90+")))))</f>
        <v/>
      </c>
      <c r="T1477" s="32" t="str">
        <f aca="false">IF(F1477="","",IF(E1477="","Diğer",E1477))</f>
        <v/>
      </c>
      <c r="U1477" s="32" t="str">
        <f aca="false">IF(OR(F1477="",C1477=""),"",IF(COUNTIF($C$2:C1477,C1477)=1,MAX($U$1:U1476)+1,""))</f>
        <v/>
      </c>
    </row>
    <row r="1478" customFormat="false" ht="15" hidden="false" customHeight="false" outlineLevel="0" collapsed="false">
      <c r="A1478" s="34"/>
      <c r="B1478" s="9"/>
      <c r="C1478" s="34"/>
      <c r="D1478" s="34"/>
      <c r="E1478" s="34"/>
      <c r="F1478" s="35"/>
      <c r="G1478" s="9"/>
      <c r="H1478" s="9"/>
      <c r="I1478" s="34"/>
      <c r="J1478" s="30" t="str">
        <f aca="false">IF(F1478="","",G1478-B1478)</f>
        <v/>
      </c>
      <c r="K1478" s="31" t="str">
        <f aca="false">IF(F1478="","",IF(H1478&lt;&gt;"",H1478,MAX('Vade Sapması'!$D$3,G1478)))</f>
        <v/>
      </c>
      <c r="L1478" s="30" t="str">
        <f aca="false">IF(F1478="","",K1478-B1478)</f>
        <v/>
      </c>
      <c r="M1478" s="30" t="str">
        <f aca="false">IF(F1478="","",L1478-J1478)</f>
        <v/>
      </c>
      <c r="N1478" s="32" t="str">
        <f aca="false">IF(F1478="","",IF(H1478&lt;&gt;"","Kapandı",IF('Vade Sapması'!$D$3&gt;G1478,"Açık · vadesi geçti","Açık · vadesi gelmedi")))</f>
        <v/>
      </c>
      <c r="O1478" s="30" t="str">
        <f aca="false">IF(F1478="","",IF(AND(H1478="",'Vade Sapması'!$D$3&gt;G1478),'Vade Sapması'!$D$3-G1478,0))</f>
        <v/>
      </c>
      <c r="P1478" s="33" t="str">
        <f aca="false">IF(F1478="","",F1478*J1478)</f>
        <v/>
      </c>
      <c r="Q1478" s="33" t="str">
        <f aca="false">IF(F1478="","",F1478*L1478)</f>
        <v/>
      </c>
      <c r="R1478" s="33" t="str">
        <f aca="false">IF(F1478="","",IF(H1478="",F1478,0))</f>
        <v/>
      </c>
      <c r="S1478" s="32" t="str">
        <f aca="false">IF(F1478="","",IF(N(O1478)=0,"",IF(O1478&lt;=30,"1-30",IF(O1478&lt;=60,"31-60",IF(O1478&lt;=90,"61-90","90+")))))</f>
        <v/>
      </c>
      <c r="T1478" s="32" t="str">
        <f aca="false">IF(F1478="","",IF(E1478="","Diğer",E1478))</f>
        <v/>
      </c>
      <c r="U1478" s="32" t="str">
        <f aca="false">IF(OR(F1478="",C1478=""),"",IF(COUNTIF($C$2:C1478,C1478)=1,MAX($U$1:U1477)+1,""))</f>
        <v/>
      </c>
    </row>
    <row r="1479" customFormat="false" ht="15" hidden="false" customHeight="false" outlineLevel="0" collapsed="false">
      <c r="A1479" s="34"/>
      <c r="B1479" s="9"/>
      <c r="C1479" s="34"/>
      <c r="D1479" s="34"/>
      <c r="E1479" s="34"/>
      <c r="F1479" s="35"/>
      <c r="G1479" s="9"/>
      <c r="H1479" s="9"/>
      <c r="I1479" s="34"/>
      <c r="J1479" s="30" t="str">
        <f aca="false">IF(F1479="","",G1479-B1479)</f>
        <v/>
      </c>
      <c r="K1479" s="31" t="str">
        <f aca="false">IF(F1479="","",IF(H1479&lt;&gt;"",H1479,MAX('Vade Sapması'!$D$3,G1479)))</f>
        <v/>
      </c>
      <c r="L1479" s="30" t="str">
        <f aca="false">IF(F1479="","",K1479-B1479)</f>
        <v/>
      </c>
      <c r="M1479" s="30" t="str">
        <f aca="false">IF(F1479="","",L1479-J1479)</f>
        <v/>
      </c>
      <c r="N1479" s="32" t="str">
        <f aca="false">IF(F1479="","",IF(H1479&lt;&gt;"","Kapandı",IF('Vade Sapması'!$D$3&gt;G1479,"Açık · vadesi geçti","Açık · vadesi gelmedi")))</f>
        <v/>
      </c>
      <c r="O1479" s="30" t="str">
        <f aca="false">IF(F1479="","",IF(AND(H1479="",'Vade Sapması'!$D$3&gt;G1479),'Vade Sapması'!$D$3-G1479,0))</f>
        <v/>
      </c>
      <c r="P1479" s="33" t="str">
        <f aca="false">IF(F1479="","",F1479*J1479)</f>
        <v/>
      </c>
      <c r="Q1479" s="33" t="str">
        <f aca="false">IF(F1479="","",F1479*L1479)</f>
        <v/>
      </c>
      <c r="R1479" s="33" t="str">
        <f aca="false">IF(F1479="","",IF(H1479="",F1479,0))</f>
        <v/>
      </c>
      <c r="S1479" s="32" t="str">
        <f aca="false">IF(F1479="","",IF(N(O1479)=0,"",IF(O1479&lt;=30,"1-30",IF(O1479&lt;=60,"31-60",IF(O1479&lt;=90,"61-90","90+")))))</f>
        <v/>
      </c>
      <c r="T1479" s="32" t="str">
        <f aca="false">IF(F1479="","",IF(E1479="","Diğer",E1479))</f>
        <v/>
      </c>
      <c r="U1479" s="32" t="str">
        <f aca="false">IF(OR(F1479="",C1479=""),"",IF(COUNTIF($C$2:C1479,C1479)=1,MAX($U$1:U1478)+1,""))</f>
        <v/>
      </c>
    </row>
    <row r="1480" customFormat="false" ht="15" hidden="false" customHeight="false" outlineLevel="0" collapsed="false">
      <c r="A1480" s="34"/>
      <c r="B1480" s="9"/>
      <c r="C1480" s="34"/>
      <c r="D1480" s="34"/>
      <c r="E1480" s="34"/>
      <c r="F1480" s="35"/>
      <c r="G1480" s="9"/>
      <c r="H1480" s="9"/>
      <c r="I1480" s="34"/>
      <c r="J1480" s="30" t="str">
        <f aca="false">IF(F1480="","",G1480-B1480)</f>
        <v/>
      </c>
      <c r="K1480" s="31" t="str">
        <f aca="false">IF(F1480="","",IF(H1480&lt;&gt;"",H1480,MAX('Vade Sapması'!$D$3,G1480)))</f>
        <v/>
      </c>
      <c r="L1480" s="30" t="str">
        <f aca="false">IF(F1480="","",K1480-B1480)</f>
        <v/>
      </c>
      <c r="M1480" s="30" t="str">
        <f aca="false">IF(F1480="","",L1480-J1480)</f>
        <v/>
      </c>
      <c r="N1480" s="32" t="str">
        <f aca="false">IF(F1480="","",IF(H1480&lt;&gt;"","Kapandı",IF('Vade Sapması'!$D$3&gt;G1480,"Açık · vadesi geçti","Açık · vadesi gelmedi")))</f>
        <v/>
      </c>
      <c r="O1480" s="30" t="str">
        <f aca="false">IF(F1480="","",IF(AND(H1480="",'Vade Sapması'!$D$3&gt;G1480),'Vade Sapması'!$D$3-G1480,0))</f>
        <v/>
      </c>
      <c r="P1480" s="33" t="str">
        <f aca="false">IF(F1480="","",F1480*J1480)</f>
        <v/>
      </c>
      <c r="Q1480" s="33" t="str">
        <f aca="false">IF(F1480="","",F1480*L1480)</f>
        <v/>
      </c>
      <c r="R1480" s="33" t="str">
        <f aca="false">IF(F1480="","",IF(H1480="",F1480,0))</f>
        <v/>
      </c>
      <c r="S1480" s="32" t="str">
        <f aca="false">IF(F1480="","",IF(N(O1480)=0,"",IF(O1480&lt;=30,"1-30",IF(O1480&lt;=60,"31-60",IF(O1480&lt;=90,"61-90","90+")))))</f>
        <v/>
      </c>
      <c r="T1480" s="32" t="str">
        <f aca="false">IF(F1480="","",IF(E1480="","Diğer",E1480))</f>
        <v/>
      </c>
      <c r="U1480" s="32" t="str">
        <f aca="false">IF(OR(F1480="",C1480=""),"",IF(COUNTIF($C$2:C1480,C1480)=1,MAX($U$1:U1479)+1,""))</f>
        <v/>
      </c>
    </row>
    <row r="1481" customFormat="false" ht="15" hidden="false" customHeight="false" outlineLevel="0" collapsed="false">
      <c r="A1481" s="34"/>
      <c r="B1481" s="9"/>
      <c r="C1481" s="34"/>
      <c r="D1481" s="34"/>
      <c r="E1481" s="34"/>
      <c r="F1481" s="35"/>
      <c r="G1481" s="9"/>
      <c r="H1481" s="9"/>
      <c r="I1481" s="34"/>
      <c r="J1481" s="30" t="str">
        <f aca="false">IF(F1481="","",G1481-B1481)</f>
        <v/>
      </c>
      <c r="K1481" s="31" t="str">
        <f aca="false">IF(F1481="","",IF(H1481&lt;&gt;"",H1481,MAX('Vade Sapması'!$D$3,G1481)))</f>
        <v/>
      </c>
      <c r="L1481" s="30" t="str">
        <f aca="false">IF(F1481="","",K1481-B1481)</f>
        <v/>
      </c>
      <c r="M1481" s="30" t="str">
        <f aca="false">IF(F1481="","",L1481-J1481)</f>
        <v/>
      </c>
      <c r="N1481" s="32" t="str">
        <f aca="false">IF(F1481="","",IF(H1481&lt;&gt;"","Kapandı",IF('Vade Sapması'!$D$3&gt;G1481,"Açık · vadesi geçti","Açık · vadesi gelmedi")))</f>
        <v/>
      </c>
      <c r="O1481" s="30" t="str">
        <f aca="false">IF(F1481="","",IF(AND(H1481="",'Vade Sapması'!$D$3&gt;G1481),'Vade Sapması'!$D$3-G1481,0))</f>
        <v/>
      </c>
      <c r="P1481" s="33" t="str">
        <f aca="false">IF(F1481="","",F1481*J1481)</f>
        <v/>
      </c>
      <c r="Q1481" s="33" t="str">
        <f aca="false">IF(F1481="","",F1481*L1481)</f>
        <v/>
      </c>
      <c r="R1481" s="33" t="str">
        <f aca="false">IF(F1481="","",IF(H1481="",F1481,0))</f>
        <v/>
      </c>
      <c r="S1481" s="32" t="str">
        <f aca="false">IF(F1481="","",IF(N(O1481)=0,"",IF(O1481&lt;=30,"1-30",IF(O1481&lt;=60,"31-60",IF(O1481&lt;=90,"61-90","90+")))))</f>
        <v/>
      </c>
      <c r="T1481" s="32" t="str">
        <f aca="false">IF(F1481="","",IF(E1481="","Diğer",E1481))</f>
        <v/>
      </c>
      <c r="U1481" s="32" t="str">
        <f aca="false">IF(OR(F1481="",C1481=""),"",IF(COUNTIF($C$2:C1481,C1481)=1,MAX($U$1:U1480)+1,""))</f>
        <v/>
      </c>
    </row>
    <row r="1482" customFormat="false" ht="15" hidden="false" customHeight="false" outlineLevel="0" collapsed="false">
      <c r="A1482" s="34"/>
      <c r="B1482" s="9"/>
      <c r="C1482" s="34"/>
      <c r="D1482" s="34"/>
      <c r="E1482" s="34"/>
      <c r="F1482" s="35"/>
      <c r="G1482" s="9"/>
      <c r="H1482" s="9"/>
      <c r="I1482" s="34"/>
      <c r="J1482" s="30" t="str">
        <f aca="false">IF(F1482="","",G1482-B1482)</f>
        <v/>
      </c>
      <c r="K1482" s="31" t="str">
        <f aca="false">IF(F1482="","",IF(H1482&lt;&gt;"",H1482,MAX('Vade Sapması'!$D$3,G1482)))</f>
        <v/>
      </c>
      <c r="L1482" s="30" t="str">
        <f aca="false">IF(F1482="","",K1482-B1482)</f>
        <v/>
      </c>
      <c r="M1482" s="30" t="str">
        <f aca="false">IF(F1482="","",L1482-J1482)</f>
        <v/>
      </c>
      <c r="N1482" s="32" t="str">
        <f aca="false">IF(F1482="","",IF(H1482&lt;&gt;"","Kapandı",IF('Vade Sapması'!$D$3&gt;G1482,"Açık · vadesi geçti","Açık · vadesi gelmedi")))</f>
        <v/>
      </c>
      <c r="O1482" s="30" t="str">
        <f aca="false">IF(F1482="","",IF(AND(H1482="",'Vade Sapması'!$D$3&gt;G1482),'Vade Sapması'!$D$3-G1482,0))</f>
        <v/>
      </c>
      <c r="P1482" s="33" t="str">
        <f aca="false">IF(F1482="","",F1482*J1482)</f>
        <v/>
      </c>
      <c r="Q1482" s="33" t="str">
        <f aca="false">IF(F1482="","",F1482*L1482)</f>
        <v/>
      </c>
      <c r="R1482" s="33" t="str">
        <f aca="false">IF(F1482="","",IF(H1482="",F1482,0))</f>
        <v/>
      </c>
      <c r="S1482" s="32" t="str">
        <f aca="false">IF(F1482="","",IF(N(O1482)=0,"",IF(O1482&lt;=30,"1-30",IF(O1482&lt;=60,"31-60",IF(O1482&lt;=90,"61-90","90+")))))</f>
        <v/>
      </c>
      <c r="T1482" s="32" t="str">
        <f aca="false">IF(F1482="","",IF(E1482="","Diğer",E1482))</f>
        <v/>
      </c>
      <c r="U1482" s="32" t="str">
        <f aca="false">IF(OR(F1482="",C1482=""),"",IF(COUNTIF($C$2:C1482,C1482)=1,MAX($U$1:U1481)+1,""))</f>
        <v/>
      </c>
    </row>
    <row r="1483" customFormat="false" ht="15" hidden="false" customHeight="false" outlineLevel="0" collapsed="false">
      <c r="A1483" s="34"/>
      <c r="B1483" s="9"/>
      <c r="C1483" s="34"/>
      <c r="D1483" s="34"/>
      <c r="E1483" s="34"/>
      <c r="F1483" s="35"/>
      <c r="G1483" s="9"/>
      <c r="H1483" s="9"/>
      <c r="I1483" s="34"/>
      <c r="J1483" s="30" t="str">
        <f aca="false">IF(F1483="","",G1483-B1483)</f>
        <v/>
      </c>
      <c r="K1483" s="31" t="str">
        <f aca="false">IF(F1483="","",IF(H1483&lt;&gt;"",H1483,MAX('Vade Sapması'!$D$3,G1483)))</f>
        <v/>
      </c>
      <c r="L1483" s="30" t="str">
        <f aca="false">IF(F1483="","",K1483-B1483)</f>
        <v/>
      </c>
      <c r="M1483" s="30" t="str">
        <f aca="false">IF(F1483="","",L1483-J1483)</f>
        <v/>
      </c>
      <c r="N1483" s="32" t="str">
        <f aca="false">IF(F1483="","",IF(H1483&lt;&gt;"","Kapandı",IF('Vade Sapması'!$D$3&gt;G1483,"Açık · vadesi geçti","Açık · vadesi gelmedi")))</f>
        <v/>
      </c>
      <c r="O1483" s="30" t="str">
        <f aca="false">IF(F1483="","",IF(AND(H1483="",'Vade Sapması'!$D$3&gt;G1483),'Vade Sapması'!$D$3-G1483,0))</f>
        <v/>
      </c>
      <c r="P1483" s="33" t="str">
        <f aca="false">IF(F1483="","",F1483*J1483)</f>
        <v/>
      </c>
      <c r="Q1483" s="33" t="str">
        <f aca="false">IF(F1483="","",F1483*L1483)</f>
        <v/>
      </c>
      <c r="R1483" s="33" t="str">
        <f aca="false">IF(F1483="","",IF(H1483="",F1483,0))</f>
        <v/>
      </c>
      <c r="S1483" s="32" t="str">
        <f aca="false">IF(F1483="","",IF(N(O1483)=0,"",IF(O1483&lt;=30,"1-30",IF(O1483&lt;=60,"31-60",IF(O1483&lt;=90,"61-90","90+")))))</f>
        <v/>
      </c>
      <c r="T1483" s="32" t="str">
        <f aca="false">IF(F1483="","",IF(E1483="","Diğer",E1483))</f>
        <v/>
      </c>
      <c r="U1483" s="32" t="str">
        <f aca="false">IF(OR(F1483="",C1483=""),"",IF(COUNTIF($C$2:C1483,C1483)=1,MAX($U$1:U1482)+1,""))</f>
        <v/>
      </c>
    </row>
    <row r="1484" customFormat="false" ht="15" hidden="false" customHeight="false" outlineLevel="0" collapsed="false">
      <c r="A1484" s="34"/>
      <c r="B1484" s="9"/>
      <c r="C1484" s="34"/>
      <c r="D1484" s="34"/>
      <c r="E1484" s="34"/>
      <c r="F1484" s="35"/>
      <c r="G1484" s="9"/>
      <c r="H1484" s="9"/>
      <c r="I1484" s="34"/>
      <c r="J1484" s="30" t="str">
        <f aca="false">IF(F1484="","",G1484-B1484)</f>
        <v/>
      </c>
      <c r="K1484" s="31" t="str">
        <f aca="false">IF(F1484="","",IF(H1484&lt;&gt;"",H1484,MAX('Vade Sapması'!$D$3,G1484)))</f>
        <v/>
      </c>
      <c r="L1484" s="30" t="str">
        <f aca="false">IF(F1484="","",K1484-B1484)</f>
        <v/>
      </c>
      <c r="M1484" s="30" t="str">
        <f aca="false">IF(F1484="","",L1484-J1484)</f>
        <v/>
      </c>
      <c r="N1484" s="32" t="str">
        <f aca="false">IF(F1484="","",IF(H1484&lt;&gt;"","Kapandı",IF('Vade Sapması'!$D$3&gt;G1484,"Açık · vadesi geçti","Açık · vadesi gelmedi")))</f>
        <v/>
      </c>
      <c r="O1484" s="30" t="str">
        <f aca="false">IF(F1484="","",IF(AND(H1484="",'Vade Sapması'!$D$3&gt;G1484),'Vade Sapması'!$D$3-G1484,0))</f>
        <v/>
      </c>
      <c r="P1484" s="33" t="str">
        <f aca="false">IF(F1484="","",F1484*J1484)</f>
        <v/>
      </c>
      <c r="Q1484" s="33" t="str">
        <f aca="false">IF(F1484="","",F1484*L1484)</f>
        <v/>
      </c>
      <c r="R1484" s="33" t="str">
        <f aca="false">IF(F1484="","",IF(H1484="",F1484,0))</f>
        <v/>
      </c>
      <c r="S1484" s="32" t="str">
        <f aca="false">IF(F1484="","",IF(N(O1484)=0,"",IF(O1484&lt;=30,"1-30",IF(O1484&lt;=60,"31-60",IF(O1484&lt;=90,"61-90","90+")))))</f>
        <v/>
      </c>
      <c r="T1484" s="32" t="str">
        <f aca="false">IF(F1484="","",IF(E1484="","Diğer",E1484))</f>
        <v/>
      </c>
      <c r="U1484" s="32" t="str">
        <f aca="false">IF(OR(F1484="",C1484=""),"",IF(COUNTIF($C$2:C1484,C1484)=1,MAX($U$1:U1483)+1,""))</f>
        <v/>
      </c>
    </row>
    <row r="1485" customFormat="false" ht="15" hidden="false" customHeight="false" outlineLevel="0" collapsed="false">
      <c r="A1485" s="34"/>
      <c r="B1485" s="9"/>
      <c r="C1485" s="34"/>
      <c r="D1485" s="34"/>
      <c r="E1485" s="34"/>
      <c r="F1485" s="35"/>
      <c r="G1485" s="9"/>
      <c r="H1485" s="9"/>
      <c r="I1485" s="34"/>
      <c r="J1485" s="30" t="str">
        <f aca="false">IF(F1485="","",G1485-B1485)</f>
        <v/>
      </c>
      <c r="K1485" s="31" t="str">
        <f aca="false">IF(F1485="","",IF(H1485&lt;&gt;"",H1485,MAX('Vade Sapması'!$D$3,G1485)))</f>
        <v/>
      </c>
      <c r="L1485" s="30" t="str">
        <f aca="false">IF(F1485="","",K1485-B1485)</f>
        <v/>
      </c>
      <c r="M1485" s="30" t="str">
        <f aca="false">IF(F1485="","",L1485-J1485)</f>
        <v/>
      </c>
      <c r="N1485" s="32" t="str">
        <f aca="false">IF(F1485="","",IF(H1485&lt;&gt;"","Kapandı",IF('Vade Sapması'!$D$3&gt;G1485,"Açık · vadesi geçti","Açık · vadesi gelmedi")))</f>
        <v/>
      </c>
      <c r="O1485" s="30" t="str">
        <f aca="false">IF(F1485="","",IF(AND(H1485="",'Vade Sapması'!$D$3&gt;G1485),'Vade Sapması'!$D$3-G1485,0))</f>
        <v/>
      </c>
      <c r="P1485" s="33" t="str">
        <f aca="false">IF(F1485="","",F1485*J1485)</f>
        <v/>
      </c>
      <c r="Q1485" s="33" t="str">
        <f aca="false">IF(F1485="","",F1485*L1485)</f>
        <v/>
      </c>
      <c r="R1485" s="33" t="str">
        <f aca="false">IF(F1485="","",IF(H1485="",F1485,0))</f>
        <v/>
      </c>
      <c r="S1485" s="32" t="str">
        <f aca="false">IF(F1485="","",IF(N(O1485)=0,"",IF(O1485&lt;=30,"1-30",IF(O1485&lt;=60,"31-60",IF(O1485&lt;=90,"61-90","90+")))))</f>
        <v/>
      </c>
      <c r="T1485" s="32" t="str">
        <f aca="false">IF(F1485="","",IF(E1485="","Diğer",E1485))</f>
        <v/>
      </c>
      <c r="U1485" s="32" t="str">
        <f aca="false">IF(OR(F1485="",C1485=""),"",IF(COUNTIF($C$2:C1485,C1485)=1,MAX($U$1:U1484)+1,""))</f>
        <v/>
      </c>
    </row>
    <row r="1486" customFormat="false" ht="15" hidden="false" customHeight="false" outlineLevel="0" collapsed="false">
      <c r="A1486" s="34"/>
      <c r="B1486" s="9"/>
      <c r="C1486" s="34"/>
      <c r="D1486" s="34"/>
      <c r="E1486" s="34"/>
      <c r="F1486" s="35"/>
      <c r="G1486" s="9"/>
      <c r="H1486" s="9"/>
      <c r="I1486" s="34"/>
      <c r="J1486" s="30" t="str">
        <f aca="false">IF(F1486="","",G1486-B1486)</f>
        <v/>
      </c>
      <c r="K1486" s="31" t="str">
        <f aca="false">IF(F1486="","",IF(H1486&lt;&gt;"",H1486,MAX('Vade Sapması'!$D$3,G1486)))</f>
        <v/>
      </c>
      <c r="L1486" s="30" t="str">
        <f aca="false">IF(F1486="","",K1486-B1486)</f>
        <v/>
      </c>
      <c r="M1486" s="30" t="str">
        <f aca="false">IF(F1486="","",L1486-J1486)</f>
        <v/>
      </c>
      <c r="N1486" s="32" t="str">
        <f aca="false">IF(F1486="","",IF(H1486&lt;&gt;"","Kapandı",IF('Vade Sapması'!$D$3&gt;G1486,"Açık · vadesi geçti","Açık · vadesi gelmedi")))</f>
        <v/>
      </c>
      <c r="O1486" s="30" t="str">
        <f aca="false">IF(F1486="","",IF(AND(H1486="",'Vade Sapması'!$D$3&gt;G1486),'Vade Sapması'!$D$3-G1486,0))</f>
        <v/>
      </c>
      <c r="P1486" s="33" t="str">
        <f aca="false">IF(F1486="","",F1486*J1486)</f>
        <v/>
      </c>
      <c r="Q1486" s="33" t="str">
        <f aca="false">IF(F1486="","",F1486*L1486)</f>
        <v/>
      </c>
      <c r="R1486" s="33" t="str">
        <f aca="false">IF(F1486="","",IF(H1486="",F1486,0))</f>
        <v/>
      </c>
      <c r="S1486" s="32" t="str">
        <f aca="false">IF(F1486="","",IF(N(O1486)=0,"",IF(O1486&lt;=30,"1-30",IF(O1486&lt;=60,"31-60",IF(O1486&lt;=90,"61-90","90+")))))</f>
        <v/>
      </c>
      <c r="T1486" s="32" t="str">
        <f aca="false">IF(F1486="","",IF(E1486="","Diğer",E1486))</f>
        <v/>
      </c>
      <c r="U1486" s="32" t="str">
        <f aca="false">IF(OR(F1486="",C1486=""),"",IF(COUNTIF($C$2:C1486,C1486)=1,MAX($U$1:U1485)+1,""))</f>
        <v/>
      </c>
    </row>
    <row r="1487" customFormat="false" ht="15" hidden="false" customHeight="false" outlineLevel="0" collapsed="false">
      <c r="A1487" s="34"/>
      <c r="B1487" s="9"/>
      <c r="C1487" s="34"/>
      <c r="D1487" s="34"/>
      <c r="E1487" s="34"/>
      <c r="F1487" s="35"/>
      <c r="G1487" s="9"/>
      <c r="H1487" s="9"/>
      <c r="I1487" s="34"/>
      <c r="J1487" s="30" t="str">
        <f aca="false">IF(F1487="","",G1487-B1487)</f>
        <v/>
      </c>
      <c r="K1487" s="31" t="str">
        <f aca="false">IF(F1487="","",IF(H1487&lt;&gt;"",H1487,MAX('Vade Sapması'!$D$3,G1487)))</f>
        <v/>
      </c>
      <c r="L1487" s="30" t="str">
        <f aca="false">IF(F1487="","",K1487-B1487)</f>
        <v/>
      </c>
      <c r="M1487" s="30" t="str">
        <f aca="false">IF(F1487="","",L1487-J1487)</f>
        <v/>
      </c>
      <c r="N1487" s="32" t="str">
        <f aca="false">IF(F1487="","",IF(H1487&lt;&gt;"","Kapandı",IF('Vade Sapması'!$D$3&gt;G1487,"Açık · vadesi geçti","Açık · vadesi gelmedi")))</f>
        <v/>
      </c>
      <c r="O1487" s="30" t="str">
        <f aca="false">IF(F1487="","",IF(AND(H1487="",'Vade Sapması'!$D$3&gt;G1487),'Vade Sapması'!$D$3-G1487,0))</f>
        <v/>
      </c>
      <c r="P1487" s="33" t="str">
        <f aca="false">IF(F1487="","",F1487*J1487)</f>
        <v/>
      </c>
      <c r="Q1487" s="33" t="str">
        <f aca="false">IF(F1487="","",F1487*L1487)</f>
        <v/>
      </c>
      <c r="R1487" s="33" t="str">
        <f aca="false">IF(F1487="","",IF(H1487="",F1487,0))</f>
        <v/>
      </c>
      <c r="S1487" s="32" t="str">
        <f aca="false">IF(F1487="","",IF(N(O1487)=0,"",IF(O1487&lt;=30,"1-30",IF(O1487&lt;=60,"31-60",IF(O1487&lt;=90,"61-90","90+")))))</f>
        <v/>
      </c>
      <c r="T1487" s="32" t="str">
        <f aca="false">IF(F1487="","",IF(E1487="","Diğer",E1487))</f>
        <v/>
      </c>
      <c r="U1487" s="32" t="str">
        <f aca="false">IF(OR(F1487="",C1487=""),"",IF(COUNTIF($C$2:C1487,C1487)=1,MAX($U$1:U1486)+1,""))</f>
        <v/>
      </c>
    </row>
    <row r="1488" customFormat="false" ht="15" hidden="false" customHeight="false" outlineLevel="0" collapsed="false">
      <c r="A1488" s="34"/>
      <c r="B1488" s="9"/>
      <c r="C1488" s="34"/>
      <c r="D1488" s="34"/>
      <c r="E1488" s="34"/>
      <c r="F1488" s="35"/>
      <c r="G1488" s="9"/>
      <c r="H1488" s="9"/>
      <c r="I1488" s="34"/>
      <c r="J1488" s="30" t="str">
        <f aca="false">IF(F1488="","",G1488-B1488)</f>
        <v/>
      </c>
      <c r="K1488" s="31" t="str">
        <f aca="false">IF(F1488="","",IF(H1488&lt;&gt;"",H1488,MAX('Vade Sapması'!$D$3,G1488)))</f>
        <v/>
      </c>
      <c r="L1488" s="30" t="str">
        <f aca="false">IF(F1488="","",K1488-B1488)</f>
        <v/>
      </c>
      <c r="M1488" s="30" t="str">
        <f aca="false">IF(F1488="","",L1488-J1488)</f>
        <v/>
      </c>
      <c r="N1488" s="32" t="str">
        <f aca="false">IF(F1488="","",IF(H1488&lt;&gt;"","Kapandı",IF('Vade Sapması'!$D$3&gt;G1488,"Açık · vadesi geçti","Açık · vadesi gelmedi")))</f>
        <v/>
      </c>
      <c r="O1488" s="30" t="str">
        <f aca="false">IF(F1488="","",IF(AND(H1488="",'Vade Sapması'!$D$3&gt;G1488),'Vade Sapması'!$D$3-G1488,0))</f>
        <v/>
      </c>
      <c r="P1488" s="33" t="str">
        <f aca="false">IF(F1488="","",F1488*J1488)</f>
        <v/>
      </c>
      <c r="Q1488" s="33" t="str">
        <f aca="false">IF(F1488="","",F1488*L1488)</f>
        <v/>
      </c>
      <c r="R1488" s="33" t="str">
        <f aca="false">IF(F1488="","",IF(H1488="",F1488,0))</f>
        <v/>
      </c>
      <c r="S1488" s="32" t="str">
        <f aca="false">IF(F1488="","",IF(N(O1488)=0,"",IF(O1488&lt;=30,"1-30",IF(O1488&lt;=60,"31-60",IF(O1488&lt;=90,"61-90","90+")))))</f>
        <v/>
      </c>
      <c r="T1488" s="32" t="str">
        <f aca="false">IF(F1488="","",IF(E1488="","Diğer",E1488))</f>
        <v/>
      </c>
      <c r="U1488" s="32" t="str">
        <f aca="false">IF(OR(F1488="",C1488=""),"",IF(COUNTIF($C$2:C1488,C1488)=1,MAX($U$1:U1487)+1,""))</f>
        <v/>
      </c>
    </row>
    <row r="1489" customFormat="false" ht="15" hidden="false" customHeight="false" outlineLevel="0" collapsed="false">
      <c r="A1489" s="34"/>
      <c r="B1489" s="9"/>
      <c r="C1489" s="34"/>
      <c r="D1489" s="34"/>
      <c r="E1489" s="34"/>
      <c r="F1489" s="35"/>
      <c r="G1489" s="9"/>
      <c r="H1489" s="9"/>
      <c r="I1489" s="34"/>
      <c r="J1489" s="30" t="str">
        <f aca="false">IF(F1489="","",G1489-B1489)</f>
        <v/>
      </c>
      <c r="K1489" s="31" t="str">
        <f aca="false">IF(F1489="","",IF(H1489&lt;&gt;"",H1489,MAX('Vade Sapması'!$D$3,G1489)))</f>
        <v/>
      </c>
      <c r="L1489" s="30" t="str">
        <f aca="false">IF(F1489="","",K1489-B1489)</f>
        <v/>
      </c>
      <c r="M1489" s="30" t="str">
        <f aca="false">IF(F1489="","",L1489-J1489)</f>
        <v/>
      </c>
      <c r="N1489" s="32" t="str">
        <f aca="false">IF(F1489="","",IF(H1489&lt;&gt;"","Kapandı",IF('Vade Sapması'!$D$3&gt;G1489,"Açık · vadesi geçti","Açık · vadesi gelmedi")))</f>
        <v/>
      </c>
      <c r="O1489" s="30" t="str">
        <f aca="false">IF(F1489="","",IF(AND(H1489="",'Vade Sapması'!$D$3&gt;G1489),'Vade Sapması'!$D$3-G1489,0))</f>
        <v/>
      </c>
      <c r="P1489" s="33" t="str">
        <f aca="false">IF(F1489="","",F1489*J1489)</f>
        <v/>
      </c>
      <c r="Q1489" s="33" t="str">
        <f aca="false">IF(F1489="","",F1489*L1489)</f>
        <v/>
      </c>
      <c r="R1489" s="33" t="str">
        <f aca="false">IF(F1489="","",IF(H1489="",F1489,0))</f>
        <v/>
      </c>
      <c r="S1489" s="32" t="str">
        <f aca="false">IF(F1489="","",IF(N(O1489)=0,"",IF(O1489&lt;=30,"1-30",IF(O1489&lt;=60,"31-60",IF(O1489&lt;=90,"61-90","90+")))))</f>
        <v/>
      </c>
      <c r="T1489" s="32" t="str">
        <f aca="false">IF(F1489="","",IF(E1489="","Diğer",E1489))</f>
        <v/>
      </c>
      <c r="U1489" s="32" t="str">
        <f aca="false">IF(OR(F1489="",C1489=""),"",IF(COUNTIF($C$2:C1489,C1489)=1,MAX($U$1:U1488)+1,""))</f>
        <v/>
      </c>
    </row>
    <row r="1490" customFormat="false" ht="15" hidden="false" customHeight="false" outlineLevel="0" collapsed="false">
      <c r="A1490" s="34"/>
      <c r="B1490" s="9"/>
      <c r="C1490" s="34"/>
      <c r="D1490" s="34"/>
      <c r="E1490" s="34"/>
      <c r="F1490" s="35"/>
      <c r="G1490" s="9"/>
      <c r="H1490" s="9"/>
      <c r="I1490" s="34"/>
      <c r="J1490" s="30" t="str">
        <f aca="false">IF(F1490="","",G1490-B1490)</f>
        <v/>
      </c>
      <c r="K1490" s="31" t="str">
        <f aca="false">IF(F1490="","",IF(H1490&lt;&gt;"",H1490,MAX('Vade Sapması'!$D$3,G1490)))</f>
        <v/>
      </c>
      <c r="L1490" s="30" t="str">
        <f aca="false">IF(F1490="","",K1490-B1490)</f>
        <v/>
      </c>
      <c r="M1490" s="30" t="str">
        <f aca="false">IF(F1490="","",L1490-J1490)</f>
        <v/>
      </c>
      <c r="N1490" s="32" t="str">
        <f aca="false">IF(F1490="","",IF(H1490&lt;&gt;"","Kapandı",IF('Vade Sapması'!$D$3&gt;G1490,"Açık · vadesi geçti","Açık · vadesi gelmedi")))</f>
        <v/>
      </c>
      <c r="O1490" s="30" t="str">
        <f aca="false">IF(F1490="","",IF(AND(H1490="",'Vade Sapması'!$D$3&gt;G1490),'Vade Sapması'!$D$3-G1490,0))</f>
        <v/>
      </c>
      <c r="P1490" s="33" t="str">
        <f aca="false">IF(F1490="","",F1490*J1490)</f>
        <v/>
      </c>
      <c r="Q1490" s="33" t="str">
        <f aca="false">IF(F1490="","",F1490*L1490)</f>
        <v/>
      </c>
      <c r="R1490" s="33" t="str">
        <f aca="false">IF(F1490="","",IF(H1490="",F1490,0))</f>
        <v/>
      </c>
      <c r="S1490" s="32" t="str">
        <f aca="false">IF(F1490="","",IF(N(O1490)=0,"",IF(O1490&lt;=30,"1-30",IF(O1490&lt;=60,"31-60",IF(O1490&lt;=90,"61-90","90+")))))</f>
        <v/>
      </c>
      <c r="T1490" s="32" t="str">
        <f aca="false">IF(F1490="","",IF(E1490="","Diğer",E1490))</f>
        <v/>
      </c>
      <c r="U1490" s="32" t="str">
        <f aca="false">IF(OR(F1490="",C1490=""),"",IF(COUNTIF($C$2:C1490,C1490)=1,MAX($U$1:U1489)+1,""))</f>
        <v/>
      </c>
    </row>
    <row r="1491" customFormat="false" ht="15" hidden="false" customHeight="false" outlineLevel="0" collapsed="false">
      <c r="A1491" s="34"/>
      <c r="B1491" s="9"/>
      <c r="C1491" s="34"/>
      <c r="D1491" s="34"/>
      <c r="E1491" s="34"/>
      <c r="F1491" s="35"/>
      <c r="G1491" s="9"/>
      <c r="H1491" s="9"/>
      <c r="I1491" s="34"/>
      <c r="J1491" s="30" t="str">
        <f aca="false">IF(F1491="","",G1491-B1491)</f>
        <v/>
      </c>
      <c r="K1491" s="31" t="str">
        <f aca="false">IF(F1491="","",IF(H1491&lt;&gt;"",H1491,MAX('Vade Sapması'!$D$3,G1491)))</f>
        <v/>
      </c>
      <c r="L1491" s="30" t="str">
        <f aca="false">IF(F1491="","",K1491-B1491)</f>
        <v/>
      </c>
      <c r="M1491" s="30" t="str">
        <f aca="false">IF(F1491="","",L1491-J1491)</f>
        <v/>
      </c>
      <c r="N1491" s="32" t="str">
        <f aca="false">IF(F1491="","",IF(H1491&lt;&gt;"","Kapandı",IF('Vade Sapması'!$D$3&gt;G1491,"Açık · vadesi geçti","Açık · vadesi gelmedi")))</f>
        <v/>
      </c>
      <c r="O1491" s="30" t="str">
        <f aca="false">IF(F1491="","",IF(AND(H1491="",'Vade Sapması'!$D$3&gt;G1491),'Vade Sapması'!$D$3-G1491,0))</f>
        <v/>
      </c>
      <c r="P1491" s="33" t="str">
        <f aca="false">IF(F1491="","",F1491*J1491)</f>
        <v/>
      </c>
      <c r="Q1491" s="33" t="str">
        <f aca="false">IF(F1491="","",F1491*L1491)</f>
        <v/>
      </c>
      <c r="R1491" s="33" t="str">
        <f aca="false">IF(F1491="","",IF(H1491="",F1491,0))</f>
        <v/>
      </c>
      <c r="S1491" s="32" t="str">
        <f aca="false">IF(F1491="","",IF(N(O1491)=0,"",IF(O1491&lt;=30,"1-30",IF(O1491&lt;=60,"31-60",IF(O1491&lt;=90,"61-90","90+")))))</f>
        <v/>
      </c>
      <c r="T1491" s="32" t="str">
        <f aca="false">IF(F1491="","",IF(E1491="","Diğer",E1491))</f>
        <v/>
      </c>
      <c r="U1491" s="32" t="str">
        <f aca="false">IF(OR(F1491="",C1491=""),"",IF(COUNTIF($C$2:C1491,C1491)=1,MAX($U$1:U1490)+1,""))</f>
        <v/>
      </c>
    </row>
    <row r="1492" customFormat="false" ht="15" hidden="false" customHeight="false" outlineLevel="0" collapsed="false">
      <c r="A1492" s="34"/>
      <c r="B1492" s="9"/>
      <c r="C1492" s="34"/>
      <c r="D1492" s="34"/>
      <c r="E1492" s="34"/>
      <c r="F1492" s="35"/>
      <c r="G1492" s="9"/>
      <c r="H1492" s="9"/>
      <c r="I1492" s="34"/>
      <c r="J1492" s="30" t="str">
        <f aca="false">IF(F1492="","",G1492-B1492)</f>
        <v/>
      </c>
      <c r="K1492" s="31" t="str">
        <f aca="false">IF(F1492="","",IF(H1492&lt;&gt;"",H1492,MAX('Vade Sapması'!$D$3,G1492)))</f>
        <v/>
      </c>
      <c r="L1492" s="30" t="str">
        <f aca="false">IF(F1492="","",K1492-B1492)</f>
        <v/>
      </c>
      <c r="M1492" s="30" t="str">
        <f aca="false">IF(F1492="","",L1492-J1492)</f>
        <v/>
      </c>
      <c r="N1492" s="32" t="str">
        <f aca="false">IF(F1492="","",IF(H1492&lt;&gt;"","Kapandı",IF('Vade Sapması'!$D$3&gt;G1492,"Açık · vadesi geçti","Açık · vadesi gelmedi")))</f>
        <v/>
      </c>
      <c r="O1492" s="30" t="str">
        <f aca="false">IF(F1492="","",IF(AND(H1492="",'Vade Sapması'!$D$3&gt;G1492),'Vade Sapması'!$D$3-G1492,0))</f>
        <v/>
      </c>
      <c r="P1492" s="33" t="str">
        <f aca="false">IF(F1492="","",F1492*J1492)</f>
        <v/>
      </c>
      <c r="Q1492" s="33" t="str">
        <f aca="false">IF(F1492="","",F1492*L1492)</f>
        <v/>
      </c>
      <c r="R1492" s="33" t="str">
        <f aca="false">IF(F1492="","",IF(H1492="",F1492,0))</f>
        <v/>
      </c>
      <c r="S1492" s="32" t="str">
        <f aca="false">IF(F1492="","",IF(N(O1492)=0,"",IF(O1492&lt;=30,"1-30",IF(O1492&lt;=60,"31-60",IF(O1492&lt;=90,"61-90","90+")))))</f>
        <v/>
      </c>
      <c r="T1492" s="32" t="str">
        <f aca="false">IF(F1492="","",IF(E1492="","Diğer",E1492))</f>
        <v/>
      </c>
      <c r="U1492" s="32" t="str">
        <f aca="false">IF(OR(F1492="",C1492=""),"",IF(COUNTIF($C$2:C1492,C1492)=1,MAX($U$1:U1491)+1,""))</f>
        <v/>
      </c>
    </row>
    <row r="1493" customFormat="false" ht="15" hidden="false" customHeight="false" outlineLevel="0" collapsed="false">
      <c r="A1493" s="34"/>
      <c r="B1493" s="9"/>
      <c r="C1493" s="34"/>
      <c r="D1493" s="34"/>
      <c r="E1493" s="34"/>
      <c r="F1493" s="35"/>
      <c r="G1493" s="9"/>
      <c r="H1493" s="9"/>
      <c r="I1493" s="34"/>
      <c r="J1493" s="30" t="str">
        <f aca="false">IF(F1493="","",G1493-B1493)</f>
        <v/>
      </c>
      <c r="K1493" s="31" t="str">
        <f aca="false">IF(F1493="","",IF(H1493&lt;&gt;"",H1493,MAX('Vade Sapması'!$D$3,G1493)))</f>
        <v/>
      </c>
      <c r="L1493" s="30" t="str">
        <f aca="false">IF(F1493="","",K1493-B1493)</f>
        <v/>
      </c>
      <c r="M1493" s="30" t="str">
        <f aca="false">IF(F1493="","",L1493-J1493)</f>
        <v/>
      </c>
      <c r="N1493" s="32" t="str">
        <f aca="false">IF(F1493="","",IF(H1493&lt;&gt;"","Kapandı",IF('Vade Sapması'!$D$3&gt;G1493,"Açık · vadesi geçti","Açık · vadesi gelmedi")))</f>
        <v/>
      </c>
      <c r="O1493" s="30" t="str">
        <f aca="false">IF(F1493="","",IF(AND(H1493="",'Vade Sapması'!$D$3&gt;G1493),'Vade Sapması'!$D$3-G1493,0))</f>
        <v/>
      </c>
      <c r="P1493" s="33" t="str">
        <f aca="false">IF(F1493="","",F1493*J1493)</f>
        <v/>
      </c>
      <c r="Q1493" s="33" t="str">
        <f aca="false">IF(F1493="","",F1493*L1493)</f>
        <v/>
      </c>
      <c r="R1493" s="33" t="str">
        <f aca="false">IF(F1493="","",IF(H1493="",F1493,0))</f>
        <v/>
      </c>
      <c r="S1493" s="32" t="str">
        <f aca="false">IF(F1493="","",IF(N(O1493)=0,"",IF(O1493&lt;=30,"1-30",IF(O1493&lt;=60,"31-60",IF(O1493&lt;=90,"61-90","90+")))))</f>
        <v/>
      </c>
      <c r="T1493" s="32" t="str">
        <f aca="false">IF(F1493="","",IF(E1493="","Diğer",E1493))</f>
        <v/>
      </c>
      <c r="U1493" s="32" t="str">
        <f aca="false">IF(OR(F1493="",C1493=""),"",IF(COUNTIF($C$2:C1493,C1493)=1,MAX($U$1:U1492)+1,""))</f>
        <v/>
      </c>
    </row>
    <row r="1494" customFormat="false" ht="15" hidden="false" customHeight="false" outlineLevel="0" collapsed="false">
      <c r="A1494" s="34"/>
      <c r="B1494" s="9"/>
      <c r="C1494" s="34"/>
      <c r="D1494" s="34"/>
      <c r="E1494" s="34"/>
      <c r="F1494" s="35"/>
      <c r="G1494" s="9"/>
      <c r="H1494" s="9"/>
      <c r="I1494" s="34"/>
      <c r="J1494" s="30" t="str">
        <f aca="false">IF(F1494="","",G1494-B1494)</f>
        <v/>
      </c>
      <c r="K1494" s="31" t="str">
        <f aca="false">IF(F1494="","",IF(H1494&lt;&gt;"",H1494,MAX('Vade Sapması'!$D$3,G1494)))</f>
        <v/>
      </c>
      <c r="L1494" s="30" t="str">
        <f aca="false">IF(F1494="","",K1494-B1494)</f>
        <v/>
      </c>
      <c r="M1494" s="30" t="str">
        <f aca="false">IF(F1494="","",L1494-J1494)</f>
        <v/>
      </c>
      <c r="N1494" s="32" t="str">
        <f aca="false">IF(F1494="","",IF(H1494&lt;&gt;"","Kapandı",IF('Vade Sapması'!$D$3&gt;G1494,"Açık · vadesi geçti","Açık · vadesi gelmedi")))</f>
        <v/>
      </c>
      <c r="O1494" s="30" t="str">
        <f aca="false">IF(F1494="","",IF(AND(H1494="",'Vade Sapması'!$D$3&gt;G1494),'Vade Sapması'!$D$3-G1494,0))</f>
        <v/>
      </c>
      <c r="P1494" s="33" t="str">
        <f aca="false">IF(F1494="","",F1494*J1494)</f>
        <v/>
      </c>
      <c r="Q1494" s="33" t="str">
        <f aca="false">IF(F1494="","",F1494*L1494)</f>
        <v/>
      </c>
      <c r="R1494" s="33" t="str">
        <f aca="false">IF(F1494="","",IF(H1494="",F1494,0))</f>
        <v/>
      </c>
      <c r="S1494" s="32" t="str">
        <f aca="false">IF(F1494="","",IF(N(O1494)=0,"",IF(O1494&lt;=30,"1-30",IF(O1494&lt;=60,"31-60",IF(O1494&lt;=90,"61-90","90+")))))</f>
        <v/>
      </c>
      <c r="T1494" s="32" t="str">
        <f aca="false">IF(F1494="","",IF(E1494="","Diğer",E1494))</f>
        <v/>
      </c>
      <c r="U1494" s="32" t="str">
        <f aca="false">IF(OR(F1494="",C1494=""),"",IF(COUNTIF($C$2:C1494,C1494)=1,MAX($U$1:U1493)+1,""))</f>
        <v/>
      </c>
    </row>
    <row r="1495" customFormat="false" ht="15" hidden="false" customHeight="false" outlineLevel="0" collapsed="false">
      <c r="A1495" s="34"/>
      <c r="B1495" s="9"/>
      <c r="C1495" s="34"/>
      <c r="D1495" s="34"/>
      <c r="E1495" s="34"/>
      <c r="F1495" s="35"/>
      <c r="G1495" s="9"/>
      <c r="H1495" s="9"/>
      <c r="I1495" s="34"/>
      <c r="J1495" s="30" t="str">
        <f aca="false">IF(F1495="","",G1495-B1495)</f>
        <v/>
      </c>
      <c r="K1495" s="31" t="str">
        <f aca="false">IF(F1495="","",IF(H1495&lt;&gt;"",H1495,MAX('Vade Sapması'!$D$3,G1495)))</f>
        <v/>
      </c>
      <c r="L1495" s="30" t="str">
        <f aca="false">IF(F1495="","",K1495-B1495)</f>
        <v/>
      </c>
      <c r="M1495" s="30" t="str">
        <f aca="false">IF(F1495="","",L1495-J1495)</f>
        <v/>
      </c>
      <c r="N1495" s="32" t="str">
        <f aca="false">IF(F1495="","",IF(H1495&lt;&gt;"","Kapandı",IF('Vade Sapması'!$D$3&gt;G1495,"Açık · vadesi geçti","Açık · vadesi gelmedi")))</f>
        <v/>
      </c>
      <c r="O1495" s="30" t="str">
        <f aca="false">IF(F1495="","",IF(AND(H1495="",'Vade Sapması'!$D$3&gt;G1495),'Vade Sapması'!$D$3-G1495,0))</f>
        <v/>
      </c>
      <c r="P1495" s="33" t="str">
        <f aca="false">IF(F1495="","",F1495*J1495)</f>
        <v/>
      </c>
      <c r="Q1495" s="33" t="str">
        <f aca="false">IF(F1495="","",F1495*L1495)</f>
        <v/>
      </c>
      <c r="R1495" s="33" t="str">
        <f aca="false">IF(F1495="","",IF(H1495="",F1495,0))</f>
        <v/>
      </c>
      <c r="S1495" s="32" t="str">
        <f aca="false">IF(F1495="","",IF(N(O1495)=0,"",IF(O1495&lt;=30,"1-30",IF(O1495&lt;=60,"31-60",IF(O1495&lt;=90,"61-90","90+")))))</f>
        <v/>
      </c>
      <c r="T1495" s="32" t="str">
        <f aca="false">IF(F1495="","",IF(E1495="","Diğer",E1495))</f>
        <v/>
      </c>
      <c r="U1495" s="32" t="str">
        <f aca="false">IF(OR(F1495="",C1495=""),"",IF(COUNTIF($C$2:C1495,C1495)=1,MAX($U$1:U1494)+1,""))</f>
        <v/>
      </c>
    </row>
    <row r="1496" customFormat="false" ht="15" hidden="false" customHeight="false" outlineLevel="0" collapsed="false">
      <c r="A1496" s="34"/>
      <c r="B1496" s="9"/>
      <c r="C1496" s="34"/>
      <c r="D1496" s="34"/>
      <c r="E1496" s="34"/>
      <c r="F1496" s="35"/>
      <c r="G1496" s="9"/>
      <c r="H1496" s="9"/>
      <c r="I1496" s="34"/>
      <c r="J1496" s="30" t="str">
        <f aca="false">IF(F1496="","",G1496-B1496)</f>
        <v/>
      </c>
      <c r="K1496" s="31" t="str">
        <f aca="false">IF(F1496="","",IF(H1496&lt;&gt;"",H1496,MAX('Vade Sapması'!$D$3,G1496)))</f>
        <v/>
      </c>
      <c r="L1496" s="30" t="str">
        <f aca="false">IF(F1496="","",K1496-B1496)</f>
        <v/>
      </c>
      <c r="M1496" s="30" t="str">
        <f aca="false">IF(F1496="","",L1496-J1496)</f>
        <v/>
      </c>
      <c r="N1496" s="32" t="str">
        <f aca="false">IF(F1496="","",IF(H1496&lt;&gt;"","Kapandı",IF('Vade Sapması'!$D$3&gt;G1496,"Açık · vadesi geçti","Açık · vadesi gelmedi")))</f>
        <v/>
      </c>
      <c r="O1496" s="30" t="str">
        <f aca="false">IF(F1496="","",IF(AND(H1496="",'Vade Sapması'!$D$3&gt;G1496),'Vade Sapması'!$D$3-G1496,0))</f>
        <v/>
      </c>
      <c r="P1496" s="33" t="str">
        <f aca="false">IF(F1496="","",F1496*J1496)</f>
        <v/>
      </c>
      <c r="Q1496" s="33" t="str">
        <f aca="false">IF(F1496="","",F1496*L1496)</f>
        <v/>
      </c>
      <c r="R1496" s="33" t="str">
        <f aca="false">IF(F1496="","",IF(H1496="",F1496,0))</f>
        <v/>
      </c>
      <c r="S1496" s="32" t="str">
        <f aca="false">IF(F1496="","",IF(N(O1496)=0,"",IF(O1496&lt;=30,"1-30",IF(O1496&lt;=60,"31-60",IF(O1496&lt;=90,"61-90","90+")))))</f>
        <v/>
      </c>
      <c r="T1496" s="32" t="str">
        <f aca="false">IF(F1496="","",IF(E1496="","Diğer",E1496))</f>
        <v/>
      </c>
      <c r="U1496" s="32" t="str">
        <f aca="false">IF(OR(F1496="",C1496=""),"",IF(COUNTIF($C$2:C1496,C1496)=1,MAX($U$1:U1495)+1,""))</f>
        <v/>
      </c>
    </row>
    <row r="1497" customFormat="false" ht="15" hidden="false" customHeight="false" outlineLevel="0" collapsed="false">
      <c r="A1497" s="34"/>
      <c r="B1497" s="9"/>
      <c r="C1497" s="34"/>
      <c r="D1497" s="34"/>
      <c r="E1497" s="34"/>
      <c r="F1497" s="35"/>
      <c r="G1497" s="9"/>
      <c r="H1497" s="9"/>
      <c r="I1497" s="34"/>
      <c r="J1497" s="30" t="str">
        <f aca="false">IF(F1497="","",G1497-B1497)</f>
        <v/>
      </c>
      <c r="K1497" s="31" t="str">
        <f aca="false">IF(F1497="","",IF(H1497&lt;&gt;"",H1497,MAX('Vade Sapması'!$D$3,G1497)))</f>
        <v/>
      </c>
      <c r="L1497" s="30" t="str">
        <f aca="false">IF(F1497="","",K1497-B1497)</f>
        <v/>
      </c>
      <c r="M1497" s="30" t="str">
        <f aca="false">IF(F1497="","",L1497-J1497)</f>
        <v/>
      </c>
      <c r="N1497" s="32" t="str">
        <f aca="false">IF(F1497="","",IF(H1497&lt;&gt;"","Kapandı",IF('Vade Sapması'!$D$3&gt;G1497,"Açık · vadesi geçti","Açık · vadesi gelmedi")))</f>
        <v/>
      </c>
      <c r="O1497" s="30" t="str">
        <f aca="false">IF(F1497="","",IF(AND(H1497="",'Vade Sapması'!$D$3&gt;G1497),'Vade Sapması'!$D$3-G1497,0))</f>
        <v/>
      </c>
      <c r="P1497" s="33" t="str">
        <f aca="false">IF(F1497="","",F1497*J1497)</f>
        <v/>
      </c>
      <c r="Q1497" s="33" t="str">
        <f aca="false">IF(F1497="","",F1497*L1497)</f>
        <v/>
      </c>
      <c r="R1497" s="33" t="str">
        <f aca="false">IF(F1497="","",IF(H1497="",F1497,0))</f>
        <v/>
      </c>
      <c r="S1497" s="32" t="str">
        <f aca="false">IF(F1497="","",IF(N(O1497)=0,"",IF(O1497&lt;=30,"1-30",IF(O1497&lt;=60,"31-60",IF(O1497&lt;=90,"61-90","90+")))))</f>
        <v/>
      </c>
      <c r="T1497" s="32" t="str">
        <f aca="false">IF(F1497="","",IF(E1497="","Diğer",E1497))</f>
        <v/>
      </c>
      <c r="U1497" s="32" t="str">
        <f aca="false">IF(OR(F1497="",C1497=""),"",IF(COUNTIF($C$2:C1497,C1497)=1,MAX($U$1:U1496)+1,""))</f>
        <v/>
      </c>
    </row>
    <row r="1498" customFormat="false" ht="15" hidden="false" customHeight="false" outlineLevel="0" collapsed="false">
      <c r="A1498" s="34"/>
      <c r="B1498" s="9"/>
      <c r="C1498" s="34"/>
      <c r="D1498" s="34"/>
      <c r="E1498" s="34"/>
      <c r="F1498" s="35"/>
      <c r="G1498" s="9"/>
      <c r="H1498" s="9"/>
      <c r="I1498" s="34"/>
      <c r="J1498" s="30" t="str">
        <f aca="false">IF(F1498="","",G1498-B1498)</f>
        <v/>
      </c>
      <c r="K1498" s="31" t="str">
        <f aca="false">IF(F1498="","",IF(H1498&lt;&gt;"",H1498,MAX('Vade Sapması'!$D$3,G1498)))</f>
        <v/>
      </c>
      <c r="L1498" s="30" t="str">
        <f aca="false">IF(F1498="","",K1498-B1498)</f>
        <v/>
      </c>
      <c r="M1498" s="30" t="str">
        <f aca="false">IF(F1498="","",L1498-J1498)</f>
        <v/>
      </c>
      <c r="N1498" s="32" t="str">
        <f aca="false">IF(F1498="","",IF(H1498&lt;&gt;"","Kapandı",IF('Vade Sapması'!$D$3&gt;G1498,"Açık · vadesi geçti","Açık · vadesi gelmedi")))</f>
        <v/>
      </c>
      <c r="O1498" s="30" t="str">
        <f aca="false">IF(F1498="","",IF(AND(H1498="",'Vade Sapması'!$D$3&gt;G1498),'Vade Sapması'!$D$3-G1498,0))</f>
        <v/>
      </c>
      <c r="P1498" s="33" t="str">
        <f aca="false">IF(F1498="","",F1498*J1498)</f>
        <v/>
      </c>
      <c r="Q1498" s="33" t="str">
        <f aca="false">IF(F1498="","",F1498*L1498)</f>
        <v/>
      </c>
      <c r="R1498" s="33" t="str">
        <f aca="false">IF(F1498="","",IF(H1498="",F1498,0))</f>
        <v/>
      </c>
      <c r="S1498" s="32" t="str">
        <f aca="false">IF(F1498="","",IF(N(O1498)=0,"",IF(O1498&lt;=30,"1-30",IF(O1498&lt;=60,"31-60",IF(O1498&lt;=90,"61-90","90+")))))</f>
        <v/>
      </c>
      <c r="T1498" s="32" t="str">
        <f aca="false">IF(F1498="","",IF(E1498="","Diğer",E1498))</f>
        <v/>
      </c>
      <c r="U1498" s="32" t="str">
        <f aca="false">IF(OR(F1498="",C1498=""),"",IF(COUNTIF($C$2:C1498,C1498)=1,MAX($U$1:U1497)+1,""))</f>
        <v/>
      </c>
    </row>
    <row r="1499" customFormat="false" ht="15" hidden="false" customHeight="false" outlineLevel="0" collapsed="false">
      <c r="A1499" s="34"/>
      <c r="B1499" s="9"/>
      <c r="C1499" s="34"/>
      <c r="D1499" s="34"/>
      <c r="E1499" s="34"/>
      <c r="F1499" s="35"/>
      <c r="G1499" s="9"/>
      <c r="H1499" s="9"/>
      <c r="I1499" s="34"/>
      <c r="J1499" s="30" t="str">
        <f aca="false">IF(F1499="","",G1499-B1499)</f>
        <v/>
      </c>
      <c r="K1499" s="31" t="str">
        <f aca="false">IF(F1499="","",IF(H1499&lt;&gt;"",H1499,MAX('Vade Sapması'!$D$3,G1499)))</f>
        <v/>
      </c>
      <c r="L1499" s="30" t="str">
        <f aca="false">IF(F1499="","",K1499-B1499)</f>
        <v/>
      </c>
      <c r="M1499" s="30" t="str">
        <f aca="false">IF(F1499="","",L1499-J1499)</f>
        <v/>
      </c>
      <c r="N1499" s="32" t="str">
        <f aca="false">IF(F1499="","",IF(H1499&lt;&gt;"","Kapandı",IF('Vade Sapması'!$D$3&gt;G1499,"Açık · vadesi geçti","Açık · vadesi gelmedi")))</f>
        <v/>
      </c>
      <c r="O1499" s="30" t="str">
        <f aca="false">IF(F1499="","",IF(AND(H1499="",'Vade Sapması'!$D$3&gt;G1499),'Vade Sapması'!$D$3-G1499,0))</f>
        <v/>
      </c>
      <c r="P1499" s="33" t="str">
        <f aca="false">IF(F1499="","",F1499*J1499)</f>
        <v/>
      </c>
      <c r="Q1499" s="33" t="str">
        <f aca="false">IF(F1499="","",F1499*L1499)</f>
        <v/>
      </c>
      <c r="R1499" s="33" t="str">
        <f aca="false">IF(F1499="","",IF(H1499="",F1499,0))</f>
        <v/>
      </c>
      <c r="S1499" s="32" t="str">
        <f aca="false">IF(F1499="","",IF(N(O1499)=0,"",IF(O1499&lt;=30,"1-30",IF(O1499&lt;=60,"31-60",IF(O1499&lt;=90,"61-90","90+")))))</f>
        <v/>
      </c>
      <c r="T1499" s="32" t="str">
        <f aca="false">IF(F1499="","",IF(E1499="","Diğer",E1499))</f>
        <v/>
      </c>
      <c r="U1499" s="32" t="str">
        <f aca="false">IF(OR(F1499="",C1499=""),"",IF(COUNTIF($C$2:C1499,C1499)=1,MAX($U$1:U1498)+1,""))</f>
        <v/>
      </c>
    </row>
    <row r="1500" customFormat="false" ht="15" hidden="false" customHeight="false" outlineLevel="0" collapsed="false">
      <c r="A1500" s="34"/>
      <c r="B1500" s="9"/>
      <c r="C1500" s="34"/>
      <c r="D1500" s="34"/>
      <c r="E1500" s="34"/>
      <c r="F1500" s="35"/>
      <c r="G1500" s="9"/>
      <c r="H1500" s="9"/>
      <c r="I1500" s="34"/>
      <c r="J1500" s="30" t="str">
        <f aca="false">IF(F1500="","",G1500-B1500)</f>
        <v/>
      </c>
      <c r="K1500" s="31" t="str">
        <f aca="false">IF(F1500="","",IF(H1500&lt;&gt;"",H1500,MAX('Vade Sapması'!$D$3,G1500)))</f>
        <v/>
      </c>
      <c r="L1500" s="30" t="str">
        <f aca="false">IF(F1500="","",K1500-B1500)</f>
        <v/>
      </c>
      <c r="M1500" s="30" t="str">
        <f aca="false">IF(F1500="","",L1500-J1500)</f>
        <v/>
      </c>
      <c r="N1500" s="32" t="str">
        <f aca="false">IF(F1500="","",IF(H1500&lt;&gt;"","Kapandı",IF('Vade Sapması'!$D$3&gt;G1500,"Açık · vadesi geçti","Açık · vadesi gelmedi")))</f>
        <v/>
      </c>
      <c r="O1500" s="30" t="str">
        <f aca="false">IF(F1500="","",IF(AND(H1500="",'Vade Sapması'!$D$3&gt;G1500),'Vade Sapması'!$D$3-G1500,0))</f>
        <v/>
      </c>
      <c r="P1500" s="33" t="str">
        <f aca="false">IF(F1500="","",F1500*J1500)</f>
        <v/>
      </c>
      <c r="Q1500" s="33" t="str">
        <f aca="false">IF(F1500="","",F1500*L1500)</f>
        <v/>
      </c>
      <c r="R1500" s="33" t="str">
        <f aca="false">IF(F1500="","",IF(H1500="",F1500,0))</f>
        <v/>
      </c>
      <c r="S1500" s="32" t="str">
        <f aca="false">IF(F1500="","",IF(N(O1500)=0,"",IF(O1500&lt;=30,"1-30",IF(O1500&lt;=60,"31-60",IF(O1500&lt;=90,"61-90","90+")))))</f>
        <v/>
      </c>
      <c r="T1500" s="32" t="str">
        <f aca="false">IF(F1500="","",IF(E1500="","Diğer",E1500))</f>
        <v/>
      </c>
      <c r="U1500" s="32" t="str">
        <f aca="false">IF(OR(F1500="",C1500=""),"",IF(COUNTIF($C$2:C1500,C1500)=1,MAX($U$1:U1499)+1,""))</f>
        <v/>
      </c>
    </row>
    <row r="1501" customFormat="false" ht="15" hidden="false" customHeight="false" outlineLevel="0" collapsed="false">
      <c r="A1501" s="34"/>
      <c r="B1501" s="9"/>
      <c r="C1501" s="34"/>
      <c r="D1501" s="34"/>
      <c r="E1501" s="34"/>
      <c r="F1501" s="35"/>
      <c r="G1501" s="9"/>
      <c r="H1501" s="9"/>
      <c r="I1501" s="34"/>
      <c r="J1501" s="30" t="str">
        <f aca="false">IF(F1501="","",G1501-B1501)</f>
        <v/>
      </c>
      <c r="K1501" s="31" t="str">
        <f aca="false">IF(F1501="","",IF(H1501&lt;&gt;"",H1501,MAX('Vade Sapması'!$D$3,G1501)))</f>
        <v/>
      </c>
      <c r="L1501" s="30" t="str">
        <f aca="false">IF(F1501="","",K1501-B1501)</f>
        <v/>
      </c>
      <c r="M1501" s="30" t="str">
        <f aca="false">IF(F1501="","",L1501-J1501)</f>
        <v/>
      </c>
      <c r="N1501" s="32" t="str">
        <f aca="false">IF(F1501="","",IF(H1501&lt;&gt;"","Kapandı",IF('Vade Sapması'!$D$3&gt;G1501,"Açık · vadesi geçti","Açık · vadesi gelmedi")))</f>
        <v/>
      </c>
      <c r="O1501" s="30" t="str">
        <f aca="false">IF(F1501="","",IF(AND(H1501="",'Vade Sapması'!$D$3&gt;G1501),'Vade Sapması'!$D$3-G1501,0))</f>
        <v/>
      </c>
      <c r="P1501" s="33" t="str">
        <f aca="false">IF(F1501="","",F1501*J1501)</f>
        <v/>
      </c>
      <c r="Q1501" s="33" t="str">
        <f aca="false">IF(F1501="","",F1501*L1501)</f>
        <v/>
      </c>
      <c r="R1501" s="33" t="str">
        <f aca="false">IF(F1501="","",IF(H1501="",F1501,0))</f>
        <v/>
      </c>
      <c r="S1501" s="32" t="str">
        <f aca="false">IF(F1501="","",IF(N(O1501)=0,"",IF(O1501&lt;=30,"1-30",IF(O1501&lt;=60,"31-60",IF(O1501&lt;=90,"61-90","90+")))))</f>
        <v/>
      </c>
      <c r="T1501" s="32" t="str">
        <f aca="false">IF(F1501="","",IF(E1501="","Diğer",E1501))</f>
        <v/>
      </c>
      <c r="U1501" s="32" t="str">
        <f aca="false">IF(OR(F1501="",C1501=""),"",IF(COUNTIF($C$2:C1501,C1501)=1,MAX($U$1:U1500)+1,""))</f>
        <v/>
      </c>
    </row>
    <row r="1502" customFormat="false" ht="15" hidden="false" customHeight="false" outlineLevel="0" collapsed="false">
      <c r="A1502" s="34"/>
      <c r="B1502" s="9"/>
      <c r="C1502" s="34"/>
      <c r="D1502" s="34"/>
      <c r="E1502" s="34"/>
      <c r="F1502" s="35"/>
      <c r="G1502" s="9"/>
      <c r="H1502" s="9"/>
      <c r="I1502" s="34"/>
      <c r="J1502" s="30" t="str">
        <f aca="false">IF(F1502="","",G1502-B1502)</f>
        <v/>
      </c>
      <c r="K1502" s="31" t="str">
        <f aca="false">IF(F1502="","",IF(H1502&lt;&gt;"",H1502,MAX('Vade Sapması'!$D$3,G1502)))</f>
        <v/>
      </c>
      <c r="L1502" s="30" t="str">
        <f aca="false">IF(F1502="","",K1502-B1502)</f>
        <v/>
      </c>
      <c r="M1502" s="30" t="str">
        <f aca="false">IF(F1502="","",L1502-J1502)</f>
        <v/>
      </c>
      <c r="N1502" s="32" t="str">
        <f aca="false">IF(F1502="","",IF(H1502&lt;&gt;"","Kapandı",IF('Vade Sapması'!$D$3&gt;G1502,"Açık · vadesi geçti","Açık · vadesi gelmedi")))</f>
        <v/>
      </c>
      <c r="O1502" s="30" t="str">
        <f aca="false">IF(F1502="","",IF(AND(H1502="",'Vade Sapması'!$D$3&gt;G1502),'Vade Sapması'!$D$3-G1502,0))</f>
        <v/>
      </c>
      <c r="P1502" s="33" t="str">
        <f aca="false">IF(F1502="","",F1502*J1502)</f>
        <v/>
      </c>
      <c r="Q1502" s="33" t="str">
        <f aca="false">IF(F1502="","",F1502*L1502)</f>
        <v/>
      </c>
      <c r="R1502" s="33" t="str">
        <f aca="false">IF(F1502="","",IF(H1502="",F1502,0))</f>
        <v/>
      </c>
      <c r="S1502" s="32" t="str">
        <f aca="false">IF(F1502="","",IF(N(O1502)=0,"",IF(O1502&lt;=30,"1-30",IF(O1502&lt;=60,"31-60",IF(O1502&lt;=90,"61-90","90+")))))</f>
        <v/>
      </c>
      <c r="T1502" s="32" t="str">
        <f aca="false">IF(F1502="","",IF(E1502="","Diğer",E1502))</f>
        <v/>
      </c>
      <c r="U1502" s="32" t="str">
        <f aca="false">IF(OR(F1502="",C1502=""),"",IF(COUNTIF($C$2:C1502,C1502)=1,MAX($U$1:U1501)+1,""))</f>
        <v/>
      </c>
    </row>
    <row r="1503" customFormat="false" ht="15" hidden="false" customHeight="false" outlineLevel="0" collapsed="false">
      <c r="A1503" s="34"/>
      <c r="B1503" s="9"/>
      <c r="C1503" s="34"/>
      <c r="D1503" s="34"/>
      <c r="E1503" s="34"/>
      <c r="F1503" s="35"/>
      <c r="G1503" s="9"/>
      <c r="H1503" s="9"/>
      <c r="I1503" s="34"/>
      <c r="J1503" s="30" t="str">
        <f aca="false">IF(F1503="","",G1503-B1503)</f>
        <v/>
      </c>
      <c r="K1503" s="31" t="str">
        <f aca="false">IF(F1503="","",IF(H1503&lt;&gt;"",H1503,MAX('Vade Sapması'!$D$3,G1503)))</f>
        <v/>
      </c>
      <c r="L1503" s="30" t="str">
        <f aca="false">IF(F1503="","",K1503-B1503)</f>
        <v/>
      </c>
      <c r="M1503" s="30" t="str">
        <f aca="false">IF(F1503="","",L1503-J1503)</f>
        <v/>
      </c>
      <c r="N1503" s="32" t="str">
        <f aca="false">IF(F1503="","",IF(H1503&lt;&gt;"","Kapandı",IF('Vade Sapması'!$D$3&gt;G1503,"Açık · vadesi geçti","Açık · vadesi gelmedi")))</f>
        <v/>
      </c>
      <c r="O1503" s="30" t="str">
        <f aca="false">IF(F1503="","",IF(AND(H1503="",'Vade Sapması'!$D$3&gt;G1503),'Vade Sapması'!$D$3-G1503,0))</f>
        <v/>
      </c>
      <c r="P1503" s="33" t="str">
        <f aca="false">IF(F1503="","",F1503*J1503)</f>
        <v/>
      </c>
      <c r="Q1503" s="33" t="str">
        <f aca="false">IF(F1503="","",F1503*L1503)</f>
        <v/>
      </c>
      <c r="R1503" s="33" t="str">
        <f aca="false">IF(F1503="","",IF(H1503="",F1503,0))</f>
        <v/>
      </c>
      <c r="S1503" s="32" t="str">
        <f aca="false">IF(F1503="","",IF(N(O1503)=0,"",IF(O1503&lt;=30,"1-30",IF(O1503&lt;=60,"31-60",IF(O1503&lt;=90,"61-90","90+")))))</f>
        <v/>
      </c>
      <c r="T1503" s="32" t="str">
        <f aca="false">IF(F1503="","",IF(E1503="","Diğer",E1503))</f>
        <v/>
      </c>
      <c r="U1503" s="32" t="str">
        <f aca="false">IF(OR(F1503="",C1503=""),"",IF(COUNTIF($C$2:C1503,C1503)=1,MAX($U$1:U1502)+1,""))</f>
        <v/>
      </c>
    </row>
    <row r="1504" customFormat="false" ht="15" hidden="false" customHeight="false" outlineLevel="0" collapsed="false">
      <c r="A1504" s="34"/>
      <c r="B1504" s="9"/>
      <c r="C1504" s="34"/>
      <c r="D1504" s="34"/>
      <c r="E1504" s="34"/>
      <c r="F1504" s="35"/>
      <c r="G1504" s="9"/>
      <c r="H1504" s="9"/>
      <c r="I1504" s="34"/>
      <c r="J1504" s="30" t="str">
        <f aca="false">IF(F1504="","",G1504-B1504)</f>
        <v/>
      </c>
      <c r="K1504" s="31" t="str">
        <f aca="false">IF(F1504="","",IF(H1504&lt;&gt;"",H1504,MAX('Vade Sapması'!$D$3,G1504)))</f>
        <v/>
      </c>
      <c r="L1504" s="30" t="str">
        <f aca="false">IF(F1504="","",K1504-B1504)</f>
        <v/>
      </c>
      <c r="M1504" s="30" t="str">
        <f aca="false">IF(F1504="","",L1504-J1504)</f>
        <v/>
      </c>
      <c r="N1504" s="32" t="str">
        <f aca="false">IF(F1504="","",IF(H1504&lt;&gt;"","Kapandı",IF('Vade Sapması'!$D$3&gt;G1504,"Açık · vadesi geçti","Açık · vadesi gelmedi")))</f>
        <v/>
      </c>
      <c r="O1504" s="30" t="str">
        <f aca="false">IF(F1504="","",IF(AND(H1504="",'Vade Sapması'!$D$3&gt;G1504),'Vade Sapması'!$D$3-G1504,0))</f>
        <v/>
      </c>
      <c r="P1504" s="33" t="str">
        <f aca="false">IF(F1504="","",F1504*J1504)</f>
        <v/>
      </c>
      <c r="Q1504" s="33" t="str">
        <f aca="false">IF(F1504="","",F1504*L1504)</f>
        <v/>
      </c>
      <c r="R1504" s="33" t="str">
        <f aca="false">IF(F1504="","",IF(H1504="",F1504,0))</f>
        <v/>
      </c>
      <c r="S1504" s="32" t="str">
        <f aca="false">IF(F1504="","",IF(N(O1504)=0,"",IF(O1504&lt;=30,"1-30",IF(O1504&lt;=60,"31-60",IF(O1504&lt;=90,"61-90","90+")))))</f>
        <v/>
      </c>
      <c r="T1504" s="32" t="str">
        <f aca="false">IF(F1504="","",IF(E1504="","Diğer",E1504))</f>
        <v/>
      </c>
      <c r="U1504" s="32" t="str">
        <f aca="false">IF(OR(F1504="",C1504=""),"",IF(COUNTIF($C$2:C1504,C1504)=1,MAX($U$1:U1503)+1,""))</f>
        <v/>
      </c>
    </row>
    <row r="1505" customFormat="false" ht="15" hidden="false" customHeight="false" outlineLevel="0" collapsed="false">
      <c r="A1505" s="34"/>
      <c r="B1505" s="9"/>
      <c r="C1505" s="34"/>
      <c r="D1505" s="34"/>
      <c r="E1505" s="34"/>
      <c r="F1505" s="35"/>
      <c r="G1505" s="9"/>
      <c r="H1505" s="9"/>
      <c r="I1505" s="34"/>
      <c r="J1505" s="30" t="str">
        <f aca="false">IF(F1505="","",G1505-B1505)</f>
        <v/>
      </c>
      <c r="K1505" s="31" t="str">
        <f aca="false">IF(F1505="","",IF(H1505&lt;&gt;"",H1505,MAX('Vade Sapması'!$D$3,G1505)))</f>
        <v/>
      </c>
      <c r="L1505" s="30" t="str">
        <f aca="false">IF(F1505="","",K1505-B1505)</f>
        <v/>
      </c>
      <c r="M1505" s="30" t="str">
        <f aca="false">IF(F1505="","",L1505-J1505)</f>
        <v/>
      </c>
      <c r="N1505" s="32" t="str">
        <f aca="false">IF(F1505="","",IF(H1505&lt;&gt;"","Kapandı",IF('Vade Sapması'!$D$3&gt;G1505,"Açık · vadesi geçti","Açık · vadesi gelmedi")))</f>
        <v/>
      </c>
      <c r="O1505" s="30" t="str">
        <f aca="false">IF(F1505="","",IF(AND(H1505="",'Vade Sapması'!$D$3&gt;G1505),'Vade Sapması'!$D$3-G1505,0))</f>
        <v/>
      </c>
      <c r="P1505" s="33" t="str">
        <f aca="false">IF(F1505="","",F1505*J1505)</f>
        <v/>
      </c>
      <c r="Q1505" s="33" t="str">
        <f aca="false">IF(F1505="","",F1505*L1505)</f>
        <v/>
      </c>
      <c r="R1505" s="33" t="str">
        <f aca="false">IF(F1505="","",IF(H1505="",F1505,0))</f>
        <v/>
      </c>
      <c r="S1505" s="32" t="str">
        <f aca="false">IF(F1505="","",IF(N(O1505)=0,"",IF(O1505&lt;=30,"1-30",IF(O1505&lt;=60,"31-60",IF(O1505&lt;=90,"61-90","90+")))))</f>
        <v/>
      </c>
      <c r="T1505" s="32" t="str">
        <f aca="false">IF(F1505="","",IF(E1505="","Diğer",E1505))</f>
        <v/>
      </c>
      <c r="U1505" s="32" t="str">
        <f aca="false">IF(OR(F1505="",C1505=""),"",IF(COUNTIF($C$2:C1505,C1505)=1,MAX($U$1:U1504)+1,""))</f>
        <v/>
      </c>
    </row>
    <row r="1506" customFormat="false" ht="15" hidden="false" customHeight="false" outlineLevel="0" collapsed="false">
      <c r="A1506" s="34"/>
      <c r="B1506" s="9"/>
      <c r="C1506" s="34"/>
      <c r="D1506" s="34"/>
      <c r="E1506" s="34"/>
      <c r="F1506" s="35"/>
      <c r="G1506" s="9"/>
      <c r="H1506" s="9"/>
      <c r="I1506" s="34"/>
      <c r="J1506" s="30" t="str">
        <f aca="false">IF(F1506="","",G1506-B1506)</f>
        <v/>
      </c>
      <c r="K1506" s="31" t="str">
        <f aca="false">IF(F1506="","",IF(H1506&lt;&gt;"",H1506,MAX('Vade Sapması'!$D$3,G1506)))</f>
        <v/>
      </c>
      <c r="L1506" s="30" t="str">
        <f aca="false">IF(F1506="","",K1506-B1506)</f>
        <v/>
      </c>
      <c r="M1506" s="30" t="str">
        <f aca="false">IF(F1506="","",L1506-J1506)</f>
        <v/>
      </c>
      <c r="N1506" s="32" t="str">
        <f aca="false">IF(F1506="","",IF(H1506&lt;&gt;"","Kapandı",IF('Vade Sapması'!$D$3&gt;G1506,"Açık · vadesi geçti","Açık · vadesi gelmedi")))</f>
        <v/>
      </c>
      <c r="O1506" s="30" t="str">
        <f aca="false">IF(F1506="","",IF(AND(H1506="",'Vade Sapması'!$D$3&gt;G1506),'Vade Sapması'!$D$3-G1506,0))</f>
        <v/>
      </c>
      <c r="P1506" s="33" t="str">
        <f aca="false">IF(F1506="","",F1506*J1506)</f>
        <v/>
      </c>
      <c r="Q1506" s="33" t="str">
        <f aca="false">IF(F1506="","",F1506*L1506)</f>
        <v/>
      </c>
      <c r="R1506" s="33" t="str">
        <f aca="false">IF(F1506="","",IF(H1506="",F1506,0))</f>
        <v/>
      </c>
      <c r="S1506" s="32" t="str">
        <f aca="false">IF(F1506="","",IF(N(O1506)=0,"",IF(O1506&lt;=30,"1-30",IF(O1506&lt;=60,"31-60",IF(O1506&lt;=90,"61-90","90+")))))</f>
        <v/>
      </c>
      <c r="T1506" s="32" t="str">
        <f aca="false">IF(F1506="","",IF(E1506="","Diğer",E1506))</f>
        <v/>
      </c>
      <c r="U1506" s="32" t="str">
        <f aca="false">IF(OR(F1506="",C1506=""),"",IF(COUNTIF($C$2:C1506,C1506)=1,MAX($U$1:U1505)+1,""))</f>
        <v/>
      </c>
    </row>
    <row r="1507" customFormat="false" ht="15" hidden="false" customHeight="false" outlineLevel="0" collapsed="false">
      <c r="A1507" s="34"/>
      <c r="B1507" s="9"/>
      <c r="C1507" s="34"/>
      <c r="D1507" s="34"/>
      <c r="E1507" s="34"/>
      <c r="F1507" s="35"/>
      <c r="G1507" s="9"/>
      <c r="H1507" s="9"/>
      <c r="I1507" s="34"/>
      <c r="J1507" s="30" t="str">
        <f aca="false">IF(F1507="","",G1507-B1507)</f>
        <v/>
      </c>
      <c r="K1507" s="31" t="str">
        <f aca="false">IF(F1507="","",IF(H1507&lt;&gt;"",H1507,MAX('Vade Sapması'!$D$3,G1507)))</f>
        <v/>
      </c>
      <c r="L1507" s="30" t="str">
        <f aca="false">IF(F1507="","",K1507-B1507)</f>
        <v/>
      </c>
      <c r="M1507" s="30" t="str">
        <f aca="false">IF(F1507="","",L1507-J1507)</f>
        <v/>
      </c>
      <c r="N1507" s="32" t="str">
        <f aca="false">IF(F1507="","",IF(H1507&lt;&gt;"","Kapandı",IF('Vade Sapması'!$D$3&gt;G1507,"Açık · vadesi geçti","Açık · vadesi gelmedi")))</f>
        <v/>
      </c>
      <c r="O1507" s="30" t="str">
        <f aca="false">IF(F1507="","",IF(AND(H1507="",'Vade Sapması'!$D$3&gt;G1507),'Vade Sapması'!$D$3-G1507,0))</f>
        <v/>
      </c>
      <c r="P1507" s="33" t="str">
        <f aca="false">IF(F1507="","",F1507*J1507)</f>
        <v/>
      </c>
      <c r="Q1507" s="33" t="str">
        <f aca="false">IF(F1507="","",F1507*L1507)</f>
        <v/>
      </c>
      <c r="R1507" s="33" t="str">
        <f aca="false">IF(F1507="","",IF(H1507="",F1507,0))</f>
        <v/>
      </c>
      <c r="S1507" s="32" t="str">
        <f aca="false">IF(F1507="","",IF(N(O1507)=0,"",IF(O1507&lt;=30,"1-30",IF(O1507&lt;=60,"31-60",IF(O1507&lt;=90,"61-90","90+")))))</f>
        <v/>
      </c>
      <c r="T1507" s="32" t="str">
        <f aca="false">IF(F1507="","",IF(E1507="","Diğer",E1507))</f>
        <v/>
      </c>
      <c r="U1507" s="32" t="str">
        <f aca="false">IF(OR(F1507="",C1507=""),"",IF(COUNTIF($C$2:C1507,C1507)=1,MAX($U$1:U1506)+1,""))</f>
        <v/>
      </c>
    </row>
    <row r="1508" customFormat="false" ht="15" hidden="false" customHeight="false" outlineLevel="0" collapsed="false">
      <c r="A1508" s="34"/>
      <c r="B1508" s="9"/>
      <c r="C1508" s="34"/>
      <c r="D1508" s="34"/>
      <c r="E1508" s="34"/>
      <c r="F1508" s="35"/>
      <c r="G1508" s="9"/>
      <c r="H1508" s="9"/>
      <c r="I1508" s="34"/>
      <c r="J1508" s="30" t="str">
        <f aca="false">IF(F1508="","",G1508-B1508)</f>
        <v/>
      </c>
      <c r="K1508" s="31" t="str">
        <f aca="false">IF(F1508="","",IF(H1508&lt;&gt;"",H1508,MAX('Vade Sapması'!$D$3,G1508)))</f>
        <v/>
      </c>
      <c r="L1508" s="30" t="str">
        <f aca="false">IF(F1508="","",K1508-B1508)</f>
        <v/>
      </c>
      <c r="M1508" s="30" t="str">
        <f aca="false">IF(F1508="","",L1508-J1508)</f>
        <v/>
      </c>
      <c r="N1508" s="32" t="str">
        <f aca="false">IF(F1508="","",IF(H1508&lt;&gt;"","Kapandı",IF('Vade Sapması'!$D$3&gt;G1508,"Açık · vadesi geçti","Açık · vadesi gelmedi")))</f>
        <v/>
      </c>
      <c r="O1508" s="30" t="str">
        <f aca="false">IF(F1508="","",IF(AND(H1508="",'Vade Sapması'!$D$3&gt;G1508),'Vade Sapması'!$D$3-G1508,0))</f>
        <v/>
      </c>
      <c r="P1508" s="33" t="str">
        <f aca="false">IF(F1508="","",F1508*J1508)</f>
        <v/>
      </c>
      <c r="Q1508" s="33" t="str">
        <f aca="false">IF(F1508="","",F1508*L1508)</f>
        <v/>
      </c>
      <c r="R1508" s="33" t="str">
        <f aca="false">IF(F1508="","",IF(H1508="",F1508,0))</f>
        <v/>
      </c>
      <c r="S1508" s="32" t="str">
        <f aca="false">IF(F1508="","",IF(N(O1508)=0,"",IF(O1508&lt;=30,"1-30",IF(O1508&lt;=60,"31-60",IF(O1508&lt;=90,"61-90","90+")))))</f>
        <v/>
      </c>
      <c r="T1508" s="32" t="str">
        <f aca="false">IF(F1508="","",IF(E1508="","Diğer",E1508))</f>
        <v/>
      </c>
      <c r="U1508" s="32" t="str">
        <f aca="false">IF(OR(F1508="",C1508=""),"",IF(COUNTIF($C$2:C1508,C1508)=1,MAX($U$1:U1507)+1,""))</f>
        <v/>
      </c>
    </row>
    <row r="1509" customFormat="false" ht="15" hidden="false" customHeight="false" outlineLevel="0" collapsed="false">
      <c r="A1509" s="34"/>
      <c r="B1509" s="9"/>
      <c r="C1509" s="34"/>
      <c r="D1509" s="34"/>
      <c r="E1509" s="34"/>
      <c r="F1509" s="35"/>
      <c r="G1509" s="9"/>
      <c r="H1509" s="9"/>
      <c r="I1509" s="34"/>
      <c r="J1509" s="30" t="str">
        <f aca="false">IF(F1509="","",G1509-B1509)</f>
        <v/>
      </c>
      <c r="K1509" s="31" t="str">
        <f aca="false">IF(F1509="","",IF(H1509&lt;&gt;"",H1509,MAX('Vade Sapması'!$D$3,G1509)))</f>
        <v/>
      </c>
      <c r="L1509" s="30" t="str">
        <f aca="false">IF(F1509="","",K1509-B1509)</f>
        <v/>
      </c>
      <c r="M1509" s="30" t="str">
        <f aca="false">IF(F1509="","",L1509-J1509)</f>
        <v/>
      </c>
      <c r="N1509" s="32" t="str">
        <f aca="false">IF(F1509="","",IF(H1509&lt;&gt;"","Kapandı",IF('Vade Sapması'!$D$3&gt;G1509,"Açık · vadesi geçti","Açık · vadesi gelmedi")))</f>
        <v/>
      </c>
      <c r="O1509" s="30" t="str">
        <f aca="false">IF(F1509="","",IF(AND(H1509="",'Vade Sapması'!$D$3&gt;G1509),'Vade Sapması'!$D$3-G1509,0))</f>
        <v/>
      </c>
      <c r="P1509" s="33" t="str">
        <f aca="false">IF(F1509="","",F1509*J1509)</f>
        <v/>
      </c>
      <c r="Q1509" s="33" t="str">
        <f aca="false">IF(F1509="","",F1509*L1509)</f>
        <v/>
      </c>
      <c r="R1509" s="33" t="str">
        <f aca="false">IF(F1509="","",IF(H1509="",F1509,0))</f>
        <v/>
      </c>
      <c r="S1509" s="32" t="str">
        <f aca="false">IF(F1509="","",IF(N(O1509)=0,"",IF(O1509&lt;=30,"1-30",IF(O1509&lt;=60,"31-60",IF(O1509&lt;=90,"61-90","90+")))))</f>
        <v/>
      </c>
      <c r="T1509" s="32" t="str">
        <f aca="false">IF(F1509="","",IF(E1509="","Diğer",E1509))</f>
        <v/>
      </c>
      <c r="U1509" s="32" t="str">
        <f aca="false">IF(OR(F1509="",C1509=""),"",IF(COUNTIF($C$2:C1509,C1509)=1,MAX($U$1:U1508)+1,""))</f>
        <v/>
      </c>
    </row>
    <row r="1510" customFormat="false" ht="15" hidden="false" customHeight="false" outlineLevel="0" collapsed="false">
      <c r="A1510" s="34"/>
      <c r="B1510" s="9"/>
      <c r="C1510" s="34"/>
      <c r="D1510" s="34"/>
      <c r="E1510" s="34"/>
      <c r="F1510" s="35"/>
      <c r="G1510" s="9"/>
      <c r="H1510" s="9"/>
      <c r="I1510" s="34"/>
      <c r="J1510" s="30" t="str">
        <f aca="false">IF(F1510="","",G1510-B1510)</f>
        <v/>
      </c>
      <c r="K1510" s="31" t="str">
        <f aca="false">IF(F1510="","",IF(H1510&lt;&gt;"",H1510,MAX('Vade Sapması'!$D$3,G1510)))</f>
        <v/>
      </c>
      <c r="L1510" s="30" t="str">
        <f aca="false">IF(F1510="","",K1510-B1510)</f>
        <v/>
      </c>
      <c r="M1510" s="30" t="str">
        <f aca="false">IF(F1510="","",L1510-J1510)</f>
        <v/>
      </c>
      <c r="N1510" s="32" t="str">
        <f aca="false">IF(F1510="","",IF(H1510&lt;&gt;"","Kapandı",IF('Vade Sapması'!$D$3&gt;G1510,"Açık · vadesi geçti","Açık · vadesi gelmedi")))</f>
        <v/>
      </c>
      <c r="O1510" s="30" t="str">
        <f aca="false">IF(F1510="","",IF(AND(H1510="",'Vade Sapması'!$D$3&gt;G1510),'Vade Sapması'!$D$3-G1510,0))</f>
        <v/>
      </c>
      <c r="P1510" s="33" t="str">
        <f aca="false">IF(F1510="","",F1510*J1510)</f>
        <v/>
      </c>
      <c r="Q1510" s="33" t="str">
        <f aca="false">IF(F1510="","",F1510*L1510)</f>
        <v/>
      </c>
      <c r="R1510" s="33" t="str">
        <f aca="false">IF(F1510="","",IF(H1510="",F1510,0))</f>
        <v/>
      </c>
      <c r="S1510" s="32" t="str">
        <f aca="false">IF(F1510="","",IF(N(O1510)=0,"",IF(O1510&lt;=30,"1-30",IF(O1510&lt;=60,"31-60",IF(O1510&lt;=90,"61-90","90+")))))</f>
        <v/>
      </c>
      <c r="T1510" s="32" t="str">
        <f aca="false">IF(F1510="","",IF(E1510="","Diğer",E1510))</f>
        <v/>
      </c>
      <c r="U1510" s="32" t="str">
        <f aca="false">IF(OR(F1510="",C1510=""),"",IF(COUNTIF($C$2:C1510,C1510)=1,MAX($U$1:U1509)+1,""))</f>
        <v/>
      </c>
    </row>
    <row r="1511" customFormat="false" ht="15" hidden="false" customHeight="false" outlineLevel="0" collapsed="false">
      <c r="A1511" s="34"/>
      <c r="B1511" s="9"/>
      <c r="C1511" s="34"/>
      <c r="D1511" s="34"/>
      <c r="E1511" s="34"/>
      <c r="F1511" s="35"/>
      <c r="G1511" s="9"/>
      <c r="H1511" s="9"/>
      <c r="I1511" s="34"/>
      <c r="J1511" s="30" t="str">
        <f aca="false">IF(F1511="","",G1511-B1511)</f>
        <v/>
      </c>
      <c r="K1511" s="31" t="str">
        <f aca="false">IF(F1511="","",IF(H1511&lt;&gt;"",H1511,MAX('Vade Sapması'!$D$3,G1511)))</f>
        <v/>
      </c>
      <c r="L1511" s="30" t="str">
        <f aca="false">IF(F1511="","",K1511-B1511)</f>
        <v/>
      </c>
      <c r="M1511" s="30" t="str">
        <f aca="false">IF(F1511="","",L1511-J1511)</f>
        <v/>
      </c>
      <c r="N1511" s="32" t="str">
        <f aca="false">IF(F1511="","",IF(H1511&lt;&gt;"","Kapandı",IF('Vade Sapması'!$D$3&gt;G1511,"Açık · vadesi geçti","Açık · vadesi gelmedi")))</f>
        <v/>
      </c>
      <c r="O1511" s="30" t="str">
        <f aca="false">IF(F1511="","",IF(AND(H1511="",'Vade Sapması'!$D$3&gt;G1511),'Vade Sapması'!$D$3-G1511,0))</f>
        <v/>
      </c>
      <c r="P1511" s="33" t="str">
        <f aca="false">IF(F1511="","",F1511*J1511)</f>
        <v/>
      </c>
      <c r="Q1511" s="33" t="str">
        <f aca="false">IF(F1511="","",F1511*L1511)</f>
        <v/>
      </c>
      <c r="R1511" s="33" t="str">
        <f aca="false">IF(F1511="","",IF(H1511="",F1511,0))</f>
        <v/>
      </c>
      <c r="S1511" s="32" t="str">
        <f aca="false">IF(F1511="","",IF(N(O1511)=0,"",IF(O1511&lt;=30,"1-30",IF(O1511&lt;=60,"31-60",IF(O1511&lt;=90,"61-90","90+")))))</f>
        <v/>
      </c>
      <c r="T1511" s="32" t="str">
        <f aca="false">IF(F1511="","",IF(E1511="","Diğer",E1511))</f>
        <v/>
      </c>
      <c r="U1511" s="32" t="str">
        <f aca="false">IF(OR(F1511="",C1511=""),"",IF(COUNTIF($C$2:C1511,C1511)=1,MAX($U$1:U1510)+1,""))</f>
        <v/>
      </c>
    </row>
    <row r="1512" customFormat="false" ht="15" hidden="false" customHeight="false" outlineLevel="0" collapsed="false">
      <c r="A1512" s="34"/>
      <c r="B1512" s="9"/>
      <c r="C1512" s="34"/>
      <c r="D1512" s="34"/>
      <c r="E1512" s="34"/>
      <c r="F1512" s="35"/>
      <c r="G1512" s="9"/>
      <c r="H1512" s="9"/>
      <c r="I1512" s="34"/>
      <c r="J1512" s="30" t="str">
        <f aca="false">IF(F1512="","",G1512-B1512)</f>
        <v/>
      </c>
      <c r="K1512" s="31" t="str">
        <f aca="false">IF(F1512="","",IF(H1512&lt;&gt;"",H1512,MAX('Vade Sapması'!$D$3,G1512)))</f>
        <v/>
      </c>
      <c r="L1512" s="30" t="str">
        <f aca="false">IF(F1512="","",K1512-B1512)</f>
        <v/>
      </c>
      <c r="M1512" s="30" t="str">
        <f aca="false">IF(F1512="","",L1512-J1512)</f>
        <v/>
      </c>
      <c r="N1512" s="32" t="str">
        <f aca="false">IF(F1512="","",IF(H1512&lt;&gt;"","Kapandı",IF('Vade Sapması'!$D$3&gt;G1512,"Açık · vadesi geçti","Açık · vadesi gelmedi")))</f>
        <v/>
      </c>
      <c r="O1512" s="30" t="str">
        <f aca="false">IF(F1512="","",IF(AND(H1512="",'Vade Sapması'!$D$3&gt;G1512),'Vade Sapması'!$D$3-G1512,0))</f>
        <v/>
      </c>
      <c r="P1512" s="33" t="str">
        <f aca="false">IF(F1512="","",F1512*J1512)</f>
        <v/>
      </c>
      <c r="Q1512" s="33" t="str">
        <f aca="false">IF(F1512="","",F1512*L1512)</f>
        <v/>
      </c>
      <c r="R1512" s="33" t="str">
        <f aca="false">IF(F1512="","",IF(H1512="",F1512,0))</f>
        <v/>
      </c>
      <c r="S1512" s="32" t="str">
        <f aca="false">IF(F1512="","",IF(N(O1512)=0,"",IF(O1512&lt;=30,"1-30",IF(O1512&lt;=60,"31-60",IF(O1512&lt;=90,"61-90","90+")))))</f>
        <v/>
      </c>
      <c r="T1512" s="32" t="str">
        <f aca="false">IF(F1512="","",IF(E1512="","Diğer",E1512))</f>
        <v/>
      </c>
      <c r="U1512" s="32" t="str">
        <f aca="false">IF(OR(F1512="",C1512=""),"",IF(COUNTIF($C$2:C1512,C1512)=1,MAX($U$1:U1511)+1,""))</f>
        <v/>
      </c>
    </row>
    <row r="1513" customFormat="false" ht="15" hidden="false" customHeight="false" outlineLevel="0" collapsed="false">
      <c r="A1513" s="34"/>
      <c r="B1513" s="9"/>
      <c r="C1513" s="34"/>
      <c r="D1513" s="34"/>
      <c r="E1513" s="34"/>
      <c r="F1513" s="35"/>
      <c r="G1513" s="9"/>
      <c r="H1513" s="9"/>
      <c r="I1513" s="34"/>
      <c r="J1513" s="30" t="str">
        <f aca="false">IF(F1513="","",G1513-B1513)</f>
        <v/>
      </c>
      <c r="K1513" s="31" t="str">
        <f aca="false">IF(F1513="","",IF(H1513&lt;&gt;"",H1513,MAX('Vade Sapması'!$D$3,G1513)))</f>
        <v/>
      </c>
      <c r="L1513" s="30" t="str">
        <f aca="false">IF(F1513="","",K1513-B1513)</f>
        <v/>
      </c>
      <c r="M1513" s="30" t="str">
        <f aca="false">IF(F1513="","",L1513-J1513)</f>
        <v/>
      </c>
      <c r="N1513" s="32" t="str">
        <f aca="false">IF(F1513="","",IF(H1513&lt;&gt;"","Kapandı",IF('Vade Sapması'!$D$3&gt;G1513,"Açık · vadesi geçti","Açık · vadesi gelmedi")))</f>
        <v/>
      </c>
      <c r="O1513" s="30" t="str">
        <f aca="false">IF(F1513="","",IF(AND(H1513="",'Vade Sapması'!$D$3&gt;G1513),'Vade Sapması'!$D$3-G1513,0))</f>
        <v/>
      </c>
      <c r="P1513" s="33" t="str">
        <f aca="false">IF(F1513="","",F1513*J1513)</f>
        <v/>
      </c>
      <c r="Q1513" s="33" t="str">
        <f aca="false">IF(F1513="","",F1513*L1513)</f>
        <v/>
      </c>
      <c r="R1513" s="33" t="str">
        <f aca="false">IF(F1513="","",IF(H1513="",F1513,0))</f>
        <v/>
      </c>
      <c r="S1513" s="32" t="str">
        <f aca="false">IF(F1513="","",IF(N(O1513)=0,"",IF(O1513&lt;=30,"1-30",IF(O1513&lt;=60,"31-60",IF(O1513&lt;=90,"61-90","90+")))))</f>
        <v/>
      </c>
      <c r="T1513" s="32" t="str">
        <f aca="false">IF(F1513="","",IF(E1513="","Diğer",E1513))</f>
        <v/>
      </c>
      <c r="U1513" s="32" t="str">
        <f aca="false">IF(OR(F1513="",C1513=""),"",IF(COUNTIF($C$2:C1513,C1513)=1,MAX($U$1:U1512)+1,""))</f>
        <v/>
      </c>
    </row>
    <row r="1514" customFormat="false" ht="15" hidden="false" customHeight="false" outlineLevel="0" collapsed="false">
      <c r="A1514" s="34"/>
      <c r="B1514" s="9"/>
      <c r="C1514" s="34"/>
      <c r="D1514" s="34"/>
      <c r="E1514" s="34"/>
      <c r="F1514" s="35"/>
      <c r="G1514" s="9"/>
      <c r="H1514" s="9"/>
      <c r="I1514" s="34"/>
      <c r="J1514" s="30" t="str">
        <f aca="false">IF(F1514="","",G1514-B1514)</f>
        <v/>
      </c>
      <c r="K1514" s="31" t="str">
        <f aca="false">IF(F1514="","",IF(H1514&lt;&gt;"",H1514,MAX('Vade Sapması'!$D$3,G1514)))</f>
        <v/>
      </c>
      <c r="L1514" s="30" t="str">
        <f aca="false">IF(F1514="","",K1514-B1514)</f>
        <v/>
      </c>
      <c r="M1514" s="30" t="str">
        <f aca="false">IF(F1514="","",L1514-J1514)</f>
        <v/>
      </c>
      <c r="N1514" s="32" t="str">
        <f aca="false">IF(F1514="","",IF(H1514&lt;&gt;"","Kapandı",IF('Vade Sapması'!$D$3&gt;G1514,"Açık · vadesi geçti","Açık · vadesi gelmedi")))</f>
        <v/>
      </c>
      <c r="O1514" s="30" t="str">
        <f aca="false">IF(F1514="","",IF(AND(H1514="",'Vade Sapması'!$D$3&gt;G1514),'Vade Sapması'!$D$3-G1514,0))</f>
        <v/>
      </c>
      <c r="P1514" s="33" t="str">
        <f aca="false">IF(F1514="","",F1514*J1514)</f>
        <v/>
      </c>
      <c r="Q1514" s="33" t="str">
        <f aca="false">IF(F1514="","",F1514*L1514)</f>
        <v/>
      </c>
      <c r="R1514" s="33" t="str">
        <f aca="false">IF(F1514="","",IF(H1514="",F1514,0))</f>
        <v/>
      </c>
      <c r="S1514" s="32" t="str">
        <f aca="false">IF(F1514="","",IF(N(O1514)=0,"",IF(O1514&lt;=30,"1-30",IF(O1514&lt;=60,"31-60",IF(O1514&lt;=90,"61-90","90+")))))</f>
        <v/>
      </c>
      <c r="T1514" s="32" t="str">
        <f aca="false">IF(F1514="","",IF(E1514="","Diğer",E1514))</f>
        <v/>
      </c>
      <c r="U1514" s="32" t="str">
        <f aca="false">IF(OR(F1514="",C1514=""),"",IF(COUNTIF($C$2:C1514,C1514)=1,MAX($U$1:U1513)+1,""))</f>
        <v/>
      </c>
    </row>
    <row r="1515" customFormat="false" ht="15" hidden="false" customHeight="false" outlineLevel="0" collapsed="false">
      <c r="A1515" s="34"/>
      <c r="B1515" s="9"/>
      <c r="C1515" s="34"/>
      <c r="D1515" s="34"/>
      <c r="E1515" s="34"/>
      <c r="F1515" s="35"/>
      <c r="G1515" s="9"/>
      <c r="H1515" s="9"/>
      <c r="I1515" s="34"/>
      <c r="J1515" s="30" t="str">
        <f aca="false">IF(F1515="","",G1515-B1515)</f>
        <v/>
      </c>
      <c r="K1515" s="31" t="str">
        <f aca="false">IF(F1515="","",IF(H1515&lt;&gt;"",H1515,MAX('Vade Sapması'!$D$3,G1515)))</f>
        <v/>
      </c>
      <c r="L1515" s="30" t="str">
        <f aca="false">IF(F1515="","",K1515-B1515)</f>
        <v/>
      </c>
      <c r="M1515" s="30" t="str">
        <f aca="false">IF(F1515="","",L1515-J1515)</f>
        <v/>
      </c>
      <c r="N1515" s="32" t="str">
        <f aca="false">IF(F1515="","",IF(H1515&lt;&gt;"","Kapandı",IF('Vade Sapması'!$D$3&gt;G1515,"Açık · vadesi geçti","Açık · vadesi gelmedi")))</f>
        <v/>
      </c>
      <c r="O1515" s="30" t="str">
        <f aca="false">IF(F1515="","",IF(AND(H1515="",'Vade Sapması'!$D$3&gt;G1515),'Vade Sapması'!$D$3-G1515,0))</f>
        <v/>
      </c>
      <c r="P1515" s="33" t="str">
        <f aca="false">IF(F1515="","",F1515*J1515)</f>
        <v/>
      </c>
      <c r="Q1515" s="33" t="str">
        <f aca="false">IF(F1515="","",F1515*L1515)</f>
        <v/>
      </c>
      <c r="R1515" s="33" t="str">
        <f aca="false">IF(F1515="","",IF(H1515="",F1515,0))</f>
        <v/>
      </c>
      <c r="S1515" s="32" t="str">
        <f aca="false">IF(F1515="","",IF(N(O1515)=0,"",IF(O1515&lt;=30,"1-30",IF(O1515&lt;=60,"31-60",IF(O1515&lt;=90,"61-90","90+")))))</f>
        <v/>
      </c>
      <c r="T1515" s="32" t="str">
        <f aca="false">IF(F1515="","",IF(E1515="","Diğer",E1515))</f>
        <v/>
      </c>
      <c r="U1515" s="32" t="str">
        <f aca="false">IF(OR(F1515="",C1515=""),"",IF(COUNTIF($C$2:C1515,C1515)=1,MAX($U$1:U1514)+1,""))</f>
        <v/>
      </c>
    </row>
    <row r="1516" customFormat="false" ht="15" hidden="false" customHeight="false" outlineLevel="0" collapsed="false">
      <c r="A1516" s="34"/>
      <c r="B1516" s="9"/>
      <c r="C1516" s="34"/>
      <c r="D1516" s="34"/>
      <c r="E1516" s="34"/>
      <c r="F1516" s="35"/>
      <c r="G1516" s="9"/>
      <c r="H1516" s="9"/>
      <c r="I1516" s="34"/>
      <c r="J1516" s="30" t="str">
        <f aca="false">IF(F1516="","",G1516-B1516)</f>
        <v/>
      </c>
      <c r="K1516" s="31" t="str">
        <f aca="false">IF(F1516="","",IF(H1516&lt;&gt;"",H1516,MAX('Vade Sapması'!$D$3,G1516)))</f>
        <v/>
      </c>
      <c r="L1516" s="30" t="str">
        <f aca="false">IF(F1516="","",K1516-B1516)</f>
        <v/>
      </c>
      <c r="M1516" s="30" t="str">
        <f aca="false">IF(F1516="","",L1516-J1516)</f>
        <v/>
      </c>
      <c r="N1516" s="32" t="str">
        <f aca="false">IF(F1516="","",IF(H1516&lt;&gt;"","Kapandı",IF('Vade Sapması'!$D$3&gt;G1516,"Açık · vadesi geçti","Açık · vadesi gelmedi")))</f>
        <v/>
      </c>
      <c r="O1516" s="30" t="str">
        <f aca="false">IF(F1516="","",IF(AND(H1516="",'Vade Sapması'!$D$3&gt;G1516),'Vade Sapması'!$D$3-G1516,0))</f>
        <v/>
      </c>
      <c r="P1516" s="33" t="str">
        <f aca="false">IF(F1516="","",F1516*J1516)</f>
        <v/>
      </c>
      <c r="Q1516" s="33" t="str">
        <f aca="false">IF(F1516="","",F1516*L1516)</f>
        <v/>
      </c>
      <c r="R1516" s="33" t="str">
        <f aca="false">IF(F1516="","",IF(H1516="",F1516,0))</f>
        <v/>
      </c>
      <c r="S1516" s="32" t="str">
        <f aca="false">IF(F1516="","",IF(N(O1516)=0,"",IF(O1516&lt;=30,"1-30",IF(O1516&lt;=60,"31-60",IF(O1516&lt;=90,"61-90","90+")))))</f>
        <v/>
      </c>
      <c r="T1516" s="32" t="str">
        <f aca="false">IF(F1516="","",IF(E1516="","Diğer",E1516))</f>
        <v/>
      </c>
      <c r="U1516" s="32" t="str">
        <f aca="false">IF(OR(F1516="",C1516=""),"",IF(COUNTIF($C$2:C1516,C1516)=1,MAX($U$1:U1515)+1,""))</f>
        <v/>
      </c>
    </row>
    <row r="1517" customFormat="false" ht="15" hidden="false" customHeight="false" outlineLevel="0" collapsed="false">
      <c r="A1517" s="34"/>
      <c r="B1517" s="9"/>
      <c r="C1517" s="34"/>
      <c r="D1517" s="34"/>
      <c r="E1517" s="34"/>
      <c r="F1517" s="35"/>
      <c r="G1517" s="9"/>
      <c r="H1517" s="9"/>
      <c r="I1517" s="34"/>
      <c r="J1517" s="30" t="str">
        <f aca="false">IF(F1517="","",G1517-B1517)</f>
        <v/>
      </c>
      <c r="K1517" s="31" t="str">
        <f aca="false">IF(F1517="","",IF(H1517&lt;&gt;"",H1517,MAX('Vade Sapması'!$D$3,G1517)))</f>
        <v/>
      </c>
      <c r="L1517" s="30" t="str">
        <f aca="false">IF(F1517="","",K1517-B1517)</f>
        <v/>
      </c>
      <c r="M1517" s="30" t="str">
        <f aca="false">IF(F1517="","",L1517-J1517)</f>
        <v/>
      </c>
      <c r="N1517" s="32" t="str">
        <f aca="false">IF(F1517="","",IF(H1517&lt;&gt;"","Kapandı",IF('Vade Sapması'!$D$3&gt;G1517,"Açık · vadesi geçti","Açık · vadesi gelmedi")))</f>
        <v/>
      </c>
      <c r="O1517" s="30" t="str">
        <f aca="false">IF(F1517="","",IF(AND(H1517="",'Vade Sapması'!$D$3&gt;G1517),'Vade Sapması'!$D$3-G1517,0))</f>
        <v/>
      </c>
      <c r="P1517" s="33" t="str">
        <f aca="false">IF(F1517="","",F1517*J1517)</f>
        <v/>
      </c>
      <c r="Q1517" s="33" t="str">
        <f aca="false">IF(F1517="","",F1517*L1517)</f>
        <v/>
      </c>
      <c r="R1517" s="33" t="str">
        <f aca="false">IF(F1517="","",IF(H1517="",F1517,0))</f>
        <v/>
      </c>
      <c r="S1517" s="32" t="str">
        <f aca="false">IF(F1517="","",IF(N(O1517)=0,"",IF(O1517&lt;=30,"1-30",IF(O1517&lt;=60,"31-60",IF(O1517&lt;=90,"61-90","90+")))))</f>
        <v/>
      </c>
      <c r="T1517" s="32" t="str">
        <f aca="false">IF(F1517="","",IF(E1517="","Diğer",E1517))</f>
        <v/>
      </c>
      <c r="U1517" s="32" t="str">
        <f aca="false">IF(OR(F1517="",C1517=""),"",IF(COUNTIF($C$2:C1517,C1517)=1,MAX($U$1:U1516)+1,""))</f>
        <v/>
      </c>
    </row>
    <row r="1518" customFormat="false" ht="15" hidden="false" customHeight="false" outlineLevel="0" collapsed="false">
      <c r="A1518" s="34"/>
      <c r="B1518" s="9"/>
      <c r="C1518" s="34"/>
      <c r="D1518" s="34"/>
      <c r="E1518" s="34"/>
      <c r="F1518" s="35"/>
      <c r="G1518" s="9"/>
      <c r="H1518" s="9"/>
      <c r="I1518" s="34"/>
      <c r="J1518" s="30" t="str">
        <f aca="false">IF(F1518="","",G1518-B1518)</f>
        <v/>
      </c>
      <c r="K1518" s="31" t="str">
        <f aca="false">IF(F1518="","",IF(H1518&lt;&gt;"",H1518,MAX('Vade Sapması'!$D$3,G1518)))</f>
        <v/>
      </c>
      <c r="L1518" s="30" t="str">
        <f aca="false">IF(F1518="","",K1518-B1518)</f>
        <v/>
      </c>
      <c r="M1518" s="30" t="str">
        <f aca="false">IF(F1518="","",L1518-J1518)</f>
        <v/>
      </c>
      <c r="N1518" s="32" t="str">
        <f aca="false">IF(F1518="","",IF(H1518&lt;&gt;"","Kapandı",IF('Vade Sapması'!$D$3&gt;G1518,"Açık · vadesi geçti","Açık · vadesi gelmedi")))</f>
        <v/>
      </c>
      <c r="O1518" s="30" t="str">
        <f aca="false">IF(F1518="","",IF(AND(H1518="",'Vade Sapması'!$D$3&gt;G1518),'Vade Sapması'!$D$3-G1518,0))</f>
        <v/>
      </c>
      <c r="P1518" s="33" t="str">
        <f aca="false">IF(F1518="","",F1518*J1518)</f>
        <v/>
      </c>
      <c r="Q1518" s="33" t="str">
        <f aca="false">IF(F1518="","",F1518*L1518)</f>
        <v/>
      </c>
      <c r="R1518" s="33" t="str">
        <f aca="false">IF(F1518="","",IF(H1518="",F1518,0))</f>
        <v/>
      </c>
      <c r="S1518" s="32" t="str">
        <f aca="false">IF(F1518="","",IF(N(O1518)=0,"",IF(O1518&lt;=30,"1-30",IF(O1518&lt;=60,"31-60",IF(O1518&lt;=90,"61-90","90+")))))</f>
        <v/>
      </c>
      <c r="T1518" s="32" t="str">
        <f aca="false">IF(F1518="","",IF(E1518="","Diğer",E1518))</f>
        <v/>
      </c>
      <c r="U1518" s="32" t="str">
        <f aca="false">IF(OR(F1518="",C1518=""),"",IF(COUNTIF($C$2:C1518,C1518)=1,MAX($U$1:U1517)+1,""))</f>
        <v/>
      </c>
    </row>
    <row r="1519" customFormat="false" ht="15" hidden="false" customHeight="false" outlineLevel="0" collapsed="false">
      <c r="A1519" s="34"/>
      <c r="B1519" s="9"/>
      <c r="C1519" s="34"/>
      <c r="D1519" s="34"/>
      <c r="E1519" s="34"/>
      <c r="F1519" s="35"/>
      <c r="G1519" s="9"/>
      <c r="H1519" s="9"/>
      <c r="I1519" s="34"/>
      <c r="J1519" s="30" t="str">
        <f aca="false">IF(F1519="","",G1519-B1519)</f>
        <v/>
      </c>
      <c r="K1519" s="31" t="str">
        <f aca="false">IF(F1519="","",IF(H1519&lt;&gt;"",H1519,MAX('Vade Sapması'!$D$3,G1519)))</f>
        <v/>
      </c>
      <c r="L1519" s="30" t="str">
        <f aca="false">IF(F1519="","",K1519-B1519)</f>
        <v/>
      </c>
      <c r="M1519" s="30" t="str">
        <f aca="false">IF(F1519="","",L1519-J1519)</f>
        <v/>
      </c>
      <c r="N1519" s="32" t="str">
        <f aca="false">IF(F1519="","",IF(H1519&lt;&gt;"","Kapandı",IF('Vade Sapması'!$D$3&gt;G1519,"Açık · vadesi geçti","Açık · vadesi gelmedi")))</f>
        <v/>
      </c>
      <c r="O1519" s="30" t="str">
        <f aca="false">IF(F1519="","",IF(AND(H1519="",'Vade Sapması'!$D$3&gt;G1519),'Vade Sapması'!$D$3-G1519,0))</f>
        <v/>
      </c>
      <c r="P1519" s="33" t="str">
        <f aca="false">IF(F1519="","",F1519*J1519)</f>
        <v/>
      </c>
      <c r="Q1519" s="33" t="str">
        <f aca="false">IF(F1519="","",F1519*L1519)</f>
        <v/>
      </c>
      <c r="R1519" s="33" t="str">
        <f aca="false">IF(F1519="","",IF(H1519="",F1519,0))</f>
        <v/>
      </c>
      <c r="S1519" s="32" t="str">
        <f aca="false">IF(F1519="","",IF(N(O1519)=0,"",IF(O1519&lt;=30,"1-30",IF(O1519&lt;=60,"31-60",IF(O1519&lt;=90,"61-90","90+")))))</f>
        <v/>
      </c>
      <c r="T1519" s="32" t="str">
        <f aca="false">IF(F1519="","",IF(E1519="","Diğer",E1519))</f>
        <v/>
      </c>
      <c r="U1519" s="32" t="str">
        <f aca="false">IF(OR(F1519="",C1519=""),"",IF(COUNTIF($C$2:C1519,C1519)=1,MAX($U$1:U1518)+1,""))</f>
        <v/>
      </c>
    </row>
    <row r="1520" customFormat="false" ht="15" hidden="false" customHeight="false" outlineLevel="0" collapsed="false">
      <c r="A1520" s="34"/>
      <c r="B1520" s="9"/>
      <c r="C1520" s="34"/>
      <c r="D1520" s="34"/>
      <c r="E1520" s="34"/>
      <c r="F1520" s="35"/>
      <c r="G1520" s="9"/>
      <c r="H1520" s="9"/>
      <c r="I1520" s="34"/>
      <c r="J1520" s="30" t="str">
        <f aca="false">IF(F1520="","",G1520-B1520)</f>
        <v/>
      </c>
      <c r="K1520" s="31" t="str">
        <f aca="false">IF(F1520="","",IF(H1520&lt;&gt;"",H1520,MAX('Vade Sapması'!$D$3,G1520)))</f>
        <v/>
      </c>
      <c r="L1520" s="30" t="str">
        <f aca="false">IF(F1520="","",K1520-B1520)</f>
        <v/>
      </c>
      <c r="M1520" s="30" t="str">
        <f aca="false">IF(F1520="","",L1520-J1520)</f>
        <v/>
      </c>
      <c r="N1520" s="32" t="str">
        <f aca="false">IF(F1520="","",IF(H1520&lt;&gt;"","Kapandı",IF('Vade Sapması'!$D$3&gt;G1520,"Açık · vadesi geçti","Açık · vadesi gelmedi")))</f>
        <v/>
      </c>
      <c r="O1520" s="30" t="str">
        <f aca="false">IF(F1520="","",IF(AND(H1520="",'Vade Sapması'!$D$3&gt;G1520),'Vade Sapması'!$D$3-G1520,0))</f>
        <v/>
      </c>
      <c r="P1520" s="33" t="str">
        <f aca="false">IF(F1520="","",F1520*J1520)</f>
        <v/>
      </c>
      <c r="Q1520" s="33" t="str">
        <f aca="false">IF(F1520="","",F1520*L1520)</f>
        <v/>
      </c>
      <c r="R1520" s="33" t="str">
        <f aca="false">IF(F1520="","",IF(H1520="",F1520,0))</f>
        <v/>
      </c>
      <c r="S1520" s="32" t="str">
        <f aca="false">IF(F1520="","",IF(N(O1520)=0,"",IF(O1520&lt;=30,"1-30",IF(O1520&lt;=60,"31-60",IF(O1520&lt;=90,"61-90","90+")))))</f>
        <v/>
      </c>
      <c r="T1520" s="32" t="str">
        <f aca="false">IF(F1520="","",IF(E1520="","Diğer",E1520))</f>
        <v/>
      </c>
      <c r="U1520" s="32" t="str">
        <f aca="false">IF(OR(F1520="",C1520=""),"",IF(COUNTIF($C$2:C1520,C1520)=1,MAX($U$1:U1519)+1,""))</f>
        <v/>
      </c>
    </row>
    <row r="1521" customFormat="false" ht="15" hidden="false" customHeight="false" outlineLevel="0" collapsed="false">
      <c r="A1521" s="34"/>
      <c r="B1521" s="9"/>
      <c r="C1521" s="34"/>
      <c r="D1521" s="34"/>
      <c r="E1521" s="34"/>
      <c r="F1521" s="35"/>
      <c r="G1521" s="9"/>
      <c r="H1521" s="9"/>
      <c r="I1521" s="34"/>
      <c r="J1521" s="30" t="str">
        <f aca="false">IF(F1521="","",G1521-B1521)</f>
        <v/>
      </c>
      <c r="K1521" s="31" t="str">
        <f aca="false">IF(F1521="","",IF(H1521&lt;&gt;"",H1521,MAX('Vade Sapması'!$D$3,G1521)))</f>
        <v/>
      </c>
      <c r="L1521" s="30" t="str">
        <f aca="false">IF(F1521="","",K1521-B1521)</f>
        <v/>
      </c>
      <c r="M1521" s="30" t="str">
        <f aca="false">IF(F1521="","",L1521-J1521)</f>
        <v/>
      </c>
      <c r="N1521" s="32" t="str">
        <f aca="false">IF(F1521="","",IF(H1521&lt;&gt;"","Kapandı",IF('Vade Sapması'!$D$3&gt;G1521,"Açık · vadesi geçti","Açık · vadesi gelmedi")))</f>
        <v/>
      </c>
      <c r="O1521" s="30" t="str">
        <f aca="false">IF(F1521="","",IF(AND(H1521="",'Vade Sapması'!$D$3&gt;G1521),'Vade Sapması'!$D$3-G1521,0))</f>
        <v/>
      </c>
      <c r="P1521" s="33" t="str">
        <f aca="false">IF(F1521="","",F1521*J1521)</f>
        <v/>
      </c>
      <c r="Q1521" s="33" t="str">
        <f aca="false">IF(F1521="","",F1521*L1521)</f>
        <v/>
      </c>
      <c r="R1521" s="33" t="str">
        <f aca="false">IF(F1521="","",IF(H1521="",F1521,0))</f>
        <v/>
      </c>
      <c r="S1521" s="32" t="str">
        <f aca="false">IF(F1521="","",IF(N(O1521)=0,"",IF(O1521&lt;=30,"1-30",IF(O1521&lt;=60,"31-60",IF(O1521&lt;=90,"61-90","90+")))))</f>
        <v/>
      </c>
      <c r="T1521" s="32" t="str">
        <f aca="false">IF(F1521="","",IF(E1521="","Diğer",E1521))</f>
        <v/>
      </c>
      <c r="U1521" s="32" t="str">
        <f aca="false">IF(OR(F1521="",C1521=""),"",IF(COUNTIF($C$2:C1521,C1521)=1,MAX($U$1:U1520)+1,""))</f>
        <v/>
      </c>
    </row>
    <row r="1522" customFormat="false" ht="15" hidden="false" customHeight="false" outlineLevel="0" collapsed="false">
      <c r="A1522" s="34"/>
      <c r="B1522" s="9"/>
      <c r="C1522" s="34"/>
      <c r="D1522" s="34"/>
      <c r="E1522" s="34"/>
      <c r="F1522" s="35"/>
      <c r="G1522" s="9"/>
      <c r="H1522" s="9"/>
      <c r="I1522" s="34"/>
      <c r="J1522" s="30" t="str">
        <f aca="false">IF(F1522="","",G1522-B1522)</f>
        <v/>
      </c>
      <c r="K1522" s="31" t="str">
        <f aca="false">IF(F1522="","",IF(H1522&lt;&gt;"",H1522,MAX('Vade Sapması'!$D$3,G1522)))</f>
        <v/>
      </c>
      <c r="L1522" s="30" t="str">
        <f aca="false">IF(F1522="","",K1522-B1522)</f>
        <v/>
      </c>
      <c r="M1522" s="30" t="str">
        <f aca="false">IF(F1522="","",L1522-J1522)</f>
        <v/>
      </c>
      <c r="N1522" s="32" t="str">
        <f aca="false">IF(F1522="","",IF(H1522&lt;&gt;"","Kapandı",IF('Vade Sapması'!$D$3&gt;G1522,"Açık · vadesi geçti","Açık · vadesi gelmedi")))</f>
        <v/>
      </c>
      <c r="O1522" s="30" t="str">
        <f aca="false">IF(F1522="","",IF(AND(H1522="",'Vade Sapması'!$D$3&gt;G1522),'Vade Sapması'!$D$3-G1522,0))</f>
        <v/>
      </c>
      <c r="P1522" s="33" t="str">
        <f aca="false">IF(F1522="","",F1522*J1522)</f>
        <v/>
      </c>
      <c r="Q1522" s="33" t="str">
        <f aca="false">IF(F1522="","",F1522*L1522)</f>
        <v/>
      </c>
      <c r="R1522" s="33" t="str">
        <f aca="false">IF(F1522="","",IF(H1522="",F1522,0))</f>
        <v/>
      </c>
      <c r="S1522" s="32" t="str">
        <f aca="false">IF(F1522="","",IF(N(O1522)=0,"",IF(O1522&lt;=30,"1-30",IF(O1522&lt;=60,"31-60",IF(O1522&lt;=90,"61-90","90+")))))</f>
        <v/>
      </c>
      <c r="T1522" s="32" t="str">
        <f aca="false">IF(F1522="","",IF(E1522="","Diğer",E1522))</f>
        <v/>
      </c>
      <c r="U1522" s="32" t="str">
        <f aca="false">IF(OR(F1522="",C1522=""),"",IF(COUNTIF($C$2:C1522,C1522)=1,MAX($U$1:U1521)+1,""))</f>
        <v/>
      </c>
    </row>
    <row r="1523" customFormat="false" ht="15" hidden="false" customHeight="false" outlineLevel="0" collapsed="false">
      <c r="A1523" s="34"/>
      <c r="B1523" s="9"/>
      <c r="C1523" s="34"/>
      <c r="D1523" s="34"/>
      <c r="E1523" s="34"/>
      <c r="F1523" s="35"/>
      <c r="G1523" s="9"/>
      <c r="H1523" s="9"/>
      <c r="I1523" s="34"/>
      <c r="J1523" s="30" t="str">
        <f aca="false">IF(F1523="","",G1523-B1523)</f>
        <v/>
      </c>
      <c r="K1523" s="31" t="str">
        <f aca="false">IF(F1523="","",IF(H1523&lt;&gt;"",H1523,MAX('Vade Sapması'!$D$3,G1523)))</f>
        <v/>
      </c>
      <c r="L1523" s="30" t="str">
        <f aca="false">IF(F1523="","",K1523-B1523)</f>
        <v/>
      </c>
      <c r="M1523" s="30" t="str">
        <f aca="false">IF(F1523="","",L1523-J1523)</f>
        <v/>
      </c>
      <c r="N1523" s="32" t="str">
        <f aca="false">IF(F1523="","",IF(H1523&lt;&gt;"","Kapandı",IF('Vade Sapması'!$D$3&gt;G1523,"Açık · vadesi geçti","Açık · vadesi gelmedi")))</f>
        <v/>
      </c>
      <c r="O1523" s="30" t="str">
        <f aca="false">IF(F1523="","",IF(AND(H1523="",'Vade Sapması'!$D$3&gt;G1523),'Vade Sapması'!$D$3-G1523,0))</f>
        <v/>
      </c>
      <c r="P1523" s="33" t="str">
        <f aca="false">IF(F1523="","",F1523*J1523)</f>
        <v/>
      </c>
      <c r="Q1523" s="33" t="str">
        <f aca="false">IF(F1523="","",F1523*L1523)</f>
        <v/>
      </c>
      <c r="R1523" s="33" t="str">
        <f aca="false">IF(F1523="","",IF(H1523="",F1523,0))</f>
        <v/>
      </c>
      <c r="S1523" s="32" t="str">
        <f aca="false">IF(F1523="","",IF(N(O1523)=0,"",IF(O1523&lt;=30,"1-30",IF(O1523&lt;=60,"31-60",IF(O1523&lt;=90,"61-90","90+")))))</f>
        <v/>
      </c>
      <c r="T1523" s="32" t="str">
        <f aca="false">IF(F1523="","",IF(E1523="","Diğer",E1523))</f>
        <v/>
      </c>
      <c r="U1523" s="32" t="str">
        <f aca="false">IF(OR(F1523="",C1523=""),"",IF(COUNTIF($C$2:C1523,C1523)=1,MAX($U$1:U1522)+1,""))</f>
        <v/>
      </c>
    </row>
    <row r="1524" customFormat="false" ht="15" hidden="false" customHeight="false" outlineLevel="0" collapsed="false">
      <c r="A1524" s="34"/>
      <c r="B1524" s="9"/>
      <c r="C1524" s="34"/>
      <c r="D1524" s="34"/>
      <c r="E1524" s="34"/>
      <c r="F1524" s="35"/>
      <c r="G1524" s="9"/>
      <c r="H1524" s="9"/>
      <c r="I1524" s="34"/>
      <c r="J1524" s="30" t="str">
        <f aca="false">IF(F1524="","",G1524-B1524)</f>
        <v/>
      </c>
      <c r="K1524" s="31" t="str">
        <f aca="false">IF(F1524="","",IF(H1524&lt;&gt;"",H1524,MAX('Vade Sapması'!$D$3,G1524)))</f>
        <v/>
      </c>
      <c r="L1524" s="30" t="str">
        <f aca="false">IF(F1524="","",K1524-B1524)</f>
        <v/>
      </c>
      <c r="M1524" s="30" t="str">
        <f aca="false">IF(F1524="","",L1524-J1524)</f>
        <v/>
      </c>
      <c r="N1524" s="32" t="str">
        <f aca="false">IF(F1524="","",IF(H1524&lt;&gt;"","Kapandı",IF('Vade Sapması'!$D$3&gt;G1524,"Açık · vadesi geçti","Açık · vadesi gelmedi")))</f>
        <v/>
      </c>
      <c r="O1524" s="30" t="str">
        <f aca="false">IF(F1524="","",IF(AND(H1524="",'Vade Sapması'!$D$3&gt;G1524),'Vade Sapması'!$D$3-G1524,0))</f>
        <v/>
      </c>
      <c r="P1524" s="33" t="str">
        <f aca="false">IF(F1524="","",F1524*J1524)</f>
        <v/>
      </c>
      <c r="Q1524" s="33" t="str">
        <f aca="false">IF(F1524="","",F1524*L1524)</f>
        <v/>
      </c>
      <c r="R1524" s="33" t="str">
        <f aca="false">IF(F1524="","",IF(H1524="",F1524,0))</f>
        <v/>
      </c>
      <c r="S1524" s="32" t="str">
        <f aca="false">IF(F1524="","",IF(N(O1524)=0,"",IF(O1524&lt;=30,"1-30",IF(O1524&lt;=60,"31-60",IF(O1524&lt;=90,"61-90","90+")))))</f>
        <v/>
      </c>
      <c r="T1524" s="32" t="str">
        <f aca="false">IF(F1524="","",IF(E1524="","Diğer",E1524))</f>
        <v/>
      </c>
      <c r="U1524" s="32" t="str">
        <f aca="false">IF(OR(F1524="",C1524=""),"",IF(COUNTIF($C$2:C1524,C1524)=1,MAX($U$1:U1523)+1,""))</f>
        <v/>
      </c>
    </row>
    <row r="1525" customFormat="false" ht="15" hidden="false" customHeight="false" outlineLevel="0" collapsed="false">
      <c r="A1525" s="34"/>
      <c r="B1525" s="9"/>
      <c r="C1525" s="34"/>
      <c r="D1525" s="34"/>
      <c r="E1525" s="34"/>
      <c r="F1525" s="35"/>
      <c r="G1525" s="9"/>
      <c r="H1525" s="9"/>
      <c r="I1525" s="34"/>
      <c r="J1525" s="30" t="str">
        <f aca="false">IF(F1525="","",G1525-B1525)</f>
        <v/>
      </c>
      <c r="K1525" s="31" t="str">
        <f aca="false">IF(F1525="","",IF(H1525&lt;&gt;"",H1525,MAX('Vade Sapması'!$D$3,G1525)))</f>
        <v/>
      </c>
      <c r="L1525" s="30" t="str">
        <f aca="false">IF(F1525="","",K1525-B1525)</f>
        <v/>
      </c>
      <c r="M1525" s="30" t="str">
        <f aca="false">IF(F1525="","",L1525-J1525)</f>
        <v/>
      </c>
      <c r="N1525" s="32" t="str">
        <f aca="false">IF(F1525="","",IF(H1525&lt;&gt;"","Kapandı",IF('Vade Sapması'!$D$3&gt;G1525,"Açık · vadesi geçti","Açık · vadesi gelmedi")))</f>
        <v/>
      </c>
      <c r="O1525" s="30" t="str">
        <f aca="false">IF(F1525="","",IF(AND(H1525="",'Vade Sapması'!$D$3&gt;G1525),'Vade Sapması'!$D$3-G1525,0))</f>
        <v/>
      </c>
      <c r="P1525" s="33" t="str">
        <f aca="false">IF(F1525="","",F1525*J1525)</f>
        <v/>
      </c>
      <c r="Q1525" s="33" t="str">
        <f aca="false">IF(F1525="","",F1525*L1525)</f>
        <v/>
      </c>
      <c r="R1525" s="33" t="str">
        <f aca="false">IF(F1525="","",IF(H1525="",F1525,0))</f>
        <v/>
      </c>
      <c r="S1525" s="32" t="str">
        <f aca="false">IF(F1525="","",IF(N(O1525)=0,"",IF(O1525&lt;=30,"1-30",IF(O1525&lt;=60,"31-60",IF(O1525&lt;=90,"61-90","90+")))))</f>
        <v/>
      </c>
      <c r="T1525" s="32" t="str">
        <f aca="false">IF(F1525="","",IF(E1525="","Diğer",E1525))</f>
        <v/>
      </c>
      <c r="U1525" s="32" t="str">
        <f aca="false">IF(OR(F1525="",C1525=""),"",IF(COUNTIF($C$2:C1525,C1525)=1,MAX($U$1:U1524)+1,""))</f>
        <v/>
      </c>
    </row>
    <row r="1526" customFormat="false" ht="15" hidden="false" customHeight="false" outlineLevel="0" collapsed="false">
      <c r="A1526" s="34"/>
      <c r="B1526" s="9"/>
      <c r="C1526" s="34"/>
      <c r="D1526" s="34"/>
      <c r="E1526" s="34"/>
      <c r="F1526" s="35"/>
      <c r="G1526" s="9"/>
      <c r="H1526" s="9"/>
      <c r="I1526" s="34"/>
      <c r="J1526" s="30" t="str">
        <f aca="false">IF(F1526="","",G1526-B1526)</f>
        <v/>
      </c>
      <c r="K1526" s="31" t="str">
        <f aca="false">IF(F1526="","",IF(H1526&lt;&gt;"",H1526,MAX('Vade Sapması'!$D$3,G1526)))</f>
        <v/>
      </c>
      <c r="L1526" s="30" t="str">
        <f aca="false">IF(F1526="","",K1526-B1526)</f>
        <v/>
      </c>
      <c r="M1526" s="30" t="str">
        <f aca="false">IF(F1526="","",L1526-J1526)</f>
        <v/>
      </c>
      <c r="N1526" s="32" t="str">
        <f aca="false">IF(F1526="","",IF(H1526&lt;&gt;"","Kapandı",IF('Vade Sapması'!$D$3&gt;G1526,"Açık · vadesi geçti","Açık · vadesi gelmedi")))</f>
        <v/>
      </c>
      <c r="O1526" s="30" t="str">
        <f aca="false">IF(F1526="","",IF(AND(H1526="",'Vade Sapması'!$D$3&gt;G1526),'Vade Sapması'!$D$3-G1526,0))</f>
        <v/>
      </c>
      <c r="P1526" s="33" t="str">
        <f aca="false">IF(F1526="","",F1526*J1526)</f>
        <v/>
      </c>
      <c r="Q1526" s="33" t="str">
        <f aca="false">IF(F1526="","",F1526*L1526)</f>
        <v/>
      </c>
      <c r="R1526" s="33" t="str">
        <f aca="false">IF(F1526="","",IF(H1526="",F1526,0))</f>
        <v/>
      </c>
      <c r="S1526" s="32" t="str">
        <f aca="false">IF(F1526="","",IF(N(O1526)=0,"",IF(O1526&lt;=30,"1-30",IF(O1526&lt;=60,"31-60",IF(O1526&lt;=90,"61-90","90+")))))</f>
        <v/>
      </c>
      <c r="T1526" s="32" t="str">
        <f aca="false">IF(F1526="","",IF(E1526="","Diğer",E1526))</f>
        <v/>
      </c>
      <c r="U1526" s="32" t="str">
        <f aca="false">IF(OR(F1526="",C1526=""),"",IF(COUNTIF($C$2:C1526,C1526)=1,MAX($U$1:U1525)+1,""))</f>
        <v/>
      </c>
    </row>
    <row r="1527" customFormat="false" ht="15" hidden="false" customHeight="false" outlineLevel="0" collapsed="false">
      <c r="A1527" s="34"/>
      <c r="B1527" s="9"/>
      <c r="C1527" s="34"/>
      <c r="D1527" s="34"/>
      <c r="E1527" s="34"/>
      <c r="F1527" s="35"/>
      <c r="G1527" s="9"/>
      <c r="H1527" s="9"/>
      <c r="I1527" s="34"/>
      <c r="J1527" s="30" t="str">
        <f aca="false">IF(F1527="","",G1527-B1527)</f>
        <v/>
      </c>
      <c r="K1527" s="31" t="str">
        <f aca="false">IF(F1527="","",IF(H1527&lt;&gt;"",H1527,MAX('Vade Sapması'!$D$3,G1527)))</f>
        <v/>
      </c>
      <c r="L1527" s="30" t="str">
        <f aca="false">IF(F1527="","",K1527-B1527)</f>
        <v/>
      </c>
      <c r="M1527" s="30" t="str">
        <f aca="false">IF(F1527="","",L1527-J1527)</f>
        <v/>
      </c>
      <c r="N1527" s="32" t="str">
        <f aca="false">IF(F1527="","",IF(H1527&lt;&gt;"","Kapandı",IF('Vade Sapması'!$D$3&gt;G1527,"Açık · vadesi geçti","Açık · vadesi gelmedi")))</f>
        <v/>
      </c>
      <c r="O1527" s="30" t="str">
        <f aca="false">IF(F1527="","",IF(AND(H1527="",'Vade Sapması'!$D$3&gt;G1527),'Vade Sapması'!$D$3-G1527,0))</f>
        <v/>
      </c>
      <c r="P1527" s="33" t="str">
        <f aca="false">IF(F1527="","",F1527*J1527)</f>
        <v/>
      </c>
      <c r="Q1527" s="33" t="str">
        <f aca="false">IF(F1527="","",F1527*L1527)</f>
        <v/>
      </c>
      <c r="R1527" s="33" t="str">
        <f aca="false">IF(F1527="","",IF(H1527="",F1527,0))</f>
        <v/>
      </c>
      <c r="S1527" s="32" t="str">
        <f aca="false">IF(F1527="","",IF(N(O1527)=0,"",IF(O1527&lt;=30,"1-30",IF(O1527&lt;=60,"31-60",IF(O1527&lt;=90,"61-90","90+")))))</f>
        <v/>
      </c>
      <c r="T1527" s="32" t="str">
        <f aca="false">IF(F1527="","",IF(E1527="","Diğer",E1527))</f>
        <v/>
      </c>
      <c r="U1527" s="32" t="str">
        <f aca="false">IF(OR(F1527="",C1527=""),"",IF(COUNTIF($C$2:C1527,C1527)=1,MAX($U$1:U1526)+1,""))</f>
        <v/>
      </c>
    </row>
    <row r="1528" customFormat="false" ht="15" hidden="false" customHeight="false" outlineLevel="0" collapsed="false">
      <c r="A1528" s="34"/>
      <c r="B1528" s="9"/>
      <c r="C1528" s="34"/>
      <c r="D1528" s="34"/>
      <c r="E1528" s="34"/>
      <c r="F1528" s="35"/>
      <c r="G1528" s="9"/>
      <c r="H1528" s="9"/>
      <c r="I1528" s="34"/>
      <c r="J1528" s="30" t="str">
        <f aca="false">IF(F1528="","",G1528-B1528)</f>
        <v/>
      </c>
      <c r="K1528" s="31" t="str">
        <f aca="false">IF(F1528="","",IF(H1528&lt;&gt;"",H1528,MAX('Vade Sapması'!$D$3,G1528)))</f>
        <v/>
      </c>
      <c r="L1528" s="30" t="str">
        <f aca="false">IF(F1528="","",K1528-B1528)</f>
        <v/>
      </c>
      <c r="M1528" s="30" t="str">
        <f aca="false">IF(F1528="","",L1528-J1528)</f>
        <v/>
      </c>
      <c r="N1528" s="32" t="str">
        <f aca="false">IF(F1528="","",IF(H1528&lt;&gt;"","Kapandı",IF('Vade Sapması'!$D$3&gt;G1528,"Açık · vadesi geçti","Açık · vadesi gelmedi")))</f>
        <v/>
      </c>
      <c r="O1528" s="30" t="str">
        <f aca="false">IF(F1528="","",IF(AND(H1528="",'Vade Sapması'!$D$3&gt;G1528),'Vade Sapması'!$D$3-G1528,0))</f>
        <v/>
      </c>
      <c r="P1528" s="33" t="str">
        <f aca="false">IF(F1528="","",F1528*J1528)</f>
        <v/>
      </c>
      <c r="Q1528" s="33" t="str">
        <f aca="false">IF(F1528="","",F1528*L1528)</f>
        <v/>
      </c>
      <c r="R1528" s="33" t="str">
        <f aca="false">IF(F1528="","",IF(H1528="",F1528,0))</f>
        <v/>
      </c>
      <c r="S1528" s="32" t="str">
        <f aca="false">IF(F1528="","",IF(N(O1528)=0,"",IF(O1528&lt;=30,"1-30",IF(O1528&lt;=60,"31-60",IF(O1528&lt;=90,"61-90","90+")))))</f>
        <v/>
      </c>
      <c r="T1528" s="32" t="str">
        <f aca="false">IF(F1528="","",IF(E1528="","Diğer",E1528))</f>
        <v/>
      </c>
      <c r="U1528" s="32" t="str">
        <f aca="false">IF(OR(F1528="",C1528=""),"",IF(COUNTIF($C$2:C1528,C1528)=1,MAX($U$1:U1527)+1,""))</f>
        <v/>
      </c>
    </row>
    <row r="1529" customFormat="false" ht="15" hidden="false" customHeight="false" outlineLevel="0" collapsed="false">
      <c r="A1529" s="34"/>
      <c r="B1529" s="9"/>
      <c r="C1529" s="34"/>
      <c r="D1529" s="34"/>
      <c r="E1529" s="34"/>
      <c r="F1529" s="35"/>
      <c r="G1529" s="9"/>
      <c r="H1529" s="9"/>
      <c r="I1529" s="34"/>
      <c r="J1529" s="30" t="str">
        <f aca="false">IF(F1529="","",G1529-B1529)</f>
        <v/>
      </c>
      <c r="K1529" s="31" t="str">
        <f aca="false">IF(F1529="","",IF(H1529&lt;&gt;"",H1529,MAX('Vade Sapması'!$D$3,G1529)))</f>
        <v/>
      </c>
      <c r="L1529" s="30" t="str">
        <f aca="false">IF(F1529="","",K1529-B1529)</f>
        <v/>
      </c>
      <c r="M1529" s="30" t="str">
        <f aca="false">IF(F1529="","",L1529-J1529)</f>
        <v/>
      </c>
      <c r="N1529" s="32" t="str">
        <f aca="false">IF(F1529="","",IF(H1529&lt;&gt;"","Kapandı",IF('Vade Sapması'!$D$3&gt;G1529,"Açık · vadesi geçti","Açık · vadesi gelmedi")))</f>
        <v/>
      </c>
      <c r="O1529" s="30" t="str">
        <f aca="false">IF(F1529="","",IF(AND(H1529="",'Vade Sapması'!$D$3&gt;G1529),'Vade Sapması'!$D$3-G1529,0))</f>
        <v/>
      </c>
      <c r="P1529" s="33" t="str">
        <f aca="false">IF(F1529="","",F1529*J1529)</f>
        <v/>
      </c>
      <c r="Q1529" s="33" t="str">
        <f aca="false">IF(F1529="","",F1529*L1529)</f>
        <v/>
      </c>
      <c r="R1529" s="33" t="str">
        <f aca="false">IF(F1529="","",IF(H1529="",F1529,0))</f>
        <v/>
      </c>
      <c r="S1529" s="32" t="str">
        <f aca="false">IF(F1529="","",IF(N(O1529)=0,"",IF(O1529&lt;=30,"1-30",IF(O1529&lt;=60,"31-60",IF(O1529&lt;=90,"61-90","90+")))))</f>
        <v/>
      </c>
      <c r="T1529" s="32" t="str">
        <f aca="false">IF(F1529="","",IF(E1529="","Diğer",E1529))</f>
        <v/>
      </c>
      <c r="U1529" s="32" t="str">
        <f aca="false">IF(OR(F1529="",C1529=""),"",IF(COUNTIF($C$2:C1529,C1529)=1,MAX($U$1:U1528)+1,""))</f>
        <v/>
      </c>
    </row>
    <row r="1530" customFormat="false" ht="15" hidden="false" customHeight="false" outlineLevel="0" collapsed="false">
      <c r="A1530" s="34"/>
      <c r="B1530" s="9"/>
      <c r="C1530" s="34"/>
      <c r="D1530" s="34"/>
      <c r="E1530" s="34"/>
      <c r="F1530" s="35"/>
      <c r="G1530" s="9"/>
      <c r="H1530" s="9"/>
      <c r="I1530" s="34"/>
      <c r="J1530" s="30" t="str">
        <f aca="false">IF(F1530="","",G1530-B1530)</f>
        <v/>
      </c>
      <c r="K1530" s="31" t="str">
        <f aca="false">IF(F1530="","",IF(H1530&lt;&gt;"",H1530,MAX('Vade Sapması'!$D$3,G1530)))</f>
        <v/>
      </c>
      <c r="L1530" s="30" t="str">
        <f aca="false">IF(F1530="","",K1530-B1530)</f>
        <v/>
      </c>
      <c r="M1530" s="30" t="str">
        <f aca="false">IF(F1530="","",L1530-J1530)</f>
        <v/>
      </c>
      <c r="N1530" s="32" t="str">
        <f aca="false">IF(F1530="","",IF(H1530&lt;&gt;"","Kapandı",IF('Vade Sapması'!$D$3&gt;G1530,"Açık · vadesi geçti","Açık · vadesi gelmedi")))</f>
        <v/>
      </c>
      <c r="O1530" s="30" t="str">
        <f aca="false">IF(F1530="","",IF(AND(H1530="",'Vade Sapması'!$D$3&gt;G1530),'Vade Sapması'!$D$3-G1530,0))</f>
        <v/>
      </c>
      <c r="P1530" s="33" t="str">
        <f aca="false">IF(F1530="","",F1530*J1530)</f>
        <v/>
      </c>
      <c r="Q1530" s="33" t="str">
        <f aca="false">IF(F1530="","",F1530*L1530)</f>
        <v/>
      </c>
      <c r="R1530" s="33" t="str">
        <f aca="false">IF(F1530="","",IF(H1530="",F1530,0))</f>
        <v/>
      </c>
      <c r="S1530" s="32" t="str">
        <f aca="false">IF(F1530="","",IF(N(O1530)=0,"",IF(O1530&lt;=30,"1-30",IF(O1530&lt;=60,"31-60",IF(O1530&lt;=90,"61-90","90+")))))</f>
        <v/>
      </c>
      <c r="T1530" s="32" t="str">
        <f aca="false">IF(F1530="","",IF(E1530="","Diğer",E1530))</f>
        <v/>
      </c>
      <c r="U1530" s="32" t="str">
        <f aca="false">IF(OR(F1530="",C1530=""),"",IF(COUNTIF($C$2:C1530,C1530)=1,MAX($U$1:U1529)+1,""))</f>
        <v/>
      </c>
    </row>
    <row r="1531" customFormat="false" ht="15" hidden="false" customHeight="false" outlineLevel="0" collapsed="false">
      <c r="A1531" s="34"/>
      <c r="B1531" s="9"/>
      <c r="C1531" s="34"/>
      <c r="D1531" s="34"/>
      <c r="E1531" s="34"/>
      <c r="F1531" s="35"/>
      <c r="G1531" s="9"/>
      <c r="H1531" s="9"/>
      <c r="I1531" s="34"/>
      <c r="J1531" s="30" t="str">
        <f aca="false">IF(F1531="","",G1531-B1531)</f>
        <v/>
      </c>
      <c r="K1531" s="31" t="str">
        <f aca="false">IF(F1531="","",IF(H1531&lt;&gt;"",H1531,MAX('Vade Sapması'!$D$3,G1531)))</f>
        <v/>
      </c>
      <c r="L1531" s="30" t="str">
        <f aca="false">IF(F1531="","",K1531-B1531)</f>
        <v/>
      </c>
      <c r="M1531" s="30" t="str">
        <f aca="false">IF(F1531="","",L1531-J1531)</f>
        <v/>
      </c>
      <c r="N1531" s="32" t="str">
        <f aca="false">IF(F1531="","",IF(H1531&lt;&gt;"","Kapandı",IF('Vade Sapması'!$D$3&gt;G1531,"Açık · vadesi geçti","Açık · vadesi gelmedi")))</f>
        <v/>
      </c>
      <c r="O1531" s="30" t="str">
        <f aca="false">IF(F1531="","",IF(AND(H1531="",'Vade Sapması'!$D$3&gt;G1531),'Vade Sapması'!$D$3-G1531,0))</f>
        <v/>
      </c>
      <c r="P1531" s="33" t="str">
        <f aca="false">IF(F1531="","",F1531*J1531)</f>
        <v/>
      </c>
      <c r="Q1531" s="33" t="str">
        <f aca="false">IF(F1531="","",F1531*L1531)</f>
        <v/>
      </c>
      <c r="R1531" s="33" t="str">
        <f aca="false">IF(F1531="","",IF(H1531="",F1531,0))</f>
        <v/>
      </c>
      <c r="S1531" s="32" t="str">
        <f aca="false">IF(F1531="","",IF(N(O1531)=0,"",IF(O1531&lt;=30,"1-30",IF(O1531&lt;=60,"31-60",IF(O1531&lt;=90,"61-90","90+")))))</f>
        <v/>
      </c>
      <c r="T1531" s="32" t="str">
        <f aca="false">IF(F1531="","",IF(E1531="","Diğer",E1531))</f>
        <v/>
      </c>
      <c r="U1531" s="32" t="str">
        <f aca="false">IF(OR(F1531="",C1531=""),"",IF(COUNTIF($C$2:C1531,C1531)=1,MAX($U$1:U1530)+1,""))</f>
        <v/>
      </c>
    </row>
    <row r="1532" customFormat="false" ht="15" hidden="false" customHeight="false" outlineLevel="0" collapsed="false">
      <c r="A1532" s="34"/>
      <c r="B1532" s="9"/>
      <c r="C1532" s="34"/>
      <c r="D1532" s="34"/>
      <c r="E1532" s="34"/>
      <c r="F1532" s="35"/>
      <c r="G1532" s="9"/>
      <c r="H1532" s="9"/>
      <c r="I1532" s="34"/>
      <c r="J1532" s="30" t="str">
        <f aca="false">IF(F1532="","",G1532-B1532)</f>
        <v/>
      </c>
      <c r="K1532" s="31" t="str">
        <f aca="false">IF(F1532="","",IF(H1532&lt;&gt;"",H1532,MAX('Vade Sapması'!$D$3,G1532)))</f>
        <v/>
      </c>
      <c r="L1532" s="30" t="str">
        <f aca="false">IF(F1532="","",K1532-B1532)</f>
        <v/>
      </c>
      <c r="M1532" s="30" t="str">
        <f aca="false">IF(F1532="","",L1532-J1532)</f>
        <v/>
      </c>
      <c r="N1532" s="32" t="str">
        <f aca="false">IF(F1532="","",IF(H1532&lt;&gt;"","Kapandı",IF('Vade Sapması'!$D$3&gt;G1532,"Açık · vadesi geçti","Açık · vadesi gelmedi")))</f>
        <v/>
      </c>
      <c r="O1532" s="30" t="str">
        <f aca="false">IF(F1532="","",IF(AND(H1532="",'Vade Sapması'!$D$3&gt;G1532),'Vade Sapması'!$D$3-G1532,0))</f>
        <v/>
      </c>
      <c r="P1532" s="33" t="str">
        <f aca="false">IF(F1532="","",F1532*J1532)</f>
        <v/>
      </c>
      <c r="Q1532" s="33" t="str">
        <f aca="false">IF(F1532="","",F1532*L1532)</f>
        <v/>
      </c>
      <c r="R1532" s="33" t="str">
        <f aca="false">IF(F1532="","",IF(H1532="",F1532,0))</f>
        <v/>
      </c>
      <c r="S1532" s="32" t="str">
        <f aca="false">IF(F1532="","",IF(N(O1532)=0,"",IF(O1532&lt;=30,"1-30",IF(O1532&lt;=60,"31-60",IF(O1532&lt;=90,"61-90","90+")))))</f>
        <v/>
      </c>
      <c r="T1532" s="32" t="str">
        <f aca="false">IF(F1532="","",IF(E1532="","Diğer",E1532))</f>
        <v/>
      </c>
      <c r="U1532" s="32" t="str">
        <f aca="false">IF(OR(F1532="",C1532=""),"",IF(COUNTIF($C$2:C1532,C1532)=1,MAX($U$1:U1531)+1,""))</f>
        <v/>
      </c>
    </row>
    <row r="1533" customFormat="false" ht="15" hidden="false" customHeight="false" outlineLevel="0" collapsed="false">
      <c r="A1533" s="34"/>
      <c r="B1533" s="9"/>
      <c r="C1533" s="34"/>
      <c r="D1533" s="34"/>
      <c r="E1533" s="34"/>
      <c r="F1533" s="35"/>
      <c r="G1533" s="9"/>
      <c r="H1533" s="9"/>
      <c r="I1533" s="34"/>
      <c r="J1533" s="30" t="str">
        <f aca="false">IF(F1533="","",G1533-B1533)</f>
        <v/>
      </c>
      <c r="K1533" s="31" t="str">
        <f aca="false">IF(F1533="","",IF(H1533&lt;&gt;"",H1533,MAX('Vade Sapması'!$D$3,G1533)))</f>
        <v/>
      </c>
      <c r="L1533" s="30" t="str">
        <f aca="false">IF(F1533="","",K1533-B1533)</f>
        <v/>
      </c>
      <c r="M1533" s="30" t="str">
        <f aca="false">IF(F1533="","",L1533-J1533)</f>
        <v/>
      </c>
      <c r="N1533" s="32" t="str">
        <f aca="false">IF(F1533="","",IF(H1533&lt;&gt;"","Kapandı",IF('Vade Sapması'!$D$3&gt;G1533,"Açık · vadesi geçti","Açık · vadesi gelmedi")))</f>
        <v/>
      </c>
      <c r="O1533" s="30" t="str">
        <f aca="false">IF(F1533="","",IF(AND(H1533="",'Vade Sapması'!$D$3&gt;G1533),'Vade Sapması'!$D$3-G1533,0))</f>
        <v/>
      </c>
      <c r="P1533" s="33" t="str">
        <f aca="false">IF(F1533="","",F1533*J1533)</f>
        <v/>
      </c>
      <c r="Q1533" s="33" t="str">
        <f aca="false">IF(F1533="","",F1533*L1533)</f>
        <v/>
      </c>
      <c r="R1533" s="33" t="str">
        <f aca="false">IF(F1533="","",IF(H1533="",F1533,0))</f>
        <v/>
      </c>
      <c r="S1533" s="32" t="str">
        <f aca="false">IF(F1533="","",IF(N(O1533)=0,"",IF(O1533&lt;=30,"1-30",IF(O1533&lt;=60,"31-60",IF(O1533&lt;=90,"61-90","90+")))))</f>
        <v/>
      </c>
      <c r="T1533" s="32" t="str">
        <f aca="false">IF(F1533="","",IF(E1533="","Diğer",E1533))</f>
        <v/>
      </c>
      <c r="U1533" s="32" t="str">
        <f aca="false">IF(OR(F1533="",C1533=""),"",IF(COUNTIF($C$2:C1533,C1533)=1,MAX($U$1:U1532)+1,""))</f>
        <v/>
      </c>
    </row>
    <row r="1534" customFormat="false" ht="15" hidden="false" customHeight="false" outlineLevel="0" collapsed="false">
      <c r="A1534" s="34"/>
      <c r="B1534" s="9"/>
      <c r="C1534" s="34"/>
      <c r="D1534" s="34"/>
      <c r="E1534" s="34"/>
      <c r="F1534" s="35"/>
      <c r="G1534" s="9"/>
      <c r="H1534" s="9"/>
      <c r="I1534" s="34"/>
      <c r="J1534" s="30" t="str">
        <f aca="false">IF(F1534="","",G1534-B1534)</f>
        <v/>
      </c>
      <c r="K1534" s="31" t="str">
        <f aca="false">IF(F1534="","",IF(H1534&lt;&gt;"",H1534,MAX('Vade Sapması'!$D$3,G1534)))</f>
        <v/>
      </c>
      <c r="L1534" s="30" t="str">
        <f aca="false">IF(F1534="","",K1534-B1534)</f>
        <v/>
      </c>
      <c r="M1534" s="30" t="str">
        <f aca="false">IF(F1534="","",L1534-J1534)</f>
        <v/>
      </c>
      <c r="N1534" s="32" t="str">
        <f aca="false">IF(F1534="","",IF(H1534&lt;&gt;"","Kapandı",IF('Vade Sapması'!$D$3&gt;G1534,"Açık · vadesi geçti","Açık · vadesi gelmedi")))</f>
        <v/>
      </c>
      <c r="O1534" s="30" t="str">
        <f aca="false">IF(F1534="","",IF(AND(H1534="",'Vade Sapması'!$D$3&gt;G1534),'Vade Sapması'!$D$3-G1534,0))</f>
        <v/>
      </c>
      <c r="P1534" s="33" t="str">
        <f aca="false">IF(F1534="","",F1534*J1534)</f>
        <v/>
      </c>
      <c r="Q1534" s="33" t="str">
        <f aca="false">IF(F1534="","",F1534*L1534)</f>
        <v/>
      </c>
      <c r="R1534" s="33" t="str">
        <f aca="false">IF(F1534="","",IF(H1534="",F1534,0))</f>
        <v/>
      </c>
      <c r="S1534" s="32" t="str">
        <f aca="false">IF(F1534="","",IF(N(O1534)=0,"",IF(O1534&lt;=30,"1-30",IF(O1534&lt;=60,"31-60",IF(O1534&lt;=90,"61-90","90+")))))</f>
        <v/>
      </c>
      <c r="T1534" s="32" t="str">
        <f aca="false">IF(F1534="","",IF(E1534="","Diğer",E1534))</f>
        <v/>
      </c>
      <c r="U1534" s="32" t="str">
        <f aca="false">IF(OR(F1534="",C1534=""),"",IF(COUNTIF($C$2:C1534,C1534)=1,MAX($U$1:U1533)+1,""))</f>
        <v/>
      </c>
    </row>
    <row r="1535" customFormat="false" ht="15" hidden="false" customHeight="false" outlineLevel="0" collapsed="false">
      <c r="A1535" s="34"/>
      <c r="B1535" s="9"/>
      <c r="C1535" s="34"/>
      <c r="D1535" s="34"/>
      <c r="E1535" s="34"/>
      <c r="F1535" s="35"/>
      <c r="G1535" s="9"/>
      <c r="H1535" s="9"/>
      <c r="I1535" s="34"/>
      <c r="J1535" s="30" t="str">
        <f aca="false">IF(F1535="","",G1535-B1535)</f>
        <v/>
      </c>
      <c r="K1535" s="31" t="str">
        <f aca="false">IF(F1535="","",IF(H1535&lt;&gt;"",H1535,MAX('Vade Sapması'!$D$3,G1535)))</f>
        <v/>
      </c>
      <c r="L1535" s="30" t="str">
        <f aca="false">IF(F1535="","",K1535-B1535)</f>
        <v/>
      </c>
      <c r="M1535" s="30" t="str">
        <f aca="false">IF(F1535="","",L1535-J1535)</f>
        <v/>
      </c>
      <c r="N1535" s="32" t="str">
        <f aca="false">IF(F1535="","",IF(H1535&lt;&gt;"","Kapandı",IF('Vade Sapması'!$D$3&gt;G1535,"Açık · vadesi geçti","Açık · vadesi gelmedi")))</f>
        <v/>
      </c>
      <c r="O1535" s="30" t="str">
        <f aca="false">IF(F1535="","",IF(AND(H1535="",'Vade Sapması'!$D$3&gt;G1535),'Vade Sapması'!$D$3-G1535,0))</f>
        <v/>
      </c>
      <c r="P1535" s="33" t="str">
        <f aca="false">IF(F1535="","",F1535*J1535)</f>
        <v/>
      </c>
      <c r="Q1535" s="33" t="str">
        <f aca="false">IF(F1535="","",F1535*L1535)</f>
        <v/>
      </c>
      <c r="R1535" s="33" t="str">
        <f aca="false">IF(F1535="","",IF(H1535="",F1535,0))</f>
        <v/>
      </c>
      <c r="S1535" s="32" t="str">
        <f aca="false">IF(F1535="","",IF(N(O1535)=0,"",IF(O1535&lt;=30,"1-30",IF(O1535&lt;=60,"31-60",IF(O1535&lt;=90,"61-90","90+")))))</f>
        <v/>
      </c>
      <c r="T1535" s="32" t="str">
        <f aca="false">IF(F1535="","",IF(E1535="","Diğer",E1535))</f>
        <v/>
      </c>
      <c r="U1535" s="32" t="str">
        <f aca="false">IF(OR(F1535="",C1535=""),"",IF(COUNTIF($C$2:C1535,C1535)=1,MAX($U$1:U1534)+1,""))</f>
        <v/>
      </c>
    </row>
    <row r="1536" customFormat="false" ht="15" hidden="false" customHeight="false" outlineLevel="0" collapsed="false">
      <c r="A1536" s="34"/>
      <c r="B1536" s="9"/>
      <c r="C1536" s="34"/>
      <c r="D1536" s="34"/>
      <c r="E1536" s="34"/>
      <c r="F1536" s="35"/>
      <c r="G1536" s="9"/>
      <c r="H1536" s="9"/>
      <c r="I1536" s="34"/>
      <c r="J1536" s="30" t="str">
        <f aca="false">IF(F1536="","",G1536-B1536)</f>
        <v/>
      </c>
      <c r="K1536" s="31" t="str">
        <f aca="false">IF(F1536="","",IF(H1536&lt;&gt;"",H1536,MAX('Vade Sapması'!$D$3,G1536)))</f>
        <v/>
      </c>
      <c r="L1536" s="30" t="str">
        <f aca="false">IF(F1536="","",K1536-B1536)</f>
        <v/>
      </c>
      <c r="M1536" s="30" t="str">
        <f aca="false">IF(F1536="","",L1536-J1536)</f>
        <v/>
      </c>
      <c r="N1536" s="32" t="str">
        <f aca="false">IF(F1536="","",IF(H1536&lt;&gt;"","Kapandı",IF('Vade Sapması'!$D$3&gt;G1536,"Açık · vadesi geçti","Açık · vadesi gelmedi")))</f>
        <v/>
      </c>
      <c r="O1536" s="30" t="str">
        <f aca="false">IF(F1536="","",IF(AND(H1536="",'Vade Sapması'!$D$3&gt;G1536),'Vade Sapması'!$D$3-G1536,0))</f>
        <v/>
      </c>
      <c r="P1536" s="33" t="str">
        <f aca="false">IF(F1536="","",F1536*J1536)</f>
        <v/>
      </c>
      <c r="Q1536" s="33" t="str">
        <f aca="false">IF(F1536="","",F1536*L1536)</f>
        <v/>
      </c>
      <c r="R1536" s="33" t="str">
        <f aca="false">IF(F1536="","",IF(H1536="",F1536,0))</f>
        <v/>
      </c>
      <c r="S1536" s="32" t="str">
        <f aca="false">IF(F1536="","",IF(N(O1536)=0,"",IF(O1536&lt;=30,"1-30",IF(O1536&lt;=60,"31-60",IF(O1536&lt;=90,"61-90","90+")))))</f>
        <v/>
      </c>
      <c r="T1536" s="32" t="str">
        <f aca="false">IF(F1536="","",IF(E1536="","Diğer",E1536))</f>
        <v/>
      </c>
      <c r="U1536" s="32" t="str">
        <f aca="false">IF(OR(F1536="",C1536=""),"",IF(COUNTIF($C$2:C1536,C1536)=1,MAX($U$1:U1535)+1,""))</f>
        <v/>
      </c>
    </row>
    <row r="1537" customFormat="false" ht="15" hidden="false" customHeight="false" outlineLevel="0" collapsed="false">
      <c r="A1537" s="34"/>
      <c r="B1537" s="9"/>
      <c r="C1537" s="34"/>
      <c r="D1537" s="34"/>
      <c r="E1537" s="34"/>
      <c r="F1537" s="35"/>
      <c r="G1537" s="9"/>
      <c r="H1537" s="9"/>
      <c r="I1537" s="34"/>
      <c r="J1537" s="30" t="str">
        <f aca="false">IF(F1537="","",G1537-B1537)</f>
        <v/>
      </c>
      <c r="K1537" s="31" t="str">
        <f aca="false">IF(F1537="","",IF(H1537&lt;&gt;"",H1537,MAX('Vade Sapması'!$D$3,G1537)))</f>
        <v/>
      </c>
      <c r="L1537" s="30" t="str">
        <f aca="false">IF(F1537="","",K1537-B1537)</f>
        <v/>
      </c>
      <c r="M1537" s="30" t="str">
        <f aca="false">IF(F1537="","",L1537-J1537)</f>
        <v/>
      </c>
      <c r="N1537" s="32" t="str">
        <f aca="false">IF(F1537="","",IF(H1537&lt;&gt;"","Kapandı",IF('Vade Sapması'!$D$3&gt;G1537,"Açık · vadesi geçti","Açık · vadesi gelmedi")))</f>
        <v/>
      </c>
      <c r="O1537" s="30" t="str">
        <f aca="false">IF(F1537="","",IF(AND(H1537="",'Vade Sapması'!$D$3&gt;G1537),'Vade Sapması'!$D$3-G1537,0))</f>
        <v/>
      </c>
      <c r="P1537" s="33" t="str">
        <f aca="false">IF(F1537="","",F1537*J1537)</f>
        <v/>
      </c>
      <c r="Q1537" s="33" t="str">
        <f aca="false">IF(F1537="","",F1537*L1537)</f>
        <v/>
      </c>
      <c r="R1537" s="33" t="str">
        <f aca="false">IF(F1537="","",IF(H1537="",F1537,0))</f>
        <v/>
      </c>
      <c r="S1537" s="32" t="str">
        <f aca="false">IF(F1537="","",IF(N(O1537)=0,"",IF(O1537&lt;=30,"1-30",IF(O1537&lt;=60,"31-60",IF(O1537&lt;=90,"61-90","90+")))))</f>
        <v/>
      </c>
      <c r="T1537" s="32" t="str">
        <f aca="false">IF(F1537="","",IF(E1537="","Diğer",E1537))</f>
        <v/>
      </c>
      <c r="U1537" s="32" t="str">
        <f aca="false">IF(OR(F1537="",C1537=""),"",IF(COUNTIF($C$2:C1537,C1537)=1,MAX($U$1:U1536)+1,""))</f>
        <v/>
      </c>
    </row>
    <row r="1538" customFormat="false" ht="15" hidden="false" customHeight="false" outlineLevel="0" collapsed="false">
      <c r="A1538" s="34"/>
      <c r="B1538" s="9"/>
      <c r="C1538" s="34"/>
      <c r="D1538" s="34"/>
      <c r="E1538" s="34"/>
      <c r="F1538" s="35"/>
      <c r="G1538" s="9"/>
      <c r="H1538" s="9"/>
      <c r="I1538" s="34"/>
      <c r="J1538" s="30" t="str">
        <f aca="false">IF(F1538="","",G1538-B1538)</f>
        <v/>
      </c>
      <c r="K1538" s="31" t="str">
        <f aca="false">IF(F1538="","",IF(H1538&lt;&gt;"",H1538,MAX('Vade Sapması'!$D$3,G1538)))</f>
        <v/>
      </c>
      <c r="L1538" s="30" t="str">
        <f aca="false">IF(F1538="","",K1538-B1538)</f>
        <v/>
      </c>
      <c r="M1538" s="30" t="str">
        <f aca="false">IF(F1538="","",L1538-J1538)</f>
        <v/>
      </c>
      <c r="N1538" s="32" t="str">
        <f aca="false">IF(F1538="","",IF(H1538&lt;&gt;"","Kapandı",IF('Vade Sapması'!$D$3&gt;G1538,"Açık · vadesi geçti","Açık · vadesi gelmedi")))</f>
        <v/>
      </c>
      <c r="O1538" s="30" t="str">
        <f aca="false">IF(F1538="","",IF(AND(H1538="",'Vade Sapması'!$D$3&gt;G1538),'Vade Sapması'!$D$3-G1538,0))</f>
        <v/>
      </c>
      <c r="P1538" s="33" t="str">
        <f aca="false">IF(F1538="","",F1538*J1538)</f>
        <v/>
      </c>
      <c r="Q1538" s="33" t="str">
        <f aca="false">IF(F1538="","",F1538*L1538)</f>
        <v/>
      </c>
      <c r="R1538" s="33" t="str">
        <f aca="false">IF(F1538="","",IF(H1538="",F1538,0))</f>
        <v/>
      </c>
      <c r="S1538" s="32" t="str">
        <f aca="false">IF(F1538="","",IF(N(O1538)=0,"",IF(O1538&lt;=30,"1-30",IF(O1538&lt;=60,"31-60",IF(O1538&lt;=90,"61-90","90+")))))</f>
        <v/>
      </c>
      <c r="T1538" s="32" t="str">
        <f aca="false">IF(F1538="","",IF(E1538="","Diğer",E1538))</f>
        <v/>
      </c>
      <c r="U1538" s="32" t="str">
        <f aca="false">IF(OR(F1538="",C1538=""),"",IF(COUNTIF($C$2:C1538,C1538)=1,MAX($U$1:U1537)+1,""))</f>
        <v/>
      </c>
    </row>
    <row r="1539" customFormat="false" ht="15" hidden="false" customHeight="false" outlineLevel="0" collapsed="false">
      <c r="A1539" s="34"/>
      <c r="B1539" s="9"/>
      <c r="C1539" s="34"/>
      <c r="D1539" s="34"/>
      <c r="E1539" s="34"/>
      <c r="F1539" s="35"/>
      <c r="G1539" s="9"/>
      <c r="H1539" s="9"/>
      <c r="I1539" s="34"/>
      <c r="J1539" s="30" t="str">
        <f aca="false">IF(F1539="","",G1539-B1539)</f>
        <v/>
      </c>
      <c r="K1539" s="31" t="str">
        <f aca="false">IF(F1539="","",IF(H1539&lt;&gt;"",H1539,MAX('Vade Sapması'!$D$3,G1539)))</f>
        <v/>
      </c>
      <c r="L1539" s="30" t="str">
        <f aca="false">IF(F1539="","",K1539-B1539)</f>
        <v/>
      </c>
      <c r="M1539" s="30" t="str">
        <f aca="false">IF(F1539="","",L1539-J1539)</f>
        <v/>
      </c>
      <c r="N1539" s="32" t="str">
        <f aca="false">IF(F1539="","",IF(H1539&lt;&gt;"","Kapandı",IF('Vade Sapması'!$D$3&gt;G1539,"Açık · vadesi geçti","Açık · vadesi gelmedi")))</f>
        <v/>
      </c>
      <c r="O1539" s="30" t="str">
        <f aca="false">IF(F1539="","",IF(AND(H1539="",'Vade Sapması'!$D$3&gt;G1539),'Vade Sapması'!$D$3-G1539,0))</f>
        <v/>
      </c>
      <c r="P1539" s="33" t="str">
        <f aca="false">IF(F1539="","",F1539*J1539)</f>
        <v/>
      </c>
      <c r="Q1539" s="33" t="str">
        <f aca="false">IF(F1539="","",F1539*L1539)</f>
        <v/>
      </c>
      <c r="R1539" s="33" t="str">
        <f aca="false">IF(F1539="","",IF(H1539="",F1539,0))</f>
        <v/>
      </c>
      <c r="S1539" s="32" t="str">
        <f aca="false">IF(F1539="","",IF(N(O1539)=0,"",IF(O1539&lt;=30,"1-30",IF(O1539&lt;=60,"31-60",IF(O1539&lt;=90,"61-90","90+")))))</f>
        <v/>
      </c>
      <c r="T1539" s="32" t="str">
        <f aca="false">IF(F1539="","",IF(E1539="","Diğer",E1539))</f>
        <v/>
      </c>
      <c r="U1539" s="32" t="str">
        <f aca="false">IF(OR(F1539="",C1539=""),"",IF(COUNTIF($C$2:C1539,C1539)=1,MAX($U$1:U1538)+1,""))</f>
        <v/>
      </c>
    </row>
    <row r="1540" customFormat="false" ht="15" hidden="false" customHeight="false" outlineLevel="0" collapsed="false">
      <c r="A1540" s="34"/>
      <c r="B1540" s="9"/>
      <c r="C1540" s="34"/>
      <c r="D1540" s="34"/>
      <c r="E1540" s="34"/>
      <c r="F1540" s="35"/>
      <c r="G1540" s="9"/>
      <c r="H1540" s="9"/>
      <c r="I1540" s="34"/>
      <c r="J1540" s="30" t="str">
        <f aca="false">IF(F1540="","",G1540-B1540)</f>
        <v/>
      </c>
      <c r="K1540" s="31" t="str">
        <f aca="false">IF(F1540="","",IF(H1540&lt;&gt;"",H1540,MAX('Vade Sapması'!$D$3,G1540)))</f>
        <v/>
      </c>
      <c r="L1540" s="30" t="str">
        <f aca="false">IF(F1540="","",K1540-B1540)</f>
        <v/>
      </c>
      <c r="M1540" s="30" t="str">
        <f aca="false">IF(F1540="","",L1540-J1540)</f>
        <v/>
      </c>
      <c r="N1540" s="32" t="str">
        <f aca="false">IF(F1540="","",IF(H1540&lt;&gt;"","Kapandı",IF('Vade Sapması'!$D$3&gt;G1540,"Açık · vadesi geçti","Açık · vadesi gelmedi")))</f>
        <v/>
      </c>
      <c r="O1540" s="30" t="str">
        <f aca="false">IF(F1540="","",IF(AND(H1540="",'Vade Sapması'!$D$3&gt;G1540),'Vade Sapması'!$D$3-G1540,0))</f>
        <v/>
      </c>
      <c r="P1540" s="33" t="str">
        <f aca="false">IF(F1540="","",F1540*J1540)</f>
        <v/>
      </c>
      <c r="Q1540" s="33" t="str">
        <f aca="false">IF(F1540="","",F1540*L1540)</f>
        <v/>
      </c>
      <c r="R1540" s="33" t="str">
        <f aca="false">IF(F1540="","",IF(H1540="",F1540,0))</f>
        <v/>
      </c>
      <c r="S1540" s="32" t="str">
        <f aca="false">IF(F1540="","",IF(N(O1540)=0,"",IF(O1540&lt;=30,"1-30",IF(O1540&lt;=60,"31-60",IF(O1540&lt;=90,"61-90","90+")))))</f>
        <v/>
      </c>
      <c r="T1540" s="32" t="str">
        <f aca="false">IF(F1540="","",IF(E1540="","Diğer",E1540))</f>
        <v/>
      </c>
      <c r="U1540" s="32" t="str">
        <f aca="false">IF(OR(F1540="",C1540=""),"",IF(COUNTIF($C$2:C1540,C1540)=1,MAX($U$1:U1539)+1,""))</f>
        <v/>
      </c>
    </row>
    <row r="1541" customFormat="false" ht="15" hidden="false" customHeight="false" outlineLevel="0" collapsed="false">
      <c r="A1541" s="34"/>
      <c r="B1541" s="9"/>
      <c r="C1541" s="34"/>
      <c r="D1541" s="34"/>
      <c r="E1541" s="34"/>
      <c r="F1541" s="35"/>
      <c r="G1541" s="9"/>
      <c r="H1541" s="9"/>
      <c r="I1541" s="34"/>
      <c r="J1541" s="30" t="str">
        <f aca="false">IF(F1541="","",G1541-B1541)</f>
        <v/>
      </c>
      <c r="K1541" s="31" t="str">
        <f aca="false">IF(F1541="","",IF(H1541&lt;&gt;"",H1541,MAX('Vade Sapması'!$D$3,G1541)))</f>
        <v/>
      </c>
      <c r="L1541" s="30" t="str">
        <f aca="false">IF(F1541="","",K1541-B1541)</f>
        <v/>
      </c>
      <c r="M1541" s="30" t="str">
        <f aca="false">IF(F1541="","",L1541-J1541)</f>
        <v/>
      </c>
      <c r="N1541" s="32" t="str">
        <f aca="false">IF(F1541="","",IF(H1541&lt;&gt;"","Kapandı",IF('Vade Sapması'!$D$3&gt;G1541,"Açık · vadesi geçti","Açık · vadesi gelmedi")))</f>
        <v/>
      </c>
      <c r="O1541" s="30" t="str">
        <f aca="false">IF(F1541="","",IF(AND(H1541="",'Vade Sapması'!$D$3&gt;G1541),'Vade Sapması'!$D$3-G1541,0))</f>
        <v/>
      </c>
      <c r="P1541" s="33" t="str">
        <f aca="false">IF(F1541="","",F1541*J1541)</f>
        <v/>
      </c>
      <c r="Q1541" s="33" t="str">
        <f aca="false">IF(F1541="","",F1541*L1541)</f>
        <v/>
      </c>
      <c r="R1541" s="33" t="str">
        <f aca="false">IF(F1541="","",IF(H1541="",F1541,0))</f>
        <v/>
      </c>
      <c r="S1541" s="32" t="str">
        <f aca="false">IF(F1541="","",IF(N(O1541)=0,"",IF(O1541&lt;=30,"1-30",IF(O1541&lt;=60,"31-60",IF(O1541&lt;=90,"61-90","90+")))))</f>
        <v/>
      </c>
      <c r="T1541" s="32" t="str">
        <f aca="false">IF(F1541="","",IF(E1541="","Diğer",E1541))</f>
        <v/>
      </c>
      <c r="U1541" s="32" t="str">
        <f aca="false">IF(OR(F1541="",C1541=""),"",IF(COUNTIF($C$2:C1541,C1541)=1,MAX($U$1:U1540)+1,""))</f>
        <v/>
      </c>
    </row>
    <row r="1542" customFormat="false" ht="15" hidden="false" customHeight="false" outlineLevel="0" collapsed="false">
      <c r="A1542" s="34"/>
      <c r="B1542" s="9"/>
      <c r="C1542" s="34"/>
      <c r="D1542" s="34"/>
      <c r="E1542" s="34"/>
      <c r="F1542" s="35"/>
      <c r="G1542" s="9"/>
      <c r="H1542" s="9"/>
      <c r="I1542" s="34"/>
      <c r="J1542" s="30" t="str">
        <f aca="false">IF(F1542="","",G1542-B1542)</f>
        <v/>
      </c>
      <c r="K1542" s="31" t="str">
        <f aca="false">IF(F1542="","",IF(H1542&lt;&gt;"",H1542,MAX('Vade Sapması'!$D$3,G1542)))</f>
        <v/>
      </c>
      <c r="L1542" s="30" t="str">
        <f aca="false">IF(F1542="","",K1542-B1542)</f>
        <v/>
      </c>
      <c r="M1542" s="30" t="str">
        <f aca="false">IF(F1542="","",L1542-J1542)</f>
        <v/>
      </c>
      <c r="N1542" s="32" t="str">
        <f aca="false">IF(F1542="","",IF(H1542&lt;&gt;"","Kapandı",IF('Vade Sapması'!$D$3&gt;G1542,"Açık · vadesi geçti","Açık · vadesi gelmedi")))</f>
        <v/>
      </c>
      <c r="O1542" s="30" t="str">
        <f aca="false">IF(F1542="","",IF(AND(H1542="",'Vade Sapması'!$D$3&gt;G1542),'Vade Sapması'!$D$3-G1542,0))</f>
        <v/>
      </c>
      <c r="P1542" s="33" t="str">
        <f aca="false">IF(F1542="","",F1542*J1542)</f>
        <v/>
      </c>
      <c r="Q1542" s="33" t="str">
        <f aca="false">IF(F1542="","",F1542*L1542)</f>
        <v/>
      </c>
      <c r="R1542" s="33" t="str">
        <f aca="false">IF(F1542="","",IF(H1542="",F1542,0))</f>
        <v/>
      </c>
      <c r="S1542" s="32" t="str">
        <f aca="false">IF(F1542="","",IF(N(O1542)=0,"",IF(O1542&lt;=30,"1-30",IF(O1542&lt;=60,"31-60",IF(O1542&lt;=90,"61-90","90+")))))</f>
        <v/>
      </c>
      <c r="T1542" s="32" t="str">
        <f aca="false">IF(F1542="","",IF(E1542="","Diğer",E1542))</f>
        <v/>
      </c>
      <c r="U1542" s="32" t="str">
        <f aca="false">IF(OR(F1542="",C1542=""),"",IF(COUNTIF($C$2:C1542,C1542)=1,MAX($U$1:U1541)+1,""))</f>
        <v/>
      </c>
    </row>
    <row r="1543" customFormat="false" ht="15" hidden="false" customHeight="false" outlineLevel="0" collapsed="false">
      <c r="A1543" s="34"/>
      <c r="B1543" s="9"/>
      <c r="C1543" s="34"/>
      <c r="D1543" s="34"/>
      <c r="E1543" s="34"/>
      <c r="F1543" s="35"/>
      <c r="G1543" s="9"/>
      <c r="H1543" s="9"/>
      <c r="I1543" s="34"/>
      <c r="J1543" s="30" t="str">
        <f aca="false">IF(F1543="","",G1543-B1543)</f>
        <v/>
      </c>
      <c r="K1543" s="31" t="str">
        <f aca="false">IF(F1543="","",IF(H1543&lt;&gt;"",H1543,MAX('Vade Sapması'!$D$3,G1543)))</f>
        <v/>
      </c>
      <c r="L1543" s="30" t="str">
        <f aca="false">IF(F1543="","",K1543-B1543)</f>
        <v/>
      </c>
      <c r="M1543" s="30" t="str">
        <f aca="false">IF(F1543="","",L1543-J1543)</f>
        <v/>
      </c>
      <c r="N1543" s="32" t="str">
        <f aca="false">IF(F1543="","",IF(H1543&lt;&gt;"","Kapandı",IF('Vade Sapması'!$D$3&gt;G1543,"Açık · vadesi geçti","Açık · vadesi gelmedi")))</f>
        <v/>
      </c>
      <c r="O1543" s="30" t="str">
        <f aca="false">IF(F1543="","",IF(AND(H1543="",'Vade Sapması'!$D$3&gt;G1543),'Vade Sapması'!$D$3-G1543,0))</f>
        <v/>
      </c>
      <c r="P1543" s="33" t="str">
        <f aca="false">IF(F1543="","",F1543*J1543)</f>
        <v/>
      </c>
      <c r="Q1543" s="33" t="str">
        <f aca="false">IF(F1543="","",F1543*L1543)</f>
        <v/>
      </c>
      <c r="R1543" s="33" t="str">
        <f aca="false">IF(F1543="","",IF(H1543="",F1543,0))</f>
        <v/>
      </c>
      <c r="S1543" s="32" t="str">
        <f aca="false">IF(F1543="","",IF(N(O1543)=0,"",IF(O1543&lt;=30,"1-30",IF(O1543&lt;=60,"31-60",IF(O1543&lt;=90,"61-90","90+")))))</f>
        <v/>
      </c>
      <c r="T1543" s="32" t="str">
        <f aca="false">IF(F1543="","",IF(E1543="","Diğer",E1543))</f>
        <v/>
      </c>
      <c r="U1543" s="32" t="str">
        <f aca="false">IF(OR(F1543="",C1543=""),"",IF(COUNTIF($C$2:C1543,C1543)=1,MAX($U$1:U1542)+1,""))</f>
        <v/>
      </c>
    </row>
    <row r="1544" customFormat="false" ht="15" hidden="false" customHeight="false" outlineLevel="0" collapsed="false">
      <c r="A1544" s="34"/>
      <c r="B1544" s="9"/>
      <c r="C1544" s="34"/>
      <c r="D1544" s="34"/>
      <c r="E1544" s="34"/>
      <c r="F1544" s="35"/>
      <c r="G1544" s="9"/>
      <c r="H1544" s="9"/>
      <c r="I1544" s="34"/>
      <c r="J1544" s="30" t="str">
        <f aca="false">IF(F1544="","",G1544-B1544)</f>
        <v/>
      </c>
      <c r="K1544" s="31" t="str">
        <f aca="false">IF(F1544="","",IF(H1544&lt;&gt;"",H1544,MAX('Vade Sapması'!$D$3,G1544)))</f>
        <v/>
      </c>
      <c r="L1544" s="30" t="str">
        <f aca="false">IF(F1544="","",K1544-B1544)</f>
        <v/>
      </c>
      <c r="M1544" s="30" t="str">
        <f aca="false">IF(F1544="","",L1544-J1544)</f>
        <v/>
      </c>
      <c r="N1544" s="32" t="str">
        <f aca="false">IF(F1544="","",IF(H1544&lt;&gt;"","Kapandı",IF('Vade Sapması'!$D$3&gt;G1544,"Açık · vadesi geçti","Açık · vadesi gelmedi")))</f>
        <v/>
      </c>
      <c r="O1544" s="30" t="str">
        <f aca="false">IF(F1544="","",IF(AND(H1544="",'Vade Sapması'!$D$3&gt;G1544),'Vade Sapması'!$D$3-G1544,0))</f>
        <v/>
      </c>
      <c r="P1544" s="33" t="str">
        <f aca="false">IF(F1544="","",F1544*J1544)</f>
        <v/>
      </c>
      <c r="Q1544" s="33" t="str">
        <f aca="false">IF(F1544="","",F1544*L1544)</f>
        <v/>
      </c>
      <c r="R1544" s="33" t="str">
        <f aca="false">IF(F1544="","",IF(H1544="",F1544,0))</f>
        <v/>
      </c>
      <c r="S1544" s="32" t="str">
        <f aca="false">IF(F1544="","",IF(N(O1544)=0,"",IF(O1544&lt;=30,"1-30",IF(O1544&lt;=60,"31-60",IF(O1544&lt;=90,"61-90","90+")))))</f>
        <v/>
      </c>
      <c r="T1544" s="32" t="str">
        <f aca="false">IF(F1544="","",IF(E1544="","Diğer",E1544))</f>
        <v/>
      </c>
      <c r="U1544" s="32" t="str">
        <f aca="false">IF(OR(F1544="",C1544=""),"",IF(COUNTIF($C$2:C1544,C1544)=1,MAX($U$1:U1543)+1,""))</f>
        <v/>
      </c>
    </row>
    <row r="1545" customFormat="false" ht="15" hidden="false" customHeight="false" outlineLevel="0" collapsed="false">
      <c r="A1545" s="34"/>
      <c r="B1545" s="9"/>
      <c r="C1545" s="34"/>
      <c r="D1545" s="34"/>
      <c r="E1545" s="34"/>
      <c r="F1545" s="35"/>
      <c r="G1545" s="9"/>
      <c r="H1545" s="9"/>
      <c r="I1545" s="34"/>
      <c r="J1545" s="30" t="str">
        <f aca="false">IF(F1545="","",G1545-B1545)</f>
        <v/>
      </c>
      <c r="K1545" s="31" t="str">
        <f aca="false">IF(F1545="","",IF(H1545&lt;&gt;"",H1545,MAX('Vade Sapması'!$D$3,G1545)))</f>
        <v/>
      </c>
      <c r="L1545" s="30" t="str">
        <f aca="false">IF(F1545="","",K1545-B1545)</f>
        <v/>
      </c>
      <c r="M1545" s="30" t="str">
        <f aca="false">IF(F1545="","",L1545-J1545)</f>
        <v/>
      </c>
      <c r="N1545" s="32" t="str">
        <f aca="false">IF(F1545="","",IF(H1545&lt;&gt;"","Kapandı",IF('Vade Sapması'!$D$3&gt;G1545,"Açık · vadesi geçti","Açık · vadesi gelmedi")))</f>
        <v/>
      </c>
      <c r="O1545" s="30" t="str">
        <f aca="false">IF(F1545="","",IF(AND(H1545="",'Vade Sapması'!$D$3&gt;G1545),'Vade Sapması'!$D$3-G1545,0))</f>
        <v/>
      </c>
      <c r="P1545" s="33" t="str">
        <f aca="false">IF(F1545="","",F1545*J1545)</f>
        <v/>
      </c>
      <c r="Q1545" s="33" t="str">
        <f aca="false">IF(F1545="","",F1545*L1545)</f>
        <v/>
      </c>
      <c r="R1545" s="33" t="str">
        <f aca="false">IF(F1545="","",IF(H1545="",F1545,0))</f>
        <v/>
      </c>
      <c r="S1545" s="32" t="str">
        <f aca="false">IF(F1545="","",IF(N(O1545)=0,"",IF(O1545&lt;=30,"1-30",IF(O1545&lt;=60,"31-60",IF(O1545&lt;=90,"61-90","90+")))))</f>
        <v/>
      </c>
      <c r="T1545" s="32" t="str">
        <f aca="false">IF(F1545="","",IF(E1545="","Diğer",E1545))</f>
        <v/>
      </c>
      <c r="U1545" s="32" t="str">
        <f aca="false">IF(OR(F1545="",C1545=""),"",IF(COUNTIF($C$2:C1545,C1545)=1,MAX($U$1:U1544)+1,""))</f>
        <v/>
      </c>
    </row>
    <row r="1546" customFormat="false" ht="15" hidden="false" customHeight="false" outlineLevel="0" collapsed="false">
      <c r="A1546" s="34"/>
      <c r="B1546" s="9"/>
      <c r="C1546" s="34"/>
      <c r="D1546" s="34"/>
      <c r="E1546" s="34"/>
      <c r="F1546" s="35"/>
      <c r="G1546" s="9"/>
      <c r="H1546" s="9"/>
      <c r="I1546" s="34"/>
      <c r="J1546" s="30" t="str">
        <f aca="false">IF(F1546="","",G1546-B1546)</f>
        <v/>
      </c>
      <c r="K1546" s="31" t="str">
        <f aca="false">IF(F1546="","",IF(H1546&lt;&gt;"",H1546,MAX('Vade Sapması'!$D$3,G1546)))</f>
        <v/>
      </c>
      <c r="L1546" s="30" t="str">
        <f aca="false">IF(F1546="","",K1546-B1546)</f>
        <v/>
      </c>
      <c r="M1546" s="30" t="str">
        <f aca="false">IF(F1546="","",L1546-J1546)</f>
        <v/>
      </c>
      <c r="N1546" s="32" t="str">
        <f aca="false">IF(F1546="","",IF(H1546&lt;&gt;"","Kapandı",IF('Vade Sapması'!$D$3&gt;G1546,"Açık · vadesi geçti","Açık · vadesi gelmedi")))</f>
        <v/>
      </c>
      <c r="O1546" s="30" t="str">
        <f aca="false">IF(F1546="","",IF(AND(H1546="",'Vade Sapması'!$D$3&gt;G1546),'Vade Sapması'!$D$3-G1546,0))</f>
        <v/>
      </c>
      <c r="P1546" s="33" t="str">
        <f aca="false">IF(F1546="","",F1546*J1546)</f>
        <v/>
      </c>
      <c r="Q1546" s="33" t="str">
        <f aca="false">IF(F1546="","",F1546*L1546)</f>
        <v/>
      </c>
      <c r="R1546" s="33" t="str">
        <f aca="false">IF(F1546="","",IF(H1546="",F1546,0))</f>
        <v/>
      </c>
      <c r="S1546" s="32" t="str">
        <f aca="false">IF(F1546="","",IF(N(O1546)=0,"",IF(O1546&lt;=30,"1-30",IF(O1546&lt;=60,"31-60",IF(O1546&lt;=90,"61-90","90+")))))</f>
        <v/>
      </c>
      <c r="T1546" s="32" t="str">
        <f aca="false">IF(F1546="","",IF(E1546="","Diğer",E1546))</f>
        <v/>
      </c>
      <c r="U1546" s="32" t="str">
        <f aca="false">IF(OR(F1546="",C1546=""),"",IF(COUNTIF($C$2:C1546,C1546)=1,MAX($U$1:U1545)+1,""))</f>
        <v/>
      </c>
    </row>
    <row r="1547" customFormat="false" ht="15" hidden="false" customHeight="false" outlineLevel="0" collapsed="false">
      <c r="A1547" s="34"/>
      <c r="B1547" s="9"/>
      <c r="C1547" s="34"/>
      <c r="D1547" s="34"/>
      <c r="E1547" s="34"/>
      <c r="F1547" s="35"/>
      <c r="G1547" s="9"/>
      <c r="H1547" s="9"/>
      <c r="I1547" s="34"/>
      <c r="J1547" s="30" t="str">
        <f aca="false">IF(F1547="","",G1547-B1547)</f>
        <v/>
      </c>
      <c r="K1547" s="31" t="str">
        <f aca="false">IF(F1547="","",IF(H1547&lt;&gt;"",H1547,MAX('Vade Sapması'!$D$3,G1547)))</f>
        <v/>
      </c>
      <c r="L1547" s="30" t="str">
        <f aca="false">IF(F1547="","",K1547-B1547)</f>
        <v/>
      </c>
      <c r="M1547" s="30" t="str">
        <f aca="false">IF(F1547="","",L1547-J1547)</f>
        <v/>
      </c>
      <c r="N1547" s="32" t="str">
        <f aca="false">IF(F1547="","",IF(H1547&lt;&gt;"","Kapandı",IF('Vade Sapması'!$D$3&gt;G1547,"Açık · vadesi geçti","Açık · vadesi gelmedi")))</f>
        <v/>
      </c>
      <c r="O1547" s="30" t="str">
        <f aca="false">IF(F1547="","",IF(AND(H1547="",'Vade Sapması'!$D$3&gt;G1547),'Vade Sapması'!$D$3-G1547,0))</f>
        <v/>
      </c>
      <c r="P1547" s="33" t="str">
        <f aca="false">IF(F1547="","",F1547*J1547)</f>
        <v/>
      </c>
      <c r="Q1547" s="33" t="str">
        <f aca="false">IF(F1547="","",F1547*L1547)</f>
        <v/>
      </c>
      <c r="R1547" s="33" t="str">
        <f aca="false">IF(F1547="","",IF(H1547="",F1547,0))</f>
        <v/>
      </c>
      <c r="S1547" s="32" t="str">
        <f aca="false">IF(F1547="","",IF(N(O1547)=0,"",IF(O1547&lt;=30,"1-30",IF(O1547&lt;=60,"31-60",IF(O1547&lt;=90,"61-90","90+")))))</f>
        <v/>
      </c>
      <c r="T1547" s="32" t="str">
        <f aca="false">IF(F1547="","",IF(E1547="","Diğer",E1547))</f>
        <v/>
      </c>
      <c r="U1547" s="32" t="str">
        <f aca="false">IF(OR(F1547="",C1547=""),"",IF(COUNTIF($C$2:C1547,C1547)=1,MAX($U$1:U1546)+1,""))</f>
        <v/>
      </c>
    </row>
    <row r="1548" customFormat="false" ht="15" hidden="false" customHeight="false" outlineLevel="0" collapsed="false">
      <c r="A1548" s="34"/>
      <c r="B1548" s="9"/>
      <c r="C1548" s="34"/>
      <c r="D1548" s="34"/>
      <c r="E1548" s="34"/>
      <c r="F1548" s="35"/>
      <c r="G1548" s="9"/>
      <c r="H1548" s="9"/>
      <c r="I1548" s="34"/>
      <c r="J1548" s="30" t="str">
        <f aca="false">IF(F1548="","",G1548-B1548)</f>
        <v/>
      </c>
      <c r="K1548" s="31" t="str">
        <f aca="false">IF(F1548="","",IF(H1548&lt;&gt;"",H1548,MAX('Vade Sapması'!$D$3,G1548)))</f>
        <v/>
      </c>
      <c r="L1548" s="30" t="str">
        <f aca="false">IF(F1548="","",K1548-B1548)</f>
        <v/>
      </c>
      <c r="M1548" s="30" t="str">
        <f aca="false">IF(F1548="","",L1548-J1548)</f>
        <v/>
      </c>
      <c r="N1548" s="32" t="str">
        <f aca="false">IF(F1548="","",IF(H1548&lt;&gt;"","Kapandı",IF('Vade Sapması'!$D$3&gt;G1548,"Açık · vadesi geçti","Açık · vadesi gelmedi")))</f>
        <v/>
      </c>
      <c r="O1548" s="30" t="str">
        <f aca="false">IF(F1548="","",IF(AND(H1548="",'Vade Sapması'!$D$3&gt;G1548),'Vade Sapması'!$D$3-G1548,0))</f>
        <v/>
      </c>
      <c r="P1548" s="33" t="str">
        <f aca="false">IF(F1548="","",F1548*J1548)</f>
        <v/>
      </c>
      <c r="Q1548" s="33" t="str">
        <f aca="false">IF(F1548="","",F1548*L1548)</f>
        <v/>
      </c>
      <c r="R1548" s="33" t="str">
        <f aca="false">IF(F1548="","",IF(H1548="",F1548,0))</f>
        <v/>
      </c>
      <c r="S1548" s="32" t="str">
        <f aca="false">IF(F1548="","",IF(N(O1548)=0,"",IF(O1548&lt;=30,"1-30",IF(O1548&lt;=60,"31-60",IF(O1548&lt;=90,"61-90","90+")))))</f>
        <v/>
      </c>
      <c r="T1548" s="32" t="str">
        <f aca="false">IF(F1548="","",IF(E1548="","Diğer",E1548))</f>
        <v/>
      </c>
      <c r="U1548" s="32" t="str">
        <f aca="false">IF(OR(F1548="",C1548=""),"",IF(COUNTIF($C$2:C1548,C1548)=1,MAX($U$1:U1547)+1,""))</f>
        <v/>
      </c>
    </row>
    <row r="1549" customFormat="false" ht="15" hidden="false" customHeight="false" outlineLevel="0" collapsed="false">
      <c r="A1549" s="34"/>
      <c r="B1549" s="9"/>
      <c r="C1549" s="34"/>
      <c r="D1549" s="34"/>
      <c r="E1549" s="34"/>
      <c r="F1549" s="35"/>
      <c r="G1549" s="9"/>
      <c r="H1549" s="9"/>
      <c r="I1549" s="34"/>
      <c r="J1549" s="30" t="str">
        <f aca="false">IF(F1549="","",G1549-B1549)</f>
        <v/>
      </c>
      <c r="K1549" s="31" t="str">
        <f aca="false">IF(F1549="","",IF(H1549&lt;&gt;"",H1549,MAX('Vade Sapması'!$D$3,G1549)))</f>
        <v/>
      </c>
      <c r="L1549" s="30" t="str">
        <f aca="false">IF(F1549="","",K1549-B1549)</f>
        <v/>
      </c>
      <c r="M1549" s="30" t="str">
        <f aca="false">IF(F1549="","",L1549-J1549)</f>
        <v/>
      </c>
      <c r="N1549" s="32" t="str">
        <f aca="false">IF(F1549="","",IF(H1549&lt;&gt;"","Kapandı",IF('Vade Sapması'!$D$3&gt;G1549,"Açık · vadesi geçti","Açık · vadesi gelmedi")))</f>
        <v/>
      </c>
      <c r="O1549" s="30" t="str">
        <f aca="false">IF(F1549="","",IF(AND(H1549="",'Vade Sapması'!$D$3&gt;G1549),'Vade Sapması'!$D$3-G1549,0))</f>
        <v/>
      </c>
      <c r="P1549" s="33" t="str">
        <f aca="false">IF(F1549="","",F1549*J1549)</f>
        <v/>
      </c>
      <c r="Q1549" s="33" t="str">
        <f aca="false">IF(F1549="","",F1549*L1549)</f>
        <v/>
      </c>
      <c r="R1549" s="33" t="str">
        <f aca="false">IF(F1549="","",IF(H1549="",F1549,0))</f>
        <v/>
      </c>
      <c r="S1549" s="32" t="str">
        <f aca="false">IF(F1549="","",IF(N(O1549)=0,"",IF(O1549&lt;=30,"1-30",IF(O1549&lt;=60,"31-60",IF(O1549&lt;=90,"61-90","90+")))))</f>
        <v/>
      </c>
      <c r="T1549" s="32" t="str">
        <f aca="false">IF(F1549="","",IF(E1549="","Diğer",E1549))</f>
        <v/>
      </c>
      <c r="U1549" s="32" t="str">
        <f aca="false">IF(OR(F1549="",C1549=""),"",IF(COUNTIF($C$2:C1549,C1549)=1,MAX($U$1:U1548)+1,""))</f>
        <v/>
      </c>
    </row>
    <row r="1550" customFormat="false" ht="15" hidden="false" customHeight="false" outlineLevel="0" collapsed="false">
      <c r="A1550" s="34"/>
      <c r="B1550" s="9"/>
      <c r="C1550" s="34"/>
      <c r="D1550" s="34"/>
      <c r="E1550" s="34"/>
      <c r="F1550" s="35"/>
      <c r="G1550" s="9"/>
      <c r="H1550" s="9"/>
      <c r="I1550" s="34"/>
      <c r="J1550" s="30" t="str">
        <f aca="false">IF(F1550="","",G1550-B1550)</f>
        <v/>
      </c>
      <c r="K1550" s="31" t="str">
        <f aca="false">IF(F1550="","",IF(H1550&lt;&gt;"",H1550,MAX('Vade Sapması'!$D$3,G1550)))</f>
        <v/>
      </c>
      <c r="L1550" s="30" t="str">
        <f aca="false">IF(F1550="","",K1550-B1550)</f>
        <v/>
      </c>
      <c r="M1550" s="30" t="str">
        <f aca="false">IF(F1550="","",L1550-J1550)</f>
        <v/>
      </c>
      <c r="N1550" s="32" t="str">
        <f aca="false">IF(F1550="","",IF(H1550&lt;&gt;"","Kapandı",IF('Vade Sapması'!$D$3&gt;G1550,"Açık · vadesi geçti","Açık · vadesi gelmedi")))</f>
        <v/>
      </c>
      <c r="O1550" s="30" t="str">
        <f aca="false">IF(F1550="","",IF(AND(H1550="",'Vade Sapması'!$D$3&gt;G1550),'Vade Sapması'!$D$3-G1550,0))</f>
        <v/>
      </c>
      <c r="P1550" s="33" t="str">
        <f aca="false">IF(F1550="","",F1550*J1550)</f>
        <v/>
      </c>
      <c r="Q1550" s="33" t="str">
        <f aca="false">IF(F1550="","",F1550*L1550)</f>
        <v/>
      </c>
      <c r="R1550" s="33" t="str">
        <f aca="false">IF(F1550="","",IF(H1550="",F1550,0))</f>
        <v/>
      </c>
      <c r="S1550" s="32" t="str">
        <f aca="false">IF(F1550="","",IF(N(O1550)=0,"",IF(O1550&lt;=30,"1-30",IF(O1550&lt;=60,"31-60",IF(O1550&lt;=90,"61-90","90+")))))</f>
        <v/>
      </c>
      <c r="T1550" s="32" t="str">
        <f aca="false">IF(F1550="","",IF(E1550="","Diğer",E1550))</f>
        <v/>
      </c>
      <c r="U1550" s="32" t="str">
        <f aca="false">IF(OR(F1550="",C1550=""),"",IF(COUNTIF($C$2:C1550,C1550)=1,MAX($U$1:U1549)+1,""))</f>
        <v/>
      </c>
    </row>
    <row r="1551" customFormat="false" ht="15" hidden="false" customHeight="false" outlineLevel="0" collapsed="false">
      <c r="A1551" s="34"/>
      <c r="B1551" s="9"/>
      <c r="C1551" s="34"/>
      <c r="D1551" s="34"/>
      <c r="E1551" s="34"/>
      <c r="F1551" s="35"/>
      <c r="G1551" s="9"/>
      <c r="H1551" s="9"/>
      <c r="I1551" s="34"/>
      <c r="J1551" s="30" t="str">
        <f aca="false">IF(F1551="","",G1551-B1551)</f>
        <v/>
      </c>
      <c r="K1551" s="31" t="str">
        <f aca="false">IF(F1551="","",IF(H1551&lt;&gt;"",H1551,MAX('Vade Sapması'!$D$3,G1551)))</f>
        <v/>
      </c>
      <c r="L1551" s="30" t="str">
        <f aca="false">IF(F1551="","",K1551-B1551)</f>
        <v/>
      </c>
      <c r="M1551" s="30" t="str">
        <f aca="false">IF(F1551="","",L1551-J1551)</f>
        <v/>
      </c>
      <c r="N1551" s="32" t="str">
        <f aca="false">IF(F1551="","",IF(H1551&lt;&gt;"","Kapandı",IF('Vade Sapması'!$D$3&gt;G1551,"Açık · vadesi geçti","Açık · vadesi gelmedi")))</f>
        <v/>
      </c>
      <c r="O1551" s="30" t="str">
        <f aca="false">IF(F1551="","",IF(AND(H1551="",'Vade Sapması'!$D$3&gt;G1551),'Vade Sapması'!$D$3-G1551,0))</f>
        <v/>
      </c>
      <c r="P1551" s="33" t="str">
        <f aca="false">IF(F1551="","",F1551*J1551)</f>
        <v/>
      </c>
      <c r="Q1551" s="33" t="str">
        <f aca="false">IF(F1551="","",F1551*L1551)</f>
        <v/>
      </c>
      <c r="R1551" s="33" t="str">
        <f aca="false">IF(F1551="","",IF(H1551="",F1551,0))</f>
        <v/>
      </c>
      <c r="S1551" s="32" t="str">
        <f aca="false">IF(F1551="","",IF(N(O1551)=0,"",IF(O1551&lt;=30,"1-30",IF(O1551&lt;=60,"31-60",IF(O1551&lt;=90,"61-90","90+")))))</f>
        <v/>
      </c>
      <c r="T1551" s="32" t="str">
        <f aca="false">IF(F1551="","",IF(E1551="","Diğer",E1551))</f>
        <v/>
      </c>
      <c r="U1551" s="32" t="str">
        <f aca="false">IF(OR(F1551="",C1551=""),"",IF(COUNTIF($C$2:C1551,C1551)=1,MAX($U$1:U1550)+1,""))</f>
        <v/>
      </c>
    </row>
    <row r="1552" customFormat="false" ht="15" hidden="false" customHeight="false" outlineLevel="0" collapsed="false">
      <c r="A1552" s="34"/>
      <c r="B1552" s="9"/>
      <c r="C1552" s="34"/>
      <c r="D1552" s="34"/>
      <c r="E1552" s="34"/>
      <c r="F1552" s="35"/>
      <c r="G1552" s="9"/>
      <c r="H1552" s="9"/>
      <c r="I1552" s="34"/>
      <c r="J1552" s="30" t="str">
        <f aca="false">IF(F1552="","",G1552-B1552)</f>
        <v/>
      </c>
      <c r="K1552" s="31" t="str">
        <f aca="false">IF(F1552="","",IF(H1552&lt;&gt;"",H1552,MAX('Vade Sapması'!$D$3,G1552)))</f>
        <v/>
      </c>
      <c r="L1552" s="30" t="str">
        <f aca="false">IF(F1552="","",K1552-B1552)</f>
        <v/>
      </c>
      <c r="M1552" s="30" t="str">
        <f aca="false">IF(F1552="","",L1552-J1552)</f>
        <v/>
      </c>
      <c r="N1552" s="32" t="str">
        <f aca="false">IF(F1552="","",IF(H1552&lt;&gt;"","Kapandı",IF('Vade Sapması'!$D$3&gt;G1552,"Açık · vadesi geçti","Açık · vadesi gelmedi")))</f>
        <v/>
      </c>
      <c r="O1552" s="30" t="str">
        <f aca="false">IF(F1552="","",IF(AND(H1552="",'Vade Sapması'!$D$3&gt;G1552),'Vade Sapması'!$D$3-G1552,0))</f>
        <v/>
      </c>
      <c r="P1552" s="33" t="str">
        <f aca="false">IF(F1552="","",F1552*J1552)</f>
        <v/>
      </c>
      <c r="Q1552" s="33" t="str">
        <f aca="false">IF(F1552="","",F1552*L1552)</f>
        <v/>
      </c>
      <c r="R1552" s="33" t="str">
        <f aca="false">IF(F1552="","",IF(H1552="",F1552,0))</f>
        <v/>
      </c>
      <c r="S1552" s="32" t="str">
        <f aca="false">IF(F1552="","",IF(N(O1552)=0,"",IF(O1552&lt;=30,"1-30",IF(O1552&lt;=60,"31-60",IF(O1552&lt;=90,"61-90","90+")))))</f>
        <v/>
      </c>
      <c r="T1552" s="32" t="str">
        <f aca="false">IF(F1552="","",IF(E1552="","Diğer",E1552))</f>
        <v/>
      </c>
      <c r="U1552" s="32" t="str">
        <f aca="false">IF(OR(F1552="",C1552=""),"",IF(COUNTIF($C$2:C1552,C1552)=1,MAX($U$1:U1551)+1,""))</f>
        <v/>
      </c>
    </row>
    <row r="1553" customFormat="false" ht="15" hidden="false" customHeight="false" outlineLevel="0" collapsed="false">
      <c r="A1553" s="34"/>
      <c r="B1553" s="9"/>
      <c r="C1553" s="34"/>
      <c r="D1553" s="34"/>
      <c r="E1553" s="34"/>
      <c r="F1553" s="35"/>
      <c r="G1553" s="9"/>
      <c r="H1553" s="9"/>
      <c r="I1553" s="34"/>
      <c r="J1553" s="30" t="str">
        <f aca="false">IF(F1553="","",G1553-B1553)</f>
        <v/>
      </c>
      <c r="K1553" s="31" t="str">
        <f aca="false">IF(F1553="","",IF(H1553&lt;&gt;"",H1553,MAX('Vade Sapması'!$D$3,G1553)))</f>
        <v/>
      </c>
      <c r="L1553" s="30" t="str">
        <f aca="false">IF(F1553="","",K1553-B1553)</f>
        <v/>
      </c>
      <c r="M1553" s="30" t="str">
        <f aca="false">IF(F1553="","",L1553-J1553)</f>
        <v/>
      </c>
      <c r="N1553" s="32" t="str">
        <f aca="false">IF(F1553="","",IF(H1553&lt;&gt;"","Kapandı",IF('Vade Sapması'!$D$3&gt;G1553,"Açık · vadesi geçti","Açık · vadesi gelmedi")))</f>
        <v/>
      </c>
      <c r="O1553" s="30" t="str">
        <f aca="false">IF(F1553="","",IF(AND(H1553="",'Vade Sapması'!$D$3&gt;G1553),'Vade Sapması'!$D$3-G1553,0))</f>
        <v/>
      </c>
      <c r="P1553" s="33" t="str">
        <f aca="false">IF(F1553="","",F1553*J1553)</f>
        <v/>
      </c>
      <c r="Q1553" s="33" t="str">
        <f aca="false">IF(F1553="","",F1553*L1553)</f>
        <v/>
      </c>
      <c r="R1553" s="33" t="str">
        <f aca="false">IF(F1553="","",IF(H1553="",F1553,0))</f>
        <v/>
      </c>
      <c r="S1553" s="32" t="str">
        <f aca="false">IF(F1553="","",IF(N(O1553)=0,"",IF(O1553&lt;=30,"1-30",IF(O1553&lt;=60,"31-60",IF(O1553&lt;=90,"61-90","90+")))))</f>
        <v/>
      </c>
      <c r="T1553" s="32" t="str">
        <f aca="false">IF(F1553="","",IF(E1553="","Diğer",E1553))</f>
        <v/>
      </c>
      <c r="U1553" s="32" t="str">
        <f aca="false">IF(OR(F1553="",C1553=""),"",IF(COUNTIF($C$2:C1553,C1553)=1,MAX($U$1:U1552)+1,""))</f>
        <v/>
      </c>
    </row>
    <row r="1554" customFormat="false" ht="15" hidden="false" customHeight="false" outlineLevel="0" collapsed="false">
      <c r="A1554" s="34"/>
      <c r="B1554" s="9"/>
      <c r="C1554" s="34"/>
      <c r="D1554" s="34"/>
      <c r="E1554" s="34"/>
      <c r="F1554" s="35"/>
      <c r="G1554" s="9"/>
      <c r="H1554" s="9"/>
      <c r="I1554" s="34"/>
      <c r="J1554" s="30" t="str">
        <f aca="false">IF(F1554="","",G1554-B1554)</f>
        <v/>
      </c>
      <c r="K1554" s="31" t="str">
        <f aca="false">IF(F1554="","",IF(H1554&lt;&gt;"",H1554,MAX('Vade Sapması'!$D$3,G1554)))</f>
        <v/>
      </c>
      <c r="L1554" s="30" t="str">
        <f aca="false">IF(F1554="","",K1554-B1554)</f>
        <v/>
      </c>
      <c r="M1554" s="30" t="str">
        <f aca="false">IF(F1554="","",L1554-J1554)</f>
        <v/>
      </c>
      <c r="N1554" s="32" t="str">
        <f aca="false">IF(F1554="","",IF(H1554&lt;&gt;"","Kapandı",IF('Vade Sapması'!$D$3&gt;G1554,"Açık · vadesi geçti","Açık · vadesi gelmedi")))</f>
        <v/>
      </c>
      <c r="O1554" s="30" t="str">
        <f aca="false">IF(F1554="","",IF(AND(H1554="",'Vade Sapması'!$D$3&gt;G1554),'Vade Sapması'!$D$3-G1554,0))</f>
        <v/>
      </c>
      <c r="P1554" s="33" t="str">
        <f aca="false">IF(F1554="","",F1554*J1554)</f>
        <v/>
      </c>
      <c r="Q1554" s="33" t="str">
        <f aca="false">IF(F1554="","",F1554*L1554)</f>
        <v/>
      </c>
      <c r="R1554" s="33" t="str">
        <f aca="false">IF(F1554="","",IF(H1554="",F1554,0))</f>
        <v/>
      </c>
      <c r="S1554" s="32" t="str">
        <f aca="false">IF(F1554="","",IF(N(O1554)=0,"",IF(O1554&lt;=30,"1-30",IF(O1554&lt;=60,"31-60",IF(O1554&lt;=90,"61-90","90+")))))</f>
        <v/>
      </c>
      <c r="T1554" s="32" t="str">
        <f aca="false">IF(F1554="","",IF(E1554="","Diğer",E1554))</f>
        <v/>
      </c>
      <c r="U1554" s="32" t="str">
        <f aca="false">IF(OR(F1554="",C1554=""),"",IF(COUNTIF($C$2:C1554,C1554)=1,MAX($U$1:U1553)+1,""))</f>
        <v/>
      </c>
    </row>
    <row r="1555" customFormat="false" ht="15" hidden="false" customHeight="false" outlineLevel="0" collapsed="false">
      <c r="A1555" s="34"/>
      <c r="B1555" s="9"/>
      <c r="C1555" s="34"/>
      <c r="D1555" s="34"/>
      <c r="E1555" s="34"/>
      <c r="F1555" s="35"/>
      <c r="G1555" s="9"/>
      <c r="H1555" s="9"/>
      <c r="I1555" s="34"/>
      <c r="J1555" s="30" t="str">
        <f aca="false">IF(F1555="","",G1555-B1555)</f>
        <v/>
      </c>
      <c r="K1555" s="31" t="str">
        <f aca="false">IF(F1555="","",IF(H1555&lt;&gt;"",H1555,MAX('Vade Sapması'!$D$3,G1555)))</f>
        <v/>
      </c>
      <c r="L1555" s="30" t="str">
        <f aca="false">IF(F1555="","",K1555-B1555)</f>
        <v/>
      </c>
      <c r="M1555" s="30" t="str">
        <f aca="false">IF(F1555="","",L1555-J1555)</f>
        <v/>
      </c>
      <c r="N1555" s="32" t="str">
        <f aca="false">IF(F1555="","",IF(H1555&lt;&gt;"","Kapandı",IF('Vade Sapması'!$D$3&gt;G1555,"Açık · vadesi geçti","Açık · vadesi gelmedi")))</f>
        <v/>
      </c>
      <c r="O1555" s="30" t="str">
        <f aca="false">IF(F1555="","",IF(AND(H1555="",'Vade Sapması'!$D$3&gt;G1555),'Vade Sapması'!$D$3-G1555,0))</f>
        <v/>
      </c>
      <c r="P1555" s="33" t="str">
        <f aca="false">IF(F1555="","",F1555*J1555)</f>
        <v/>
      </c>
      <c r="Q1555" s="33" t="str">
        <f aca="false">IF(F1555="","",F1555*L1555)</f>
        <v/>
      </c>
      <c r="R1555" s="33" t="str">
        <f aca="false">IF(F1555="","",IF(H1555="",F1555,0))</f>
        <v/>
      </c>
      <c r="S1555" s="32" t="str">
        <f aca="false">IF(F1555="","",IF(N(O1555)=0,"",IF(O1555&lt;=30,"1-30",IF(O1555&lt;=60,"31-60",IF(O1555&lt;=90,"61-90","90+")))))</f>
        <v/>
      </c>
      <c r="T1555" s="32" t="str">
        <f aca="false">IF(F1555="","",IF(E1555="","Diğer",E1555))</f>
        <v/>
      </c>
      <c r="U1555" s="32" t="str">
        <f aca="false">IF(OR(F1555="",C1555=""),"",IF(COUNTIF($C$2:C1555,C1555)=1,MAX($U$1:U1554)+1,""))</f>
        <v/>
      </c>
    </row>
    <row r="1556" customFormat="false" ht="15" hidden="false" customHeight="false" outlineLevel="0" collapsed="false">
      <c r="A1556" s="34"/>
      <c r="B1556" s="9"/>
      <c r="C1556" s="34"/>
      <c r="D1556" s="34"/>
      <c r="E1556" s="34"/>
      <c r="F1556" s="35"/>
      <c r="G1556" s="9"/>
      <c r="H1556" s="9"/>
      <c r="I1556" s="34"/>
      <c r="J1556" s="30" t="str">
        <f aca="false">IF(F1556="","",G1556-B1556)</f>
        <v/>
      </c>
      <c r="K1556" s="31" t="str">
        <f aca="false">IF(F1556="","",IF(H1556&lt;&gt;"",H1556,MAX('Vade Sapması'!$D$3,G1556)))</f>
        <v/>
      </c>
      <c r="L1556" s="30" t="str">
        <f aca="false">IF(F1556="","",K1556-B1556)</f>
        <v/>
      </c>
      <c r="M1556" s="30" t="str">
        <f aca="false">IF(F1556="","",L1556-J1556)</f>
        <v/>
      </c>
      <c r="N1556" s="32" t="str">
        <f aca="false">IF(F1556="","",IF(H1556&lt;&gt;"","Kapandı",IF('Vade Sapması'!$D$3&gt;G1556,"Açık · vadesi geçti","Açık · vadesi gelmedi")))</f>
        <v/>
      </c>
      <c r="O1556" s="30" t="str">
        <f aca="false">IF(F1556="","",IF(AND(H1556="",'Vade Sapması'!$D$3&gt;G1556),'Vade Sapması'!$D$3-G1556,0))</f>
        <v/>
      </c>
      <c r="P1556" s="33" t="str">
        <f aca="false">IF(F1556="","",F1556*J1556)</f>
        <v/>
      </c>
      <c r="Q1556" s="33" t="str">
        <f aca="false">IF(F1556="","",F1556*L1556)</f>
        <v/>
      </c>
      <c r="R1556" s="33" t="str">
        <f aca="false">IF(F1556="","",IF(H1556="",F1556,0))</f>
        <v/>
      </c>
      <c r="S1556" s="32" t="str">
        <f aca="false">IF(F1556="","",IF(N(O1556)=0,"",IF(O1556&lt;=30,"1-30",IF(O1556&lt;=60,"31-60",IF(O1556&lt;=90,"61-90","90+")))))</f>
        <v/>
      </c>
      <c r="T1556" s="32" t="str">
        <f aca="false">IF(F1556="","",IF(E1556="","Diğer",E1556))</f>
        <v/>
      </c>
      <c r="U1556" s="32" t="str">
        <f aca="false">IF(OR(F1556="",C1556=""),"",IF(COUNTIF($C$2:C1556,C1556)=1,MAX($U$1:U1555)+1,""))</f>
        <v/>
      </c>
    </row>
    <row r="1557" customFormat="false" ht="15" hidden="false" customHeight="false" outlineLevel="0" collapsed="false">
      <c r="A1557" s="34"/>
      <c r="B1557" s="9"/>
      <c r="C1557" s="34"/>
      <c r="D1557" s="34"/>
      <c r="E1557" s="34"/>
      <c r="F1557" s="35"/>
      <c r="G1557" s="9"/>
      <c r="H1557" s="9"/>
      <c r="I1557" s="34"/>
      <c r="J1557" s="30" t="str">
        <f aca="false">IF(F1557="","",G1557-B1557)</f>
        <v/>
      </c>
      <c r="K1557" s="31" t="str">
        <f aca="false">IF(F1557="","",IF(H1557&lt;&gt;"",H1557,MAX('Vade Sapması'!$D$3,G1557)))</f>
        <v/>
      </c>
      <c r="L1557" s="30" t="str">
        <f aca="false">IF(F1557="","",K1557-B1557)</f>
        <v/>
      </c>
      <c r="M1557" s="30" t="str">
        <f aca="false">IF(F1557="","",L1557-J1557)</f>
        <v/>
      </c>
      <c r="N1557" s="32" t="str">
        <f aca="false">IF(F1557="","",IF(H1557&lt;&gt;"","Kapandı",IF('Vade Sapması'!$D$3&gt;G1557,"Açık · vadesi geçti","Açık · vadesi gelmedi")))</f>
        <v/>
      </c>
      <c r="O1557" s="30" t="str">
        <f aca="false">IF(F1557="","",IF(AND(H1557="",'Vade Sapması'!$D$3&gt;G1557),'Vade Sapması'!$D$3-G1557,0))</f>
        <v/>
      </c>
      <c r="P1557" s="33" t="str">
        <f aca="false">IF(F1557="","",F1557*J1557)</f>
        <v/>
      </c>
      <c r="Q1557" s="33" t="str">
        <f aca="false">IF(F1557="","",F1557*L1557)</f>
        <v/>
      </c>
      <c r="R1557" s="33" t="str">
        <f aca="false">IF(F1557="","",IF(H1557="",F1557,0))</f>
        <v/>
      </c>
      <c r="S1557" s="32" t="str">
        <f aca="false">IF(F1557="","",IF(N(O1557)=0,"",IF(O1557&lt;=30,"1-30",IF(O1557&lt;=60,"31-60",IF(O1557&lt;=90,"61-90","90+")))))</f>
        <v/>
      </c>
      <c r="T1557" s="32" t="str">
        <f aca="false">IF(F1557="","",IF(E1557="","Diğer",E1557))</f>
        <v/>
      </c>
      <c r="U1557" s="32" t="str">
        <f aca="false">IF(OR(F1557="",C1557=""),"",IF(COUNTIF($C$2:C1557,C1557)=1,MAX($U$1:U1556)+1,""))</f>
        <v/>
      </c>
    </row>
    <row r="1558" customFormat="false" ht="15" hidden="false" customHeight="false" outlineLevel="0" collapsed="false">
      <c r="A1558" s="34"/>
      <c r="B1558" s="9"/>
      <c r="C1558" s="34"/>
      <c r="D1558" s="34"/>
      <c r="E1558" s="34"/>
      <c r="F1558" s="35"/>
      <c r="G1558" s="9"/>
      <c r="H1558" s="9"/>
      <c r="I1558" s="34"/>
      <c r="J1558" s="30" t="str">
        <f aca="false">IF(F1558="","",G1558-B1558)</f>
        <v/>
      </c>
      <c r="K1558" s="31" t="str">
        <f aca="false">IF(F1558="","",IF(H1558&lt;&gt;"",H1558,MAX('Vade Sapması'!$D$3,G1558)))</f>
        <v/>
      </c>
      <c r="L1558" s="30" t="str">
        <f aca="false">IF(F1558="","",K1558-B1558)</f>
        <v/>
      </c>
      <c r="M1558" s="30" t="str">
        <f aca="false">IF(F1558="","",L1558-J1558)</f>
        <v/>
      </c>
      <c r="N1558" s="32" t="str">
        <f aca="false">IF(F1558="","",IF(H1558&lt;&gt;"","Kapandı",IF('Vade Sapması'!$D$3&gt;G1558,"Açık · vadesi geçti","Açık · vadesi gelmedi")))</f>
        <v/>
      </c>
      <c r="O1558" s="30" t="str">
        <f aca="false">IF(F1558="","",IF(AND(H1558="",'Vade Sapması'!$D$3&gt;G1558),'Vade Sapması'!$D$3-G1558,0))</f>
        <v/>
      </c>
      <c r="P1558" s="33" t="str">
        <f aca="false">IF(F1558="","",F1558*J1558)</f>
        <v/>
      </c>
      <c r="Q1558" s="33" t="str">
        <f aca="false">IF(F1558="","",F1558*L1558)</f>
        <v/>
      </c>
      <c r="R1558" s="33" t="str">
        <f aca="false">IF(F1558="","",IF(H1558="",F1558,0))</f>
        <v/>
      </c>
      <c r="S1558" s="32" t="str">
        <f aca="false">IF(F1558="","",IF(N(O1558)=0,"",IF(O1558&lt;=30,"1-30",IF(O1558&lt;=60,"31-60",IF(O1558&lt;=90,"61-90","90+")))))</f>
        <v/>
      </c>
      <c r="T1558" s="32" t="str">
        <f aca="false">IF(F1558="","",IF(E1558="","Diğer",E1558))</f>
        <v/>
      </c>
      <c r="U1558" s="32" t="str">
        <f aca="false">IF(OR(F1558="",C1558=""),"",IF(COUNTIF($C$2:C1558,C1558)=1,MAX($U$1:U1557)+1,""))</f>
        <v/>
      </c>
    </row>
    <row r="1559" customFormat="false" ht="15" hidden="false" customHeight="false" outlineLevel="0" collapsed="false">
      <c r="A1559" s="34"/>
      <c r="B1559" s="9"/>
      <c r="C1559" s="34"/>
      <c r="D1559" s="34"/>
      <c r="E1559" s="34"/>
      <c r="F1559" s="35"/>
      <c r="G1559" s="9"/>
      <c r="H1559" s="9"/>
      <c r="I1559" s="34"/>
      <c r="J1559" s="30" t="str">
        <f aca="false">IF(F1559="","",G1559-B1559)</f>
        <v/>
      </c>
      <c r="K1559" s="31" t="str">
        <f aca="false">IF(F1559="","",IF(H1559&lt;&gt;"",H1559,MAX('Vade Sapması'!$D$3,G1559)))</f>
        <v/>
      </c>
      <c r="L1559" s="30" t="str">
        <f aca="false">IF(F1559="","",K1559-B1559)</f>
        <v/>
      </c>
      <c r="M1559" s="30" t="str">
        <f aca="false">IF(F1559="","",L1559-J1559)</f>
        <v/>
      </c>
      <c r="N1559" s="32" t="str">
        <f aca="false">IF(F1559="","",IF(H1559&lt;&gt;"","Kapandı",IF('Vade Sapması'!$D$3&gt;G1559,"Açık · vadesi geçti","Açık · vadesi gelmedi")))</f>
        <v/>
      </c>
      <c r="O1559" s="30" t="str">
        <f aca="false">IF(F1559="","",IF(AND(H1559="",'Vade Sapması'!$D$3&gt;G1559),'Vade Sapması'!$D$3-G1559,0))</f>
        <v/>
      </c>
      <c r="P1559" s="33" t="str">
        <f aca="false">IF(F1559="","",F1559*J1559)</f>
        <v/>
      </c>
      <c r="Q1559" s="33" t="str">
        <f aca="false">IF(F1559="","",F1559*L1559)</f>
        <v/>
      </c>
      <c r="R1559" s="33" t="str">
        <f aca="false">IF(F1559="","",IF(H1559="",F1559,0))</f>
        <v/>
      </c>
      <c r="S1559" s="32" t="str">
        <f aca="false">IF(F1559="","",IF(N(O1559)=0,"",IF(O1559&lt;=30,"1-30",IF(O1559&lt;=60,"31-60",IF(O1559&lt;=90,"61-90","90+")))))</f>
        <v/>
      </c>
      <c r="T1559" s="32" t="str">
        <f aca="false">IF(F1559="","",IF(E1559="","Diğer",E1559))</f>
        <v/>
      </c>
      <c r="U1559" s="32" t="str">
        <f aca="false">IF(OR(F1559="",C1559=""),"",IF(COUNTIF($C$2:C1559,C1559)=1,MAX($U$1:U1558)+1,""))</f>
        <v/>
      </c>
    </row>
    <row r="1560" customFormat="false" ht="15" hidden="false" customHeight="false" outlineLevel="0" collapsed="false">
      <c r="A1560" s="34"/>
      <c r="B1560" s="9"/>
      <c r="C1560" s="34"/>
      <c r="D1560" s="34"/>
      <c r="E1560" s="34"/>
      <c r="F1560" s="35"/>
      <c r="G1560" s="9"/>
      <c r="H1560" s="9"/>
      <c r="I1560" s="34"/>
      <c r="J1560" s="30" t="str">
        <f aca="false">IF(F1560="","",G1560-B1560)</f>
        <v/>
      </c>
      <c r="K1560" s="31" t="str">
        <f aca="false">IF(F1560="","",IF(H1560&lt;&gt;"",H1560,MAX('Vade Sapması'!$D$3,G1560)))</f>
        <v/>
      </c>
      <c r="L1560" s="30" t="str">
        <f aca="false">IF(F1560="","",K1560-B1560)</f>
        <v/>
      </c>
      <c r="M1560" s="30" t="str">
        <f aca="false">IF(F1560="","",L1560-J1560)</f>
        <v/>
      </c>
      <c r="N1560" s="32" t="str">
        <f aca="false">IF(F1560="","",IF(H1560&lt;&gt;"","Kapandı",IF('Vade Sapması'!$D$3&gt;G1560,"Açık · vadesi geçti","Açık · vadesi gelmedi")))</f>
        <v/>
      </c>
      <c r="O1560" s="30" t="str">
        <f aca="false">IF(F1560="","",IF(AND(H1560="",'Vade Sapması'!$D$3&gt;G1560),'Vade Sapması'!$D$3-G1560,0))</f>
        <v/>
      </c>
      <c r="P1560" s="33" t="str">
        <f aca="false">IF(F1560="","",F1560*J1560)</f>
        <v/>
      </c>
      <c r="Q1560" s="33" t="str">
        <f aca="false">IF(F1560="","",F1560*L1560)</f>
        <v/>
      </c>
      <c r="R1560" s="33" t="str">
        <f aca="false">IF(F1560="","",IF(H1560="",F1560,0))</f>
        <v/>
      </c>
      <c r="S1560" s="32" t="str">
        <f aca="false">IF(F1560="","",IF(N(O1560)=0,"",IF(O1560&lt;=30,"1-30",IF(O1560&lt;=60,"31-60",IF(O1560&lt;=90,"61-90","90+")))))</f>
        <v/>
      </c>
      <c r="T1560" s="32" t="str">
        <f aca="false">IF(F1560="","",IF(E1560="","Diğer",E1560))</f>
        <v/>
      </c>
      <c r="U1560" s="32" t="str">
        <f aca="false">IF(OR(F1560="",C1560=""),"",IF(COUNTIF($C$2:C1560,C1560)=1,MAX($U$1:U1559)+1,""))</f>
        <v/>
      </c>
    </row>
    <row r="1561" customFormat="false" ht="15" hidden="false" customHeight="false" outlineLevel="0" collapsed="false">
      <c r="A1561" s="34"/>
      <c r="B1561" s="9"/>
      <c r="C1561" s="34"/>
      <c r="D1561" s="34"/>
      <c r="E1561" s="34"/>
      <c r="F1561" s="35"/>
      <c r="G1561" s="9"/>
      <c r="H1561" s="9"/>
      <c r="I1561" s="34"/>
      <c r="J1561" s="30" t="str">
        <f aca="false">IF(F1561="","",G1561-B1561)</f>
        <v/>
      </c>
      <c r="K1561" s="31" t="str">
        <f aca="false">IF(F1561="","",IF(H1561&lt;&gt;"",H1561,MAX('Vade Sapması'!$D$3,G1561)))</f>
        <v/>
      </c>
      <c r="L1561" s="30" t="str">
        <f aca="false">IF(F1561="","",K1561-B1561)</f>
        <v/>
      </c>
      <c r="M1561" s="30" t="str">
        <f aca="false">IF(F1561="","",L1561-J1561)</f>
        <v/>
      </c>
      <c r="N1561" s="32" t="str">
        <f aca="false">IF(F1561="","",IF(H1561&lt;&gt;"","Kapandı",IF('Vade Sapması'!$D$3&gt;G1561,"Açık · vadesi geçti","Açık · vadesi gelmedi")))</f>
        <v/>
      </c>
      <c r="O1561" s="30" t="str">
        <f aca="false">IF(F1561="","",IF(AND(H1561="",'Vade Sapması'!$D$3&gt;G1561),'Vade Sapması'!$D$3-G1561,0))</f>
        <v/>
      </c>
      <c r="P1561" s="33" t="str">
        <f aca="false">IF(F1561="","",F1561*J1561)</f>
        <v/>
      </c>
      <c r="Q1561" s="33" t="str">
        <f aca="false">IF(F1561="","",F1561*L1561)</f>
        <v/>
      </c>
      <c r="R1561" s="33" t="str">
        <f aca="false">IF(F1561="","",IF(H1561="",F1561,0))</f>
        <v/>
      </c>
      <c r="S1561" s="32" t="str">
        <f aca="false">IF(F1561="","",IF(N(O1561)=0,"",IF(O1561&lt;=30,"1-30",IF(O1561&lt;=60,"31-60",IF(O1561&lt;=90,"61-90","90+")))))</f>
        <v/>
      </c>
      <c r="T1561" s="32" t="str">
        <f aca="false">IF(F1561="","",IF(E1561="","Diğer",E1561))</f>
        <v/>
      </c>
      <c r="U1561" s="32" t="str">
        <f aca="false">IF(OR(F1561="",C1561=""),"",IF(COUNTIF($C$2:C1561,C1561)=1,MAX($U$1:U1560)+1,""))</f>
        <v/>
      </c>
    </row>
    <row r="1562" customFormat="false" ht="15" hidden="false" customHeight="false" outlineLevel="0" collapsed="false">
      <c r="A1562" s="34"/>
      <c r="B1562" s="9"/>
      <c r="C1562" s="34"/>
      <c r="D1562" s="34"/>
      <c r="E1562" s="34"/>
      <c r="F1562" s="35"/>
      <c r="G1562" s="9"/>
      <c r="H1562" s="9"/>
      <c r="I1562" s="34"/>
      <c r="J1562" s="30" t="str">
        <f aca="false">IF(F1562="","",G1562-B1562)</f>
        <v/>
      </c>
      <c r="K1562" s="31" t="str">
        <f aca="false">IF(F1562="","",IF(H1562&lt;&gt;"",H1562,MAX('Vade Sapması'!$D$3,G1562)))</f>
        <v/>
      </c>
      <c r="L1562" s="30" t="str">
        <f aca="false">IF(F1562="","",K1562-B1562)</f>
        <v/>
      </c>
      <c r="M1562" s="30" t="str">
        <f aca="false">IF(F1562="","",L1562-J1562)</f>
        <v/>
      </c>
      <c r="N1562" s="32" t="str">
        <f aca="false">IF(F1562="","",IF(H1562&lt;&gt;"","Kapandı",IF('Vade Sapması'!$D$3&gt;G1562,"Açık · vadesi geçti","Açık · vadesi gelmedi")))</f>
        <v/>
      </c>
      <c r="O1562" s="30" t="str">
        <f aca="false">IF(F1562="","",IF(AND(H1562="",'Vade Sapması'!$D$3&gt;G1562),'Vade Sapması'!$D$3-G1562,0))</f>
        <v/>
      </c>
      <c r="P1562" s="33" t="str">
        <f aca="false">IF(F1562="","",F1562*J1562)</f>
        <v/>
      </c>
      <c r="Q1562" s="33" t="str">
        <f aca="false">IF(F1562="","",F1562*L1562)</f>
        <v/>
      </c>
      <c r="R1562" s="33" t="str">
        <f aca="false">IF(F1562="","",IF(H1562="",F1562,0))</f>
        <v/>
      </c>
      <c r="S1562" s="32" t="str">
        <f aca="false">IF(F1562="","",IF(N(O1562)=0,"",IF(O1562&lt;=30,"1-30",IF(O1562&lt;=60,"31-60",IF(O1562&lt;=90,"61-90","90+")))))</f>
        <v/>
      </c>
      <c r="T1562" s="32" t="str">
        <f aca="false">IF(F1562="","",IF(E1562="","Diğer",E1562))</f>
        <v/>
      </c>
      <c r="U1562" s="32" t="str">
        <f aca="false">IF(OR(F1562="",C1562=""),"",IF(COUNTIF($C$2:C1562,C1562)=1,MAX($U$1:U1561)+1,""))</f>
        <v/>
      </c>
    </row>
    <row r="1563" customFormat="false" ht="15" hidden="false" customHeight="false" outlineLevel="0" collapsed="false">
      <c r="A1563" s="34"/>
      <c r="B1563" s="9"/>
      <c r="C1563" s="34"/>
      <c r="D1563" s="34"/>
      <c r="E1563" s="34"/>
      <c r="F1563" s="35"/>
      <c r="G1563" s="9"/>
      <c r="H1563" s="9"/>
      <c r="I1563" s="34"/>
      <c r="J1563" s="30" t="str">
        <f aca="false">IF(F1563="","",G1563-B1563)</f>
        <v/>
      </c>
      <c r="K1563" s="31" t="str">
        <f aca="false">IF(F1563="","",IF(H1563&lt;&gt;"",H1563,MAX('Vade Sapması'!$D$3,G1563)))</f>
        <v/>
      </c>
      <c r="L1563" s="30" t="str">
        <f aca="false">IF(F1563="","",K1563-B1563)</f>
        <v/>
      </c>
      <c r="M1563" s="30" t="str">
        <f aca="false">IF(F1563="","",L1563-J1563)</f>
        <v/>
      </c>
      <c r="N1563" s="32" t="str">
        <f aca="false">IF(F1563="","",IF(H1563&lt;&gt;"","Kapandı",IF('Vade Sapması'!$D$3&gt;G1563,"Açık · vadesi geçti","Açık · vadesi gelmedi")))</f>
        <v/>
      </c>
      <c r="O1563" s="30" t="str">
        <f aca="false">IF(F1563="","",IF(AND(H1563="",'Vade Sapması'!$D$3&gt;G1563),'Vade Sapması'!$D$3-G1563,0))</f>
        <v/>
      </c>
      <c r="P1563" s="33" t="str">
        <f aca="false">IF(F1563="","",F1563*J1563)</f>
        <v/>
      </c>
      <c r="Q1563" s="33" t="str">
        <f aca="false">IF(F1563="","",F1563*L1563)</f>
        <v/>
      </c>
      <c r="R1563" s="33" t="str">
        <f aca="false">IF(F1563="","",IF(H1563="",F1563,0))</f>
        <v/>
      </c>
      <c r="S1563" s="32" t="str">
        <f aca="false">IF(F1563="","",IF(N(O1563)=0,"",IF(O1563&lt;=30,"1-30",IF(O1563&lt;=60,"31-60",IF(O1563&lt;=90,"61-90","90+")))))</f>
        <v/>
      </c>
      <c r="T1563" s="32" t="str">
        <f aca="false">IF(F1563="","",IF(E1563="","Diğer",E1563))</f>
        <v/>
      </c>
      <c r="U1563" s="32" t="str">
        <f aca="false">IF(OR(F1563="",C1563=""),"",IF(COUNTIF($C$2:C1563,C1563)=1,MAX($U$1:U1562)+1,""))</f>
        <v/>
      </c>
    </row>
    <row r="1564" customFormat="false" ht="15" hidden="false" customHeight="false" outlineLevel="0" collapsed="false">
      <c r="A1564" s="34"/>
      <c r="B1564" s="9"/>
      <c r="C1564" s="34"/>
      <c r="D1564" s="34"/>
      <c r="E1564" s="34"/>
      <c r="F1564" s="35"/>
      <c r="G1564" s="9"/>
      <c r="H1564" s="9"/>
      <c r="I1564" s="34"/>
      <c r="J1564" s="30" t="str">
        <f aca="false">IF(F1564="","",G1564-B1564)</f>
        <v/>
      </c>
      <c r="K1564" s="31" t="str">
        <f aca="false">IF(F1564="","",IF(H1564&lt;&gt;"",H1564,MAX('Vade Sapması'!$D$3,G1564)))</f>
        <v/>
      </c>
      <c r="L1564" s="30" t="str">
        <f aca="false">IF(F1564="","",K1564-B1564)</f>
        <v/>
      </c>
      <c r="M1564" s="30" t="str">
        <f aca="false">IF(F1564="","",L1564-J1564)</f>
        <v/>
      </c>
      <c r="N1564" s="32" t="str">
        <f aca="false">IF(F1564="","",IF(H1564&lt;&gt;"","Kapandı",IF('Vade Sapması'!$D$3&gt;G1564,"Açık · vadesi geçti","Açık · vadesi gelmedi")))</f>
        <v/>
      </c>
      <c r="O1564" s="30" t="str">
        <f aca="false">IF(F1564="","",IF(AND(H1564="",'Vade Sapması'!$D$3&gt;G1564),'Vade Sapması'!$D$3-G1564,0))</f>
        <v/>
      </c>
      <c r="P1564" s="33" t="str">
        <f aca="false">IF(F1564="","",F1564*J1564)</f>
        <v/>
      </c>
      <c r="Q1564" s="33" t="str">
        <f aca="false">IF(F1564="","",F1564*L1564)</f>
        <v/>
      </c>
      <c r="R1564" s="33" t="str">
        <f aca="false">IF(F1564="","",IF(H1564="",F1564,0))</f>
        <v/>
      </c>
      <c r="S1564" s="32" t="str">
        <f aca="false">IF(F1564="","",IF(N(O1564)=0,"",IF(O1564&lt;=30,"1-30",IF(O1564&lt;=60,"31-60",IF(O1564&lt;=90,"61-90","90+")))))</f>
        <v/>
      </c>
      <c r="T1564" s="32" t="str">
        <f aca="false">IF(F1564="","",IF(E1564="","Diğer",E1564))</f>
        <v/>
      </c>
      <c r="U1564" s="32" t="str">
        <f aca="false">IF(OR(F1564="",C1564=""),"",IF(COUNTIF($C$2:C1564,C1564)=1,MAX($U$1:U1563)+1,""))</f>
        <v/>
      </c>
    </row>
    <row r="1565" customFormat="false" ht="15" hidden="false" customHeight="false" outlineLevel="0" collapsed="false">
      <c r="A1565" s="34"/>
      <c r="B1565" s="9"/>
      <c r="C1565" s="34"/>
      <c r="D1565" s="34"/>
      <c r="E1565" s="34"/>
      <c r="F1565" s="35"/>
      <c r="G1565" s="9"/>
      <c r="H1565" s="9"/>
      <c r="I1565" s="34"/>
      <c r="J1565" s="30" t="str">
        <f aca="false">IF(F1565="","",G1565-B1565)</f>
        <v/>
      </c>
      <c r="K1565" s="31" t="str">
        <f aca="false">IF(F1565="","",IF(H1565&lt;&gt;"",H1565,MAX('Vade Sapması'!$D$3,G1565)))</f>
        <v/>
      </c>
      <c r="L1565" s="30" t="str">
        <f aca="false">IF(F1565="","",K1565-B1565)</f>
        <v/>
      </c>
      <c r="M1565" s="30" t="str">
        <f aca="false">IF(F1565="","",L1565-J1565)</f>
        <v/>
      </c>
      <c r="N1565" s="32" t="str">
        <f aca="false">IF(F1565="","",IF(H1565&lt;&gt;"","Kapandı",IF('Vade Sapması'!$D$3&gt;G1565,"Açık · vadesi geçti","Açık · vadesi gelmedi")))</f>
        <v/>
      </c>
      <c r="O1565" s="30" t="str">
        <f aca="false">IF(F1565="","",IF(AND(H1565="",'Vade Sapması'!$D$3&gt;G1565),'Vade Sapması'!$D$3-G1565,0))</f>
        <v/>
      </c>
      <c r="P1565" s="33" t="str">
        <f aca="false">IF(F1565="","",F1565*J1565)</f>
        <v/>
      </c>
      <c r="Q1565" s="33" t="str">
        <f aca="false">IF(F1565="","",F1565*L1565)</f>
        <v/>
      </c>
      <c r="R1565" s="33" t="str">
        <f aca="false">IF(F1565="","",IF(H1565="",F1565,0))</f>
        <v/>
      </c>
      <c r="S1565" s="32" t="str">
        <f aca="false">IF(F1565="","",IF(N(O1565)=0,"",IF(O1565&lt;=30,"1-30",IF(O1565&lt;=60,"31-60",IF(O1565&lt;=90,"61-90","90+")))))</f>
        <v/>
      </c>
      <c r="T1565" s="32" t="str">
        <f aca="false">IF(F1565="","",IF(E1565="","Diğer",E1565))</f>
        <v/>
      </c>
      <c r="U1565" s="32" t="str">
        <f aca="false">IF(OR(F1565="",C1565=""),"",IF(COUNTIF($C$2:C1565,C1565)=1,MAX($U$1:U1564)+1,""))</f>
        <v/>
      </c>
    </row>
    <row r="1566" customFormat="false" ht="15" hidden="false" customHeight="false" outlineLevel="0" collapsed="false">
      <c r="A1566" s="34"/>
      <c r="B1566" s="9"/>
      <c r="C1566" s="34"/>
      <c r="D1566" s="34"/>
      <c r="E1566" s="34"/>
      <c r="F1566" s="35"/>
      <c r="G1566" s="9"/>
      <c r="H1566" s="9"/>
      <c r="I1566" s="34"/>
      <c r="J1566" s="30" t="str">
        <f aca="false">IF(F1566="","",G1566-B1566)</f>
        <v/>
      </c>
      <c r="K1566" s="31" t="str">
        <f aca="false">IF(F1566="","",IF(H1566&lt;&gt;"",H1566,MAX('Vade Sapması'!$D$3,G1566)))</f>
        <v/>
      </c>
      <c r="L1566" s="30" t="str">
        <f aca="false">IF(F1566="","",K1566-B1566)</f>
        <v/>
      </c>
      <c r="M1566" s="30" t="str">
        <f aca="false">IF(F1566="","",L1566-J1566)</f>
        <v/>
      </c>
      <c r="N1566" s="32" t="str">
        <f aca="false">IF(F1566="","",IF(H1566&lt;&gt;"","Kapandı",IF('Vade Sapması'!$D$3&gt;G1566,"Açık · vadesi geçti","Açık · vadesi gelmedi")))</f>
        <v/>
      </c>
      <c r="O1566" s="30" t="str">
        <f aca="false">IF(F1566="","",IF(AND(H1566="",'Vade Sapması'!$D$3&gt;G1566),'Vade Sapması'!$D$3-G1566,0))</f>
        <v/>
      </c>
      <c r="P1566" s="33" t="str">
        <f aca="false">IF(F1566="","",F1566*J1566)</f>
        <v/>
      </c>
      <c r="Q1566" s="33" t="str">
        <f aca="false">IF(F1566="","",F1566*L1566)</f>
        <v/>
      </c>
      <c r="R1566" s="33" t="str">
        <f aca="false">IF(F1566="","",IF(H1566="",F1566,0))</f>
        <v/>
      </c>
      <c r="S1566" s="32" t="str">
        <f aca="false">IF(F1566="","",IF(N(O1566)=0,"",IF(O1566&lt;=30,"1-30",IF(O1566&lt;=60,"31-60",IF(O1566&lt;=90,"61-90","90+")))))</f>
        <v/>
      </c>
      <c r="T1566" s="32" t="str">
        <f aca="false">IF(F1566="","",IF(E1566="","Diğer",E1566))</f>
        <v/>
      </c>
      <c r="U1566" s="32" t="str">
        <f aca="false">IF(OR(F1566="",C1566=""),"",IF(COUNTIF($C$2:C1566,C1566)=1,MAX($U$1:U1565)+1,""))</f>
        <v/>
      </c>
    </row>
    <row r="1567" customFormat="false" ht="15" hidden="false" customHeight="false" outlineLevel="0" collapsed="false">
      <c r="A1567" s="34"/>
      <c r="B1567" s="9"/>
      <c r="C1567" s="34"/>
      <c r="D1567" s="34"/>
      <c r="E1567" s="34"/>
      <c r="F1567" s="35"/>
      <c r="G1567" s="9"/>
      <c r="H1567" s="9"/>
      <c r="I1567" s="34"/>
      <c r="J1567" s="30" t="str">
        <f aca="false">IF(F1567="","",G1567-B1567)</f>
        <v/>
      </c>
      <c r="K1567" s="31" t="str">
        <f aca="false">IF(F1567="","",IF(H1567&lt;&gt;"",H1567,MAX('Vade Sapması'!$D$3,G1567)))</f>
        <v/>
      </c>
      <c r="L1567" s="30" t="str">
        <f aca="false">IF(F1567="","",K1567-B1567)</f>
        <v/>
      </c>
      <c r="M1567" s="30" t="str">
        <f aca="false">IF(F1567="","",L1567-J1567)</f>
        <v/>
      </c>
      <c r="N1567" s="32" t="str">
        <f aca="false">IF(F1567="","",IF(H1567&lt;&gt;"","Kapandı",IF('Vade Sapması'!$D$3&gt;G1567,"Açık · vadesi geçti","Açık · vadesi gelmedi")))</f>
        <v/>
      </c>
      <c r="O1567" s="30" t="str">
        <f aca="false">IF(F1567="","",IF(AND(H1567="",'Vade Sapması'!$D$3&gt;G1567),'Vade Sapması'!$D$3-G1567,0))</f>
        <v/>
      </c>
      <c r="P1567" s="33" t="str">
        <f aca="false">IF(F1567="","",F1567*J1567)</f>
        <v/>
      </c>
      <c r="Q1567" s="33" t="str">
        <f aca="false">IF(F1567="","",F1567*L1567)</f>
        <v/>
      </c>
      <c r="R1567" s="33" t="str">
        <f aca="false">IF(F1567="","",IF(H1567="",F1567,0))</f>
        <v/>
      </c>
      <c r="S1567" s="32" t="str">
        <f aca="false">IF(F1567="","",IF(N(O1567)=0,"",IF(O1567&lt;=30,"1-30",IF(O1567&lt;=60,"31-60",IF(O1567&lt;=90,"61-90","90+")))))</f>
        <v/>
      </c>
      <c r="T1567" s="32" t="str">
        <f aca="false">IF(F1567="","",IF(E1567="","Diğer",E1567))</f>
        <v/>
      </c>
      <c r="U1567" s="32" t="str">
        <f aca="false">IF(OR(F1567="",C1567=""),"",IF(COUNTIF($C$2:C1567,C1567)=1,MAX($U$1:U1566)+1,""))</f>
        <v/>
      </c>
    </row>
    <row r="1568" customFormat="false" ht="15" hidden="false" customHeight="false" outlineLevel="0" collapsed="false">
      <c r="A1568" s="34"/>
      <c r="B1568" s="9"/>
      <c r="C1568" s="34"/>
      <c r="D1568" s="34"/>
      <c r="E1568" s="34"/>
      <c r="F1568" s="35"/>
      <c r="G1568" s="9"/>
      <c r="H1568" s="9"/>
      <c r="I1568" s="34"/>
      <c r="J1568" s="30" t="str">
        <f aca="false">IF(F1568="","",G1568-B1568)</f>
        <v/>
      </c>
      <c r="K1568" s="31" t="str">
        <f aca="false">IF(F1568="","",IF(H1568&lt;&gt;"",H1568,MAX('Vade Sapması'!$D$3,G1568)))</f>
        <v/>
      </c>
      <c r="L1568" s="30" t="str">
        <f aca="false">IF(F1568="","",K1568-B1568)</f>
        <v/>
      </c>
      <c r="M1568" s="30" t="str">
        <f aca="false">IF(F1568="","",L1568-J1568)</f>
        <v/>
      </c>
      <c r="N1568" s="32" t="str">
        <f aca="false">IF(F1568="","",IF(H1568&lt;&gt;"","Kapandı",IF('Vade Sapması'!$D$3&gt;G1568,"Açık · vadesi geçti","Açık · vadesi gelmedi")))</f>
        <v/>
      </c>
      <c r="O1568" s="30" t="str">
        <f aca="false">IF(F1568="","",IF(AND(H1568="",'Vade Sapması'!$D$3&gt;G1568),'Vade Sapması'!$D$3-G1568,0))</f>
        <v/>
      </c>
      <c r="P1568" s="33" t="str">
        <f aca="false">IF(F1568="","",F1568*J1568)</f>
        <v/>
      </c>
      <c r="Q1568" s="33" t="str">
        <f aca="false">IF(F1568="","",F1568*L1568)</f>
        <v/>
      </c>
      <c r="R1568" s="33" t="str">
        <f aca="false">IF(F1568="","",IF(H1568="",F1568,0))</f>
        <v/>
      </c>
      <c r="S1568" s="32" t="str">
        <f aca="false">IF(F1568="","",IF(N(O1568)=0,"",IF(O1568&lt;=30,"1-30",IF(O1568&lt;=60,"31-60",IF(O1568&lt;=90,"61-90","90+")))))</f>
        <v/>
      </c>
      <c r="T1568" s="32" t="str">
        <f aca="false">IF(F1568="","",IF(E1568="","Diğer",E1568))</f>
        <v/>
      </c>
      <c r="U1568" s="32" t="str">
        <f aca="false">IF(OR(F1568="",C1568=""),"",IF(COUNTIF($C$2:C1568,C1568)=1,MAX($U$1:U1567)+1,""))</f>
        <v/>
      </c>
    </row>
    <row r="1569" customFormat="false" ht="15" hidden="false" customHeight="false" outlineLevel="0" collapsed="false">
      <c r="A1569" s="34"/>
      <c r="B1569" s="9"/>
      <c r="C1569" s="34"/>
      <c r="D1569" s="34"/>
      <c r="E1569" s="34"/>
      <c r="F1569" s="35"/>
      <c r="G1569" s="9"/>
      <c r="H1569" s="9"/>
      <c r="I1569" s="34"/>
      <c r="J1569" s="30" t="str">
        <f aca="false">IF(F1569="","",G1569-B1569)</f>
        <v/>
      </c>
      <c r="K1569" s="31" t="str">
        <f aca="false">IF(F1569="","",IF(H1569&lt;&gt;"",H1569,MAX('Vade Sapması'!$D$3,G1569)))</f>
        <v/>
      </c>
      <c r="L1569" s="30" t="str">
        <f aca="false">IF(F1569="","",K1569-B1569)</f>
        <v/>
      </c>
      <c r="M1569" s="30" t="str">
        <f aca="false">IF(F1569="","",L1569-J1569)</f>
        <v/>
      </c>
      <c r="N1569" s="32" t="str">
        <f aca="false">IF(F1569="","",IF(H1569&lt;&gt;"","Kapandı",IF('Vade Sapması'!$D$3&gt;G1569,"Açık · vadesi geçti","Açık · vadesi gelmedi")))</f>
        <v/>
      </c>
      <c r="O1569" s="30" t="str">
        <f aca="false">IF(F1569="","",IF(AND(H1569="",'Vade Sapması'!$D$3&gt;G1569),'Vade Sapması'!$D$3-G1569,0))</f>
        <v/>
      </c>
      <c r="P1569" s="33" t="str">
        <f aca="false">IF(F1569="","",F1569*J1569)</f>
        <v/>
      </c>
      <c r="Q1569" s="33" t="str">
        <f aca="false">IF(F1569="","",F1569*L1569)</f>
        <v/>
      </c>
      <c r="R1569" s="33" t="str">
        <f aca="false">IF(F1569="","",IF(H1569="",F1569,0))</f>
        <v/>
      </c>
      <c r="S1569" s="32" t="str">
        <f aca="false">IF(F1569="","",IF(N(O1569)=0,"",IF(O1569&lt;=30,"1-30",IF(O1569&lt;=60,"31-60",IF(O1569&lt;=90,"61-90","90+")))))</f>
        <v/>
      </c>
      <c r="T1569" s="32" t="str">
        <f aca="false">IF(F1569="","",IF(E1569="","Diğer",E1569))</f>
        <v/>
      </c>
      <c r="U1569" s="32" t="str">
        <f aca="false">IF(OR(F1569="",C1569=""),"",IF(COUNTIF($C$2:C1569,C1569)=1,MAX($U$1:U1568)+1,""))</f>
        <v/>
      </c>
    </row>
    <row r="1570" customFormat="false" ht="15" hidden="false" customHeight="false" outlineLevel="0" collapsed="false">
      <c r="A1570" s="34"/>
      <c r="B1570" s="9"/>
      <c r="C1570" s="34"/>
      <c r="D1570" s="34"/>
      <c r="E1570" s="34"/>
      <c r="F1570" s="35"/>
      <c r="G1570" s="9"/>
      <c r="H1570" s="9"/>
      <c r="I1570" s="34"/>
      <c r="J1570" s="30" t="str">
        <f aca="false">IF(F1570="","",G1570-B1570)</f>
        <v/>
      </c>
      <c r="K1570" s="31" t="str">
        <f aca="false">IF(F1570="","",IF(H1570&lt;&gt;"",H1570,MAX('Vade Sapması'!$D$3,G1570)))</f>
        <v/>
      </c>
      <c r="L1570" s="30" t="str">
        <f aca="false">IF(F1570="","",K1570-B1570)</f>
        <v/>
      </c>
      <c r="M1570" s="30" t="str">
        <f aca="false">IF(F1570="","",L1570-J1570)</f>
        <v/>
      </c>
      <c r="N1570" s="32" t="str">
        <f aca="false">IF(F1570="","",IF(H1570&lt;&gt;"","Kapandı",IF('Vade Sapması'!$D$3&gt;G1570,"Açık · vadesi geçti","Açık · vadesi gelmedi")))</f>
        <v/>
      </c>
      <c r="O1570" s="30" t="str">
        <f aca="false">IF(F1570="","",IF(AND(H1570="",'Vade Sapması'!$D$3&gt;G1570),'Vade Sapması'!$D$3-G1570,0))</f>
        <v/>
      </c>
      <c r="P1570" s="33" t="str">
        <f aca="false">IF(F1570="","",F1570*J1570)</f>
        <v/>
      </c>
      <c r="Q1570" s="33" t="str">
        <f aca="false">IF(F1570="","",F1570*L1570)</f>
        <v/>
      </c>
      <c r="R1570" s="33" t="str">
        <f aca="false">IF(F1570="","",IF(H1570="",F1570,0))</f>
        <v/>
      </c>
      <c r="S1570" s="32" t="str">
        <f aca="false">IF(F1570="","",IF(N(O1570)=0,"",IF(O1570&lt;=30,"1-30",IF(O1570&lt;=60,"31-60",IF(O1570&lt;=90,"61-90","90+")))))</f>
        <v/>
      </c>
      <c r="T1570" s="32" t="str">
        <f aca="false">IF(F1570="","",IF(E1570="","Diğer",E1570))</f>
        <v/>
      </c>
      <c r="U1570" s="32" t="str">
        <f aca="false">IF(OR(F1570="",C1570=""),"",IF(COUNTIF($C$2:C1570,C1570)=1,MAX($U$1:U1569)+1,""))</f>
        <v/>
      </c>
    </row>
    <row r="1571" customFormat="false" ht="15" hidden="false" customHeight="false" outlineLevel="0" collapsed="false">
      <c r="A1571" s="34"/>
      <c r="B1571" s="9"/>
      <c r="C1571" s="34"/>
      <c r="D1571" s="34"/>
      <c r="E1571" s="34"/>
      <c r="F1571" s="35"/>
      <c r="G1571" s="9"/>
      <c r="H1571" s="9"/>
      <c r="I1571" s="34"/>
      <c r="J1571" s="30" t="str">
        <f aca="false">IF(F1571="","",G1571-B1571)</f>
        <v/>
      </c>
      <c r="K1571" s="31" t="str">
        <f aca="false">IF(F1571="","",IF(H1571&lt;&gt;"",H1571,MAX('Vade Sapması'!$D$3,G1571)))</f>
        <v/>
      </c>
      <c r="L1571" s="30" t="str">
        <f aca="false">IF(F1571="","",K1571-B1571)</f>
        <v/>
      </c>
      <c r="M1571" s="30" t="str">
        <f aca="false">IF(F1571="","",L1571-J1571)</f>
        <v/>
      </c>
      <c r="N1571" s="32" t="str">
        <f aca="false">IF(F1571="","",IF(H1571&lt;&gt;"","Kapandı",IF('Vade Sapması'!$D$3&gt;G1571,"Açık · vadesi geçti","Açık · vadesi gelmedi")))</f>
        <v/>
      </c>
      <c r="O1571" s="30" t="str">
        <f aca="false">IF(F1571="","",IF(AND(H1571="",'Vade Sapması'!$D$3&gt;G1571),'Vade Sapması'!$D$3-G1571,0))</f>
        <v/>
      </c>
      <c r="P1571" s="33" t="str">
        <f aca="false">IF(F1571="","",F1571*J1571)</f>
        <v/>
      </c>
      <c r="Q1571" s="33" t="str">
        <f aca="false">IF(F1571="","",F1571*L1571)</f>
        <v/>
      </c>
      <c r="R1571" s="33" t="str">
        <f aca="false">IF(F1571="","",IF(H1571="",F1571,0))</f>
        <v/>
      </c>
      <c r="S1571" s="32" t="str">
        <f aca="false">IF(F1571="","",IF(N(O1571)=0,"",IF(O1571&lt;=30,"1-30",IF(O1571&lt;=60,"31-60",IF(O1571&lt;=90,"61-90","90+")))))</f>
        <v/>
      </c>
      <c r="T1571" s="32" t="str">
        <f aca="false">IF(F1571="","",IF(E1571="","Diğer",E1571))</f>
        <v/>
      </c>
      <c r="U1571" s="32" t="str">
        <f aca="false">IF(OR(F1571="",C1571=""),"",IF(COUNTIF($C$2:C1571,C1571)=1,MAX($U$1:U1570)+1,""))</f>
        <v/>
      </c>
    </row>
    <row r="1572" customFormat="false" ht="15" hidden="false" customHeight="false" outlineLevel="0" collapsed="false">
      <c r="A1572" s="34"/>
      <c r="B1572" s="9"/>
      <c r="C1572" s="34"/>
      <c r="D1572" s="34"/>
      <c r="E1572" s="34"/>
      <c r="F1572" s="35"/>
      <c r="G1572" s="9"/>
      <c r="H1572" s="9"/>
      <c r="I1572" s="34"/>
      <c r="J1572" s="30" t="str">
        <f aca="false">IF(F1572="","",G1572-B1572)</f>
        <v/>
      </c>
      <c r="K1572" s="31" t="str">
        <f aca="false">IF(F1572="","",IF(H1572&lt;&gt;"",H1572,MAX('Vade Sapması'!$D$3,G1572)))</f>
        <v/>
      </c>
      <c r="L1572" s="30" t="str">
        <f aca="false">IF(F1572="","",K1572-B1572)</f>
        <v/>
      </c>
      <c r="M1572" s="30" t="str">
        <f aca="false">IF(F1572="","",L1572-J1572)</f>
        <v/>
      </c>
      <c r="N1572" s="32" t="str">
        <f aca="false">IF(F1572="","",IF(H1572&lt;&gt;"","Kapandı",IF('Vade Sapması'!$D$3&gt;G1572,"Açık · vadesi geçti","Açık · vadesi gelmedi")))</f>
        <v/>
      </c>
      <c r="O1572" s="30" t="str">
        <f aca="false">IF(F1572="","",IF(AND(H1572="",'Vade Sapması'!$D$3&gt;G1572),'Vade Sapması'!$D$3-G1572,0))</f>
        <v/>
      </c>
      <c r="P1572" s="33" t="str">
        <f aca="false">IF(F1572="","",F1572*J1572)</f>
        <v/>
      </c>
      <c r="Q1572" s="33" t="str">
        <f aca="false">IF(F1572="","",F1572*L1572)</f>
        <v/>
      </c>
      <c r="R1572" s="33" t="str">
        <f aca="false">IF(F1572="","",IF(H1572="",F1572,0))</f>
        <v/>
      </c>
      <c r="S1572" s="32" t="str">
        <f aca="false">IF(F1572="","",IF(N(O1572)=0,"",IF(O1572&lt;=30,"1-30",IF(O1572&lt;=60,"31-60",IF(O1572&lt;=90,"61-90","90+")))))</f>
        <v/>
      </c>
      <c r="T1572" s="32" t="str">
        <f aca="false">IF(F1572="","",IF(E1572="","Diğer",E1572))</f>
        <v/>
      </c>
      <c r="U1572" s="32" t="str">
        <f aca="false">IF(OR(F1572="",C1572=""),"",IF(COUNTIF($C$2:C1572,C1572)=1,MAX($U$1:U1571)+1,""))</f>
        <v/>
      </c>
    </row>
    <row r="1573" customFormat="false" ht="15" hidden="false" customHeight="false" outlineLevel="0" collapsed="false">
      <c r="A1573" s="34"/>
      <c r="B1573" s="9"/>
      <c r="C1573" s="34"/>
      <c r="D1573" s="34"/>
      <c r="E1573" s="34"/>
      <c r="F1573" s="35"/>
      <c r="G1573" s="9"/>
      <c r="H1573" s="9"/>
      <c r="I1573" s="34"/>
      <c r="J1573" s="30" t="str">
        <f aca="false">IF(F1573="","",G1573-B1573)</f>
        <v/>
      </c>
      <c r="K1573" s="31" t="str">
        <f aca="false">IF(F1573="","",IF(H1573&lt;&gt;"",H1573,MAX('Vade Sapması'!$D$3,G1573)))</f>
        <v/>
      </c>
      <c r="L1573" s="30" t="str">
        <f aca="false">IF(F1573="","",K1573-B1573)</f>
        <v/>
      </c>
      <c r="M1573" s="30" t="str">
        <f aca="false">IF(F1573="","",L1573-J1573)</f>
        <v/>
      </c>
      <c r="N1573" s="32" t="str">
        <f aca="false">IF(F1573="","",IF(H1573&lt;&gt;"","Kapandı",IF('Vade Sapması'!$D$3&gt;G1573,"Açık · vadesi geçti","Açık · vadesi gelmedi")))</f>
        <v/>
      </c>
      <c r="O1573" s="30" t="str">
        <f aca="false">IF(F1573="","",IF(AND(H1573="",'Vade Sapması'!$D$3&gt;G1573),'Vade Sapması'!$D$3-G1573,0))</f>
        <v/>
      </c>
      <c r="P1573" s="33" t="str">
        <f aca="false">IF(F1573="","",F1573*J1573)</f>
        <v/>
      </c>
      <c r="Q1573" s="33" t="str">
        <f aca="false">IF(F1573="","",F1573*L1573)</f>
        <v/>
      </c>
      <c r="R1573" s="33" t="str">
        <f aca="false">IF(F1573="","",IF(H1573="",F1573,0))</f>
        <v/>
      </c>
      <c r="S1573" s="32" t="str">
        <f aca="false">IF(F1573="","",IF(N(O1573)=0,"",IF(O1573&lt;=30,"1-30",IF(O1573&lt;=60,"31-60",IF(O1573&lt;=90,"61-90","90+")))))</f>
        <v/>
      </c>
      <c r="T1573" s="32" t="str">
        <f aca="false">IF(F1573="","",IF(E1573="","Diğer",E1573))</f>
        <v/>
      </c>
      <c r="U1573" s="32" t="str">
        <f aca="false">IF(OR(F1573="",C1573=""),"",IF(COUNTIF($C$2:C1573,C1573)=1,MAX($U$1:U1572)+1,""))</f>
        <v/>
      </c>
    </row>
    <row r="1574" customFormat="false" ht="15" hidden="false" customHeight="false" outlineLevel="0" collapsed="false">
      <c r="A1574" s="34"/>
      <c r="B1574" s="9"/>
      <c r="C1574" s="34"/>
      <c r="D1574" s="34"/>
      <c r="E1574" s="34"/>
      <c r="F1574" s="35"/>
      <c r="G1574" s="9"/>
      <c r="H1574" s="9"/>
      <c r="I1574" s="34"/>
      <c r="J1574" s="30" t="str">
        <f aca="false">IF(F1574="","",G1574-B1574)</f>
        <v/>
      </c>
      <c r="K1574" s="31" t="str">
        <f aca="false">IF(F1574="","",IF(H1574&lt;&gt;"",H1574,MAX('Vade Sapması'!$D$3,G1574)))</f>
        <v/>
      </c>
      <c r="L1574" s="30" t="str">
        <f aca="false">IF(F1574="","",K1574-B1574)</f>
        <v/>
      </c>
      <c r="M1574" s="30" t="str">
        <f aca="false">IF(F1574="","",L1574-J1574)</f>
        <v/>
      </c>
      <c r="N1574" s="32" t="str">
        <f aca="false">IF(F1574="","",IF(H1574&lt;&gt;"","Kapandı",IF('Vade Sapması'!$D$3&gt;G1574,"Açık · vadesi geçti","Açık · vadesi gelmedi")))</f>
        <v/>
      </c>
      <c r="O1574" s="30" t="str">
        <f aca="false">IF(F1574="","",IF(AND(H1574="",'Vade Sapması'!$D$3&gt;G1574),'Vade Sapması'!$D$3-G1574,0))</f>
        <v/>
      </c>
      <c r="P1574" s="33" t="str">
        <f aca="false">IF(F1574="","",F1574*J1574)</f>
        <v/>
      </c>
      <c r="Q1574" s="33" t="str">
        <f aca="false">IF(F1574="","",F1574*L1574)</f>
        <v/>
      </c>
      <c r="R1574" s="33" t="str">
        <f aca="false">IF(F1574="","",IF(H1574="",F1574,0))</f>
        <v/>
      </c>
      <c r="S1574" s="32" t="str">
        <f aca="false">IF(F1574="","",IF(N(O1574)=0,"",IF(O1574&lt;=30,"1-30",IF(O1574&lt;=60,"31-60",IF(O1574&lt;=90,"61-90","90+")))))</f>
        <v/>
      </c>
      <c r="T1574" s="32" t="str">
        <f aca="false">IF(F1574="","",IF(E1574="","Diğer",E1574))</f>
        <v/>
      </c>
      <c r="U1574" s="32" t="str">
        <f aca="false">IF(OR(F1574="",C1574=""),"",IF(COUNTIF($C$2:C1574,C1574)=1,MAX($U$1:U1573)+1,""))</f>
        <v/>
      </c>
    </row>
    <row r="1575" customFormat="false" ht="15" hidden="false" customHeight="false" outlineLevel="0" collapsed="false">
      <c r="A1575" s="34"/>
      <c r="B1575" s="9"/>
      <c r="C1575" s="34"/>
      <c r="D1575" s="34"/>
      <c r="E1575" s="34"/>
      <c r="F1575" s="35"/>
      <c r="G1575" s="9"/>
      <c r="H1575" s="9"/>
      <c r="I1575" s="34"/>
      <c r="J1575" s="30" t="str">
        <f aca="false">IF(F1575="","",G1575-B1575)</f>
        <v/>
      </c>
      <c r="K1575" s="31" t="str">
        <f aca="false">IF(F1575="","",IF(H1575&lt;&gt;"",H1575,MAX('Vade Sapması'!$D$3,G1575)))</f>
        <v/>
      </c>
      <c r="L1575" s="30" t="str">
        <f aca="false">IF(F1575="","",K1575-B1575)</f>
        <v/>
      </c>
      <c r="M1575" s="30" t="str">
        <f aca="false">IF(F1575="","",L1575-J1575)</f>
        <v/>
      </c>
      <c r="N1575" s="32" t="str">
        <f aca="false">IF(F1575="","",IF(H1575&lt;&gt;"","Kapandı",IF('Vade Sapması'!$D$3&gt;G1575,"Açık · vadesi geçti","Açık · vadesi gelmedi")))</f>
        <v/>
      </c>
      <c r="O1575" s="30" t="str">
        <f aca="false">IF(F1575="","",IF(AND(H1575="",'Vade Sapması'!$D$3&gt;G1575),'Vade Sapması'!$D$3-G1575,0))</f>
        <v/>
      </c>
      <c r="P1575" s="33" t="str">
        <f aca="false">IF(F1575="","",F1575*J1575)</f>
        <v/>
      </c>
      <c r="Q1575" s="33" t="str">
        <f aca="false">IF(F1575="","",F1575*L1575)</f>
        <v/>
      </c>
      <c r="R1575" s="33" t="str">
        <f aca="false">IF(F1575="","",IF(H1575="",F1575,0))</f>
        <v/>
      </c>
      <c r="S1575" s="32" t="str">
        <f aca="false">IF(F1575="","",IF(N(O1575)=0,"",IF(O1575&lt;=30,"1-30",IF(O1575&lt;=60,"31-60",IF(O1575&lt;=90,"61-90","90+")))))</f>
        <v/>
      </c>
      <c r="T1575" s="32" t="str">
        <f aca="false">IF(F1575="","",IF(E1575="","Diğer",E1575))</f>
        <v/>
      </c>
      <c r="U1575" s="32" t="str">
        <f aca="false">IF(OR(F1575="",C1575=""),"",IF(COUNTIF($C$2:C1575,C1575)=1,MAX($U$1:U1574)+1,""))</f>
        <v/>
      </c>
    </row>
    <row r="1576" customFormat="false" ht="15" hidden="false" customHeight="false" outlineLevel="0" collapsed="false">
      <c r="A1576" s="34"/>
      <c r="B1576" s="9"/>
      <c r="C1576" s="34"/>
      <c r="D1576" s="34"/>
      <c r="E1576" s="34"/>
      <c r="F1576" s="35"/>
      <c r="G1576" s="9"/>
      <c r="H1576" s="9"/>
      <c r="I1576" s="34"/>
      <c r="J1576" s="30" t="str">
        <f aca="false">IF(F1576="","",G1576-B1576)</f>
        <v/>
      </c>
      <c r="K1576" s="31" t="str">
        <f aca="false">IF(F1576="","",IF(H1576&lt;&gt;"",H1576,MAX('Vade Sapması'!$D$3,G1576)))</f>
        <v/>
      </c>
      <c r="L1576" s="30" t="str">
        <f aca="false">IF(F1576="","",K1576-B1576)</f>
        <v/>
      </c>
      <c r="M1576" s="30" t="str">
        <f aca="false">IF(F1576="","",L1576-J1576)</f>
        <v/>
      </c>
      <c r="N1576" s="32" t="str">
        <f aca="false">IF(F1576="","",IF(H1576&lt;&gt;"","Kapandı",IF('Vade Sapması'!$D$3&gt;G1576,"Açık · vadesi geçti","Açık · vadesi gelmedi")))</f>
        <v/>
      </c>
      <c r="O1576" s="30" t="str">
        <f aca="false">IF(F1576="","",IF(AND(H1576="",'Vade Sapması'!$D$3&gt;G1576),'Vade Sapması'!$D$3-G1576,0))</f>
        <v/>
      </c>
      <c r="P1576" s="33" t="str">
        <f aca="false">IF(F1576="","",F1576*J1576)</f>
        <v/>
      </c>
      <c r="Q1576" s="33" t="str">
        <f aca="false">IF(F1576="","",F1576*L1576)</f>
        <v/>
      </c>
      <c r="R1576" s="33" t="str">
        <f aca="false">IF(F1576="","",IF(H1576="",F1576,0))</f>
        <v/>
      </c>
      <c r="S1576" s="32" t="str">
        <f aca="false">IF(F1576="","",IF(N(O1576)=0,"",IF(O1576&lt;=30,"1-30",IF(O1576&lt;=60,"31-60",IF(O1576&lt;=90,"61-90","90+")))))</f>
        <v/>
      </c>
      <c r="T1576" s="32" t="str">
        <f aca="false">IF(F1576="","",IF(E1576="","Diğer",E1576))</f>
        <v/>
      </c>
      <c r="U1576" s="32" t="str">
        <f aca="false">IF(OR(F1576="",C1576=""),"",IF(COUNTIF($C$2:C1576,C1576)=1,MAX($U$1:U1575)+1,""))</f>
        <v/>
      </c>
    </row>
    <row r="1577" customFormat="false" ht="15" hidden="false" customHeight="false" outlineLevel="0" collapsed="false">
      <c r="A1577" s="34"/>
      <c r="B1577" s="9"/>
      <c r="C1577" s="34"/>
      <c r="D1577" s="34"/>
      <c r="E1577" s="34"/>
      <c r="F1577" s="35"/>
      <c r="G1577" s="9"/>
      <c r="H1577" s="9"/>
      <c r="I1577" s="34"/>
      <c r="J1577" s="30" t="str">
        <f aca="false">IF(F1577="","",G1577-B1577)</f>
        <v/>
      </c>
      <c r="K1577" s="31" t="str">
        <f aca="false">IF(F1577="","",IF(H1577&lt;&gt;"",H1577,MAX('Vade Sapması'!$D$3,G1577)))</f>
        <v/>
      </c>
      <c r="L1577" s="30" t="str">
        <f aca="false">IF(F1577="","",K1577-B1577)</f>
        <v/>
      </c>
      <c r="M1577" s="30" t="str">
        <f aca="false">IF(F1577="","",L1577-J1577)</f>
        <v/>
      </c>
      <c r="N1577" s="32" t="str">
        <f aca="false">IF(F1577="","",IF(H1577&lt;&gt;"","Kapandı",IF('Vade Sapması'!$D$3&gt;G1577,"Açık · vadesi geçti","Açık · vadesi gelmedi")))</f>
        <v/>
      </c>
      <c r="O1577" s="30" t="str">
        <f aca="false">IF(F1577="","",IF(AND(H1577="",'Vade Sapması'!$D$3&gt;G1577),'Vade Sapması'!$D$3-G1577,0))</f>
        <v/>
      </c>
      <c r="P1577" s="33" t="str">
        <f aca="false">IF(F1577="","",F1577*J1577)</f>
        <v/>
      </c>
      <c r="Q1577" s="33" t="str">
        <f aca="false">IF(F1577="","",F1577*L1577)</f>
        <v/>
      </c>
      <c r="R1577" s="33" t="str">
        <f aca="false">IF(F1577="","",IF(H1577="",F1577,0))</f>
        <v/>
      </c>
      <c r="S1577" s="32" t="str">
        <f aca="false">IF(F1577="","",IF(N(O1577)=0,"",IF(O1577&lt;=30,"1-30",IF(O1577&lt;=60,"31-60",IF(O1577&lt;=90,"61-90","90+")))))</f>
        <v/>
      </c>
      <c r="T1577" s="32" t="str">
        <f aca="false">IF(F1577="","",IF(E1577="","Diğer",E1577))</f>
        <v/>
      </c>
      <c r="U1577" s="32" t="str">
        <f aca="false">IF(OR(F1577="",C1577=""),"",IF(COUNTIF($C$2:C1577,C1577)=1,MAX($U$1:U1576)+1,""))</f>
        <v/>
      </c>
    </row>
    <row r="1578" customFormat="false" ht="15" hidden="false" customHeight="false" outlineLevel="0" collapsed="false">
      <c r="A1578" s="34"/>
      <c r="B1578" s="9"/>
      <c r="C1578" s="34"/>
      <c r="D1578" s="34"/>
      <c r="E1578" s="34"/>
      <c r="F1578" s="35"/>
      <c r="G1578" s="9"/>
      <c r="H1578" s="9"/>
      <c r="I1578" s="34"/>
      <c r="J1578" s="30" t="str">
        <f aca="false">IF(F1578="","",G1578-B1578)</f>
        <v/>
      </c>
      <c r="K1578" s="31" t="str">
        <f aca="false">IF(F1578="","",IF(H1578&lt;&gt;"",H1578,MAX('Vade Sapması'!$D$3,G1578)))</f>
        <v/>
      </c>
      <c r="L1578" s="30" t="str">
        <f aca="false">IF(F1578="","",K1578-B1578)</f>
        <v/>
      </c>
      <c r="M1578" s="30" t="str">
        <f aca="false">IF(F1578="","",L1578-J1578)</f>
        <v/>
      </c>
      <c r="N1578" s="32" t="str">
        <f aca="false">IF(F1578="","",IF(H1578&lt;&gt;"","Kapandı",IF('Vade Sapması'!$D$3&gt;G1578,"Açık · vadesi geçti","Açık · vadesi gelmedi")))</f>
        <v/>
      </c>
      <c r="O1578" s="30" t="str">
        <f aca="false">IF(F1578="","",IF(AND(H1578="",'Vade Sapması'!$D$3&gt;G1578),'Vade Sapması'!$D$3-G1578,0))</f>
        <v/>
      </c>
      <c r="P1578" s="33" t="str">
        <f aca="false">IF(F1578="","",F1578*J1578)</f>
        <v/>
      </c>
      <c r="Q1578" s="33" t="str">
        <f aca="false">IF(F1578="","",F1578*L1578)</f>
        <v/>
      </c>
      <c r="R1578" s="33" t="str">
        <f aca="false">IF(F1578="","",IF(H1578="",F1578,0))</f>
        <v/>
      </c>
      <c r="S1578" s="32" t="str">
        <f aca="false">IF(F1578="","",IF(N(O1578)=0,"",IF(O1578&lt;=30,"1-30",IF(O1578&lt;=60,"31-60",IF(O1578&lt;=90,"61-90","90+")))))</f>
        <v/>
      </c>
      <c r="T1578" s="32" t="str">
        <f aca="false">IF(F1578="","",IF(E1578="","Diğer",E1578))</f>
        <v/>
      </c>
      <c r="U1578" s="32" t="str">
        <f aca="false">IF(OR(F1578="",C1578=""),"",IF(COUNTIF($C$2:C1578,C1578)=1,MAX($U$1:U1577)+1,""))</f>
        <v/>
      </c>
    </row>
    <row r="1579" customFormat="false" ht="15" hidden="false" customHeight="false" outlineLevel="0" collapsed="false">
      <c r="A1579" s="34"/>
      <c r="B1579" s="9"/>
      <c r="C1579" s="34"/>
      <c r="D1579" s="34"/>
      <c r="E1579" s="34"/>
      <c r="F1579" s="35"/>
      <c r="G1579" s="9"/>
      <c r="H1579" s="9"/>
      <c r="I1579" s="34"/>
      <c r="J1579" s="30" t="str">
        <f aca="false">IF(F1579="","",G1579-B1579)</f>
        <v/>
      </c>
      <c r="K1579" s="31" t="str">
        <f aca="false">IF(F1579="","",IF(H1579&lt;&gt;"",H1579,MAX('Vade Sapması'!$D$3,G1579)))</f>
        <v/>
      </c>
      <c r="L1579" s="30" t="str">
        <f aca="false">IF(F1579="","",K1579-B1579)</f>
        <v/>
      </c>
      <c r="M1579" s="30" t="str">
        <f aca="false">IF(F1579="","",L1579-J1579)</f>
        <v/>
      </c>
      <c r="N1579" s="32" t="str">
        <f aca="false">IF(F1579="","",IF(H1579&lt;&gt;"","Kapandı",IF('Vade Sapması'!$D$3&gt;G1579,"Açık · vadesi geçti","Açık · vadesi gelmedi")))</f>
        <v/>
      </c>
      <c r="O1579" s="30" t="str">
        <f aca="false">IF(F1579="","",IF(AND(H1579="",'Vade Sapması'!$D$3&gt;G1579),'Vade Sapması'!$D$3-G1579,0))</f>
        <v/>
      </c>
      <c r="P1579" s="33" t="str">
        <f aca="false">IF(F1579="","",F1579*J1579)</f>
        <v/>
      </c>
      <c r="Q1579" s="33" t="str">
        <f aca="false">IF(F1579="","",F1579*L1579)</f>
        <v/>
      </c>
      <c r="R1579" s="33" t="str">
        <f aca="false">IF(F1579="","",IF(H1579="",F1579,0))</f>
        <v/>
      </c>
      <c r="S1579" s="32" t="str">
        <f aca="false">IF(F1579="","",IF(N(O1579)=0,"",IF(O1579&lt;=30,"1-30",IF(O1579&lt;=60,"31-60",IF(O1579&lt;=90,"61-90","90+")))))</f>
        <v/>
      </c>
      <c r="T1579" s="32" t="str">
        <f aca="false">IF(F1579="","",IF(E1579="","Diğer",E1579))</f>
        <v/>
      </c>
      <c r="U1579" s="32" t="str">
        <f aca="false">IF(OR(F1579="",C1579=""),"",IF(COUNTIF($C$2:C1579,C1579)=1,MAX($U$1:U1578)+1,""))</f>
        <v/>
      </c>
    </row>
    <row r="1580" customFormat="false" ht="15" hidden="false" customHeight="false" outlineLevel="0" collapsed="false">
      <c r="A1580" s="34"/>
      <c r="B1580" s="9"/>
      <c r="C1580" s="34"/>
      <c r="D1580" s="34"/>
      <c r="E1580" s="34"/>
      <c r="F1580" s="35"/>
      <c r="G1580" s="9"/>
      <c r="H1580" s="9"/>
      <c r="I1580" s="34"/>
      <c r="J1580" s="30" t="str">
        <f aca="false">IF(F1580="","",G1580-B1580)</f>
        <v/>
      </c>
      <c r="K1580" s="31" t="str">
        <f aca="false">IF(F1580="","",IF(H1580&lt;&gt;"",H1580,MAX('Vade Sapması'!$D$3,G1580)))</f>
        <v/>
      </c>
      <c r="L1580" s="30" t="str">
        <f aca="false">IF(F1580="","",K1580-B1580)</f>
        <v/>
      </c>
      <c r="M1580" s="30" t="str">
        <f aca="false">IF(F1580="","",L1580-J1580)</f>
        <v/>
      </c>
      <c r="N1580" s="32" t="str">
        <f aca="false">IF(F1580="","",IF(H1580&lt;&gt;"","Kapandı",IF('Vade Sapması'!$D$3&gt;G1580,"Açık · vadesi geçti","Açık · vadesi gelmedi")))</f>
        <v/>
      </c>
      <c r="O1580" s="30" t="str">
        <f aca="false">IF(F1580="","",IF(AND(H1580="",'Vade Sapması'!$D$3&gt;G1580),'Vade Sapması'!$D$3-G1580,0))</f>
        <v/>
      </c>
      <c r="P1580" s="33" t="str">
        <f aca="false">IF(F1580="","",F1580*J1580)</f>
        <v/>
      </c>
      <c r="Q1580" s="33" t="str">
        <f aca="false">IF(F1580="","",F1580*L1580)</f>
        <v/>
      </c>
      <c r="R1580" s="33" t="str">
        <f aca="false">IF(F1580="","",IF(H1580="",F1580,0))</f>
        <v/>
      </c>
      <c r="S1580" s="32" t="str">
        <f aca="false">IF(F1580="","",IF(N(O1580)=0,"",IF(O1580&lt;=30,"1-30",IF(O1580&lt;=60,"31-60",IF(O1580&lt;=90,"61-90","90+")))))</f>
        <v/>
      </c>
      <c r="T1580" s="32" t="str">
        <f aca="false">IF(F1580="","",IF(E1580="","Diğer",E1580))</f>
        <v/>
      </c>
      <c r="U1580" s="32" t="str">
        <f aca="false">IF(OR(F1580="",C1580=""),"",IF(COUNTIF($C$2:C1580,C1580)=1,MAX($U$1:U1579)+1,""))</f>
        <v/>
      </c>
    </row>
    <row r="1581" customFormat="false" ht="15" hidden="false" customHeight="false" outlineLevel="0" collapsed="false">
      <c r="A1581" s="34"/>
      <c r="B1581" s="9"/>
      <c r="C1581" s="34"/>
      <c r="D1581" s="34"/>
      <c r="E1581" s="34"/>
      <c r="F1581" s="35"/>
      <c r="G1581" s="9"/>
      <c r="H1581" s="9"/>
      <c r="I1581" s="34"/>
      <c r="J1581" s="30" t="str">
        <f aca="false">IF(F1581="","",G1581-B1581)</f>
        <v/>
      </c>
      <c r="K1581" s="31" t="str">
        <f aca="false">IF(F1581="","",IF(H1581&lt;&gt;"",H1581,MAX('Vade Sapması'!$D$3,G1581)))</f>
        <v/>
      </c>
      <c r="L1581" s="30" t="str">
        <f aca="false">IF(F1581="","",K1581-B1581)</f>
        <v/>
      </c>
      <c r="M1581" s="30" t="str">
        <f aca="false">IF(F1581="","",L1581-J1581)</f>
        <v/>
      </c>
      <c r="N1581" s="32" t="str">
        <f aca="false">IF(F1581="","",IF(H1581&lt;&gt;"","Kapandı",IF('Vade Sapması'!$D$3&gt;G1581,"Açık · vadesi geçti","Açık · vadesi gelmedi")))</f>
        <v/>
      </c>
      <c r="O1581" s="30" t="str">
        <f aca="false">IF(F1581="","",IF(AND(H1581="",'Vade Sapması'!$D$3&gt;G1581),'Vade Sapması'!$D$3-G1581,0))</f>
        <v/>
      </c>
      <c r="P1581" s="33" t="str">
        <f aca="false">IF(F1581="","",F1581*J1581)</f>
        <v/>
      </c>
      <c r="Q1581" s="33" t="str">
        <f aca="false">IF(F1581="","",F1581*L1581)</f>
        <v/>
      </c>
      <c r="R1581" s="33" t="str">
        <f aca="false">IF(F1581="","",IF(H1581="",F1581,0))</f>
        <v/>
      </c>
      <c r="S1581" s="32" t="str">
        <f aca="false">IF(F1581="","",IF(N(O1581)=0,"",IF(O1581&lt;=30,"1-30",IF(O1581&lt;=60,"31-60",IF(O1581&lt;=90,"61-90","90+")))))</f>
        <v/>
      </c>
      <c r="T1581" s="32" t="str">
        <f aca="false">IF(F1581="","",IF(E1581="","Diğer",E1581))</f>
        <v/>
      </c>
      <c r="U1581" s="32" t="str">
        <f aca="false">IF(OR(F1581="",C1581=""),"",IF(COUNTIF($C$2:C1581,C1581)=1,MAX($U$1:U1580)+1,""))</f>
        <v/>
      </c>
    </row>
    <row r="1582" customFormat="false" ht="15" hidden="false" customHeight="false" outlineLevel="0" collapsed="false">
      <c r="A1582" s="34"/>
      <c r="B1582" s="9"/>
      <c r="C1582" s="34"/>
      <c r="D1582" s="34"/>
      <c r="E1582" s="34"/>
      <c r="F1582" s="35"/>
      <c r="G1582" s="9"/>
      <c r="H1582" s="9"/>
      <c r="I1582" s="34"/>
      <c r="J1582" s="30" t="str">
        <f aca="false">IF(F1582="","",G1582-B1582)</f>
        <v/>
      </c>
      <c r="K1582" s="31" t="str">
        <f aca="false">IF(F1582="","",IF(H1582&lt;&gt;"",H1582,MAX('Vade Sapması'!$D$3,G1582)))</f>
        <v/>
      </c>
      <c r="L1582" s="30" t="str">
        <f aca="false">IF(F1582="","",K1582-B1582)</f>
        <v/>
      </c>
      <c r="M1582" s="30" t="str">
        <f aca="false">IF(F1582="","",L1582-J1582)</f>
        <v/>
      </c>
      <c r="N1582" s="32" t="str">
        <f aca="false">IF(F1582="","",IF(H1582&lt;&gt;"","Kapandı",IF('Vade Sapması'!$D$3&gt;G1582,"Açık · vadesi geçti","Açık · vadesi gelmedi")))</f>
        <v/>
      </c>
      <c r="O1582" s="30" t="str">
        <f aca="false">IF(F1582="","",IF(AND(H1582="",'Vade Sapması'!$D$3&gt;G1582),'Vade Sapması'!$D$3-G1582,0))</f>
        <v/>
      </c>
      <c r="P1582" s="33" t="str">
        <f aca="false">IF(F1582="","",F1582*J1582)</f>
        <v/>
      </c>
      <c r="Q1582" s="33" t="str">
        <f aca="false">IF(F1582="","",F1582*L1582)</f>
        <v/>
      </c>
      <c r="R1582" s="33" t="str">
        <f aca="false">IF(F1582="","",IF(H1582="",F1582,0))</f>
        <v/>
      </c>
      <c r="S1582" s="32" t="str">
        <f aca="false">IF(F1582="","",IF(N(O1582)=0,"",IF(O1582&lt;=30,"1-30",IF(O1582&lt;=60,"31-60",IF(O1582&lt;=90,"61-90","90+")))))</f>
        <v/>
      </c>
      <c r="T1582" s="32" t="str">
        <f aca="false">IF(F1582="","",IF(E1582="","Diğer",E1582))</f>
        <v/>
      </c>
      <c r="U1582" s="32" t="str">
        <f aca="false">IF(OR(F1582="",C1582=""),"",IF(COUNTIF($C$2:C1582,C1582)=1,MAX($U$1:U1581)+1,""))</f>
        <v/>
      </c>
    </row>
    <row r="1583" customFormat="false" ht="15" hidden="false" customHeight="false" outlineLevel="0" collapsed="false">
      <c r="A1583" s="34"/>
      <c r="B1583" s="9"/>
      <c r="C1583" s="34"/>
      <c r="D1583" s="34"/>
      <c r="E1583" s="34"/>
      <c r="F1583" s="35"/>
      <c r="G1583" s="9"/>
      <c r="H1583" s="9"/>
      <c r="I1583" s="34"/>
      <c r="J1583" s="30" t="str">
        <f aca="false">IF(F1583="","",G1583-B1583)</f>
        <v/>
      </c>
      <c r="K1583" s="31" t="str">
        <f aca="false">IF(F1583="","",IF(H1583&lt;&gt;"",H1583,MAX('Vade Sapması'!$D$3,G1583)))</f>
        <v/>
      </c>
      <c r="L1583" s="30" t="str">
        <f aca="false">IF(F1583="","",K1583-B1583)</f>
        <v/>
      </c>
      <c r="M1583" s="30" t="str">
        <f aca="false">IF(F1583="","",L1583-J1583)</f>
        <v/>
      </c>
      <c r="N1583" s="32" t="str">
        <f aca="false">IF(F1583="","",IF(H1583&lt;&gt;"","Kapandı",IF('Vade Sapması'!$D$3&gt;G1583,"Açık · vadesi geçti","Açık · vadesi gelmedi")))</f>
        <v/>
      </c>
      <c r="O1583" s="30" t="str">
        <f aca="false">IF(F1583="","",IF(AND(H1583="",'Vade Sapması'!$D$3&gt;G1583),'Vade Sapması'!$D$3-G1583,0))</f>
        <v/>
      </c>
      <c r="P1583" s="33" t="str">
        <f aca="false">IF(F1583="","",F1583*J1583)</f>
        <v/>
      </c>
      <c r="Q1583" s="33" t="str">
        <f aca="false">IF(F1583="","",F1583*L1583)</f>
        <v/>
      </c>
      <c r="R1583" s="33" t="str">
        <f aca="false">IF(F1583="","",IF(H1583="",F1583,0))</f>
        <v/>
      </c>
      <c r="S1583" s="32" t="str">
        <f aca="false">IF(F1583="","",IF(N(O1583)=0,"",IF(O1583&lt;=30,"1-30",IF(O1583&lt;=60,"31-60",IF(O1583&lt;=90,"61-90","90+")))))</f>
        <v/>
      </c>
      <c r="T1583" s="32" t="str">
        <f aca="false">IF(F1583="","",IF(E1583="","Diğer",E1583))</f>
        <v/>
      </c>
      <c r="U1583" s="32" t="str">
        <f aca="false">IF(OR(F1583="",C1583=""),"",IF(COUNTIF($C$2:C1583,C1583)=1,MAX($U$1:U1582)+1,""))</f>
        <v/>
      </c>
    </row>
    <row r="1584" customFormat="false" ht="15" hidden="false" customHeight="false" outlineLevel="0" collapsed="false">
      <c r="A1584" s="34"/>
      <c r="B1584" s="9"/>
      <c r="C1584" s="34"/>
      <c r="D1584" s="34"/>
      <c r="E1584" s="34"/>
      <c r="F1584" s="35"/>
      <c r="G1584" s="9"/>
      <c r="H1584" s="9"/>
      <c r="I1584" s="34"/>
      <c r="J1584" s="30" t="str">
        <f aca="false">IF(F1584="","",G1584-B1584)</f>
        <v/>
      </c>
      <c r="K1584" s="31" t="str">
        <f aca="false">IF(F1584="","",IF(H1584&lt;&gt;"",H1584,MAX('Vade Sapması'!$D$3,G1584)))</f>
        <v/>
      </c>
      <c r="L1584" s="30" t="str">
        <f aca="false">IF(F1584="","",K1584-B1584)</f>
        <v/>
      </c>
      <c r="M1584" s="30" t="str">
        <f aca="false">IF(F1584="","",L1584-J1584)</f>
        <v/>
      </c>
      <c r="N1584" s="32" t="str">
        <f aca="false">IF(F1584="","",IF(H1584&lt;&gt;"","Kapandı",IF('Vade Sapması'!$D$3&gt;G1584,"Açık · vadesi geçti","Açık · vadesi gelmedi")))</f>
        <v/>
      </c>
      <c r="O1584" s="30" t="str">
        <f aca="false">IF(F1584="","",IF(AND(H1584="",'Vade Sapması'!$D$3&gt;G1584),'Vade Sapması'!$D$3-G1584,0))</f>
        <v/>
      </c>
      <c r="P1584" s="33" t="str">
        <f aca="false">IF(F1584="","",F1584*J1584)</f>
        <v/>
      </c>
      <c r="Q1584" s="33" t="str">
        <f aca="false">IF(F1584="","",F1584*L1584)</f>
        <v/>
      </c>
      <c r="R1584" s="33" t="str">
        <f aca="false">IF(F1584="","",IF(H1584="",F1584,0))</f>
        <v/>
      </c>
      <c r="S1584" s="32" t="str">
        <f aca="false">IF(F1584="","",IF(N(O1584)=0,"",IF(O1584&lt;=30,"1-30",IF(O1584&lt;=60,"31-60",IF(O1584&lt;=90,"61-90","90+")))))</f>
        <v/>
      </c>
      <c r="T1584" s="32" t="str">
        <f aca="false">IF(F1584="","",IF(E1584="","Diğer",E1584))</f>
        <v/>
      </c>
      <c r="U1584" s="32" t="str">
        <f aca="false">IF(OR(F1584="",C1584=""),"",IF(COUNTIF($C$2:C1584,C1584)=1,MAX($U$1:U1583)+1,""))</f>
        <v/>
      </c>
    </row>
    <row r="1585" customFormat="false" ht="15" hidden="false" customHeight="false" outlineLevel="0" collapsed="false">
      <c r="A1585" s="34"/>
      <c r="B1585" s="9"/>
      <c r="C1585" s="34"/>
      <c r="D1585" s="34"/>
      <c r="E1585" s="34"/>
      <c r="F1585" s="35"/>
      <c r="G1585" s="9"/>
      <c r="H1585" s="9"/>
      <c r="I1585" s="34"/>
      <c r="J1585" s="30" t="str">
        <f aca="false">IF(F1585="","",G1585-B1585)</f>
        <v/>
      </c>
      <c r="K1585" s="31" t="str">
        <f aca="false">IF(F1585="","",IF(H1585&lt;&gt;"",H1585,MAX('Vade Sapması'!$D$3,G1585)))</f>
        <v/>
      </c>
      <c r="L1585" s="30" t="str">
        <f aca="false">IF(F1585="","",K1585-B1585)</f>
        <v/>
      </c>
      <c r="M1585" s="30" t="str">
        <f aca="false">IF(F1585="","",L1585-J1585)</f>
        <v/>
      </c>
      <c r="N1585" s="32" t="str">
        <f aca="false">IF(F1585="","",IF(H1585&lt;&gt;"","Kapandı",IF('Vade Sapması'!$D$3&gt;G1585,"Açık · vadesi geçti","Açık · vadesi gelmedi")))</f>
        <v/>
      </c>
      <c r="O1585" s="30" t="str">
        <f aca="false">IF(F1585="","",IF(AND(H1585="",'Vade Sapması'!$D$3&gt;G1585),'Vade Sapması'!$D$3-G1585,0))</f>
        <v/>
      </c>
      <c r="P1585" s="33" t="str">
        <f aca="false">IF(F1585="","",F1585*J1585)</f>
        <v/>
      </c>
      <c r="Q1585" s="33" t="str">
        <f aca="false">IF(F1585="","",F1585*L1585)</f>
        <v/>
      </c>
      <c r="R1585" s="33" t="str">
        <f aca="false">IF(F1585="","",IF(H1585="",F1585,0))</f>
        <v/>
      </c>
      <c r="S1585" s="32" t="str">
        <f aca="false">IF(F1585="","",IF(N(O1585)=0,"",IF(O1585&lt;=30,"1-30",IF(O1585&lt;=60,"31-60",IF(O1585&lt;=90,"61-90","90+")))))</f>
        <v/>
      </c>
      <c r="T1585" s="32" t="str">
        <f aca="false">IF(F1585="","",IF(E1585="","Diğer",E1585))</f>
        <v/>
      </c>
      <c r="U1585" s="32" t="str">
        <f aca="false">IF(OR(F1585="",C1585=""),"",IF(COUNTIF($C$2:C1585,C1585)=1,MAX($U$1:U1584)+1,""))</f>
        <v/>
      </c>
    </row>
    <row r="1586" customFormat="false" ht="15" hidden="false" customHeight="false" outlineLevel="0" collapsed="false">
      <c r="A1586" s="34"/>
      <c r="B1586" s="9"/>
      <c r="C1586" s="34"/>
      <c r="D1586" s="34"/>
      <c r="E1586" s="34"/>
      <c r="F1586" s="35"/>
      <c r="G1586" s="9"/>
      <c r="H1586" s="9"/>
      <c r="I1586" s="34"/>
      <c r="J1586" s="30" t="str">
        <f aca="false">IF(F1586="","",G1586-B1586)</f>
        <v/>
      </c>
      <c r="K1586" s="31" t="str">
        <f aca="false">IF(F1586="","",IF(H1586&lt;&gt;"",H1586,MAX('Vade Sapması'!$D$3,G1586)))</f>
        <v/>
      </c>
      <c r="L1586" s="30" t="str">
        <f aca="false">IF(F1586="","",K1586-B1586)</f>
        <v/>
      </c>
      <c r="M1586" s="30" t="str">
        <f aca="false">IF(F1586="","",L1586-J1586)</f>
        <v/>
      </c>
      <c r="N1586" s="32" t="str">
        <f aca="false">IF(F1586="","",IF(H1586&lt;&gt;"","Kapandı",IF('Vade Sapması'!$D$3&gt;G1586,"Açık · vadesi geçti","Açık · vadesi gelmedi")))</f>
        <v/>
      </c>
      <c r="O1586" s="30" t="str">
        <f aca="false">IF(F1586="","",IF(AND(H1586="",'Vade Sapması'!$D$3&gt;G1586),'Vade Sapması'!$D$3-G1586,0))</f>
        <v/>
      </c>
      <c r="P1586" s="33" t="str">
        <f aca="false">IF(F1586="","",F1586*J1586)</f>
        <v/>
      </c>
      <c r="Q1586" s="33" t="str">
        <f aca="false">IF(F1586="","",F1586*L1586)</f>
        <v/>
      </c>
      <c r="R1586" s="33" t="str">
        <f aca="false">IF(F1586="","",IF(H1586="",F1586,0))</f>
        <v/>
      </c>
      <c r="S1586" s="32" t="str">
        <f aca="false">IF(F1586="","",IF(N(O1586)=0,"",IF(O1586&lt;=30,"1-30",IF(O1586&lt;=60,"31-60",IF(O1586&lt;=90,"61-90","90+")))))</f>
        <v/>
      </c>
      <c r="T1586" s="32" t="str">
        <f aca="false">IF(F1586="","",IF(E1586="","Diğer",E1586))</f>
        <v/>
      </c>
      <c r="U1586" s="32" t="str">
        <f aca="false">IF(OR(F1586="",C1586=""),"",IF(COUNTIF($C$2:C1586,C1586)=1,MAX($U$1:U1585)+1,""))</f>
        <v/>
      </c>
    </row>
    <row r="1587" customFormat="false" ht="15" hidden="false" customHeight="false" outlineLevel="0" collapsed="false">
      <c r="A1587" s="34"/>
      <c r="B1587" s="9"/>
      <c r="C1587" s="34"/>
      <c r="D1587" s="34"/>
      <c r="E1587" s="34"/>
      <c r="F1587" s="35"/>
      <c r="G1587" s="9"/>
      <c r="H1587" s="9"/>
      <c r="I1587" s="34"/>
      <c r="J1587" s="30" t="str">
        <f aca="false">IF(F1587="","",G1587-B1587)</f>
        <v/>
      </c>
      <c r="K1587" s="31" t="str">
        <f aca="false">IF(F1587="","",IF(H1587&lt;&gt;"",H1587,MAX('Vade Sapması'!$D$3,G1587)))</f>
        <v/>
      </c>
      <c r="L1587" s="30" t="str">
        <f aca="false">IF(F1587="","",K1587-B1587)</f>
        <v/>
      </c>
      <c r="M1587" s="30" t="str">
        <f aca="false">IF(F1587="","",L1587-J1587)</f>
        <v/>
      </c>
      <c r="N1587" s="32" t="str">
        <f aca="false">IF(F1587="","",IF(H1587&lt;&gt;"","Kapandı",IF('Vade Sapması'!$D$3&gt;G1587,"Açık · vadesi geçti","Açık · vadesi gelmedi")))</f>
        <v/>
      </c>
      <c r="O1587" s="30" t="str">
        <f aca="false">IF(F1587="","",IF(AND(H1587="",'Vade Sapması'!$D$3&gt;G1587),'Vade Sapması'!$D$3-G1587,0))</f>
        <v/>
      </c>
      <c r="P1587" s="33" t="str">
        <f aca="false">IF(F1587="","",F1587*J1587)</f>
        <v/>
      </c>
      <c r="Q1587" s="33" t="str">
        <f aca="false">IF(F1587="","",F1587*L1587)</f>
        <v/>
      </c>
      <c r="R1587" s="33" t="str">
        <f aca="false">IF(F1587="","",IF(H1587="",F1587,0))</f>
        <v/>
      </c>
      <c r="S1587" s="32" t="str">
        <f aca="false">IF(F1587="","",IF(N(O1587)=0,"",IF(O1587&lt;=30,"1-30",IF(O1587&lt;=60,"31-60",IF(O1587&lt;=90,"61-90","90+")))))</f>
        <v/>
      </c>
      <c r="T1587" s="32" t="str">
        <f aca="false">IF(F1587="","",IF(E1587="","Diğer",E1587))</f>
        <v/>
      </c>
      <c r="U1587" s="32" t="str">
        <f aca="false">IF(OR(F1587="",C1587=""),"",IF(COUNTIF($C$2:C1587,C1587)=1,MAX($U$1:U1586)+1,""))</f>
        <v/>
      </c>
    </row>
    <row r="1588" customFormat="false" ht="15" hidden="false" customHeight="false" outlineLevel="0" collapsed="false">
      <c r="A1588" s="34"/>
      <c r="B1588" s="9"/>
      <c r="C1588" s="34"/>
      <c r="D1588" s="34"/>
      <c r="E1588" s="34"/>
      <c r="F1588" s="35"/>
      <c r="G1588" s="9"/>
      <c r="H1588" s="9"/>
      <c r="I1588" s="34"/>
      <c r="J1588" s="30" t="str">
        <f aca="false">IF(F1588="","",G1588-B1588)</f>
        <v/>
      </c>
      <c r="K1588" s="31" t="str">
        <f aca="false">IF(F1588="","",IF(H1588&lt;&gt;"",H1588,MAX('Vade Sapması'!$D$3,G1588)))</f>
        <v/>
      </c>
      <c r="L1588" s="30" t="str">
        <f aca="false">IF(F1588="","",K1588-B1588)</f>
        <v/>
      </c>
      <c r="M1588" s="30" t="str">
        <f aca="false">IF(F1588="","",L1588-J1588)</f>
        <v/>
      </c>
      <c r="N1588" s="32" t="str">
        <f aca="false">IF(F1588="","",IF(H1588&lt;&gt;"","Kapandı",IF('Vade Sapması'!$D$3&gt;G1588,"Açık · vadesi geçti","Açık · vadesi gelmedi")))</f>
        <v/>
      </c>
      <c r="O1588" s="30" t="str">
        <f aca="false">IF(F1588="","",IF(AND(H1588="",'Vade Sapması'!$D$3&gt;G1588),'Vade Sapması'!$D$3-G1588,0))</f>
        <v/>
      </c>
      <c r="P1588" s="33" t="str">
        <f aca="false">IF(F1588="","",F1588*J1588)</f>
        <v/>
      </c>
      <c r="Q1588" s="33" t="str">
        <f aca="false">IF(F1588="","",F1588*L1588)</f>
        <v/>
      </c>
      <c r="R1588" s="33" t="str">
        <f aca="false">IF(F1588="","",IF(H1588="",F1588,0))</f>
        <v/>
      </c>
      <c r="S1588" s="32" t="str">
        <f aca="false">IF(F1588="","",IF(N(O1588)=0,"",IF(O1588&lt;=30,"1-30",IF(O1588&lt;=60,"31-60",IF(O1588&lt;=90,"61-90","90+")))))</f>
        <v/>
      </c>
      <c r="T1588" s="32" t="str">
        <f aca="false">IF(F1588="","",IF(E1588="","Diğer",E1588))</f>
        <v/>
      </c>
      <c r="U1588" s="32" t="str">
        <f aca="false">IF(OR(F1588="",C1588=""),"",IF(COUNTIF($C$2:C1588,C1588)=1,MAX($U$1:U1587)+1,""))</f>
        <v/>
      </c>
    </row>
    <row r="1589" customFormat="false" ht="15" hidden="false" customHeight="false" outlineLevel="0" collapsed="false">
      <c r="A1589" s="34"/>
      <c r="B1589" s="9"/>
      <c r="C1589" s="34"/>
      <c r="D1589" s="34"/>
      <c r="E1589" s="34"/>
      <c r="F1589" s="35"/>
      <c r="G1589" s="9"/>
      <c r="H1589" s="9"/>
      <c r="I1589" s="34"/>
      <c r="J1589" s="30" t="str">
        <f aca="false">IF(F1589="","",G1589-B1589)</f>
        <v/>
      </c>
      <c r="K1589" s="31" t="str">
        <f aca="false">IF(F1589="","",IF(H1589&lt;&gt;"",H1589,MAX('Vade Sapması'!$D$3,G1589)))</f>
        <v/>
      </c>
      <c r="L1589" s="30" t="str">
        <f aca="false">IF(F1589="","",K1589-B1589)</f>
        <v/>
      </c>
      <c r="M1589" s="30" t="str">
        <f aca="false">IF(F1589="","",L1589-J1589)</f>
        <v/>
      </c>
      <c r="N1589" s="32" t="str">
        <f aca="false">IF(F1589="","",IF(H1589&lt;&gt;"","Kapandı",IF('Vade Sapması'!$D$3&gt;G1589,"Açık · vadesi geçti","Açık · vadesi gelmedi")))</f>
        <v/>
      </c>
      <c r="O1589" s="30" t="str">
        <f aca="false">IF(F1589="","",IF(AND(H1589="",'Vade Sapması'!$D$3&gt;G1589),'Vade Sapması'!$D$3-G1589,0))</f>
        <v/>
      </c>
      <c r="P1589" s="33" t="str">
        <f aca="false">IF(F1589="","",F1589*J1589)</f>
        <v/>
      </c>
      <c r="Q1589" s="33" t="str">
        <f aca="false">IF(F1589="","",F1589*L1589)</f>
        <v/>
      </c>
      <c r="R1589" s="33" t="str">
        <f aca="false">IF(F1589="","",IF(H1589="",F1589,0))</f>
        <v/>
      </c>
      <c r="S1589" s="32" t="str">
        <f aca="false">IF(F1589="","",IF(N(O1589)=0,"",IF(O1589&lt;=30,"1-30",IF(O1589&lt;=60,"31-60",IF(O1589&lt;=90,"61-90","90+")))))</f>
        <v/>
      </c>
      <c r="T1589" s="32" t="str">
        <f aca="false">IF(F1589="","",IF(E1589="","Diğer",E1589))</f>
        <v/>
      </c>
      <c r="U1589" s="32" t="str">
        <f aca="false">IF(OR(F1589="",C1589=""),"",IF(COUNTIF($C$2:C1589,C1589)=1,MAX($U$1:U1588)+1,""))</f>
        <v/>
      </c>
    </row>
    <row r="1590" customFormat="false" ht="15" hidden="false" customHeight="false" outlineLevel="0" collapsed="false">
      <c r="A1590" s="34"/>
      <c r="B1590" s="9"/>
      <c r="C1590" s="34"/>
      <c r="D1590" s="34"/>
      <c r="E1590" s="34"/>
      <c r="F1590" s="35"/>
      <c r="G1590" s="9"/>
      <c r="H1590" s="9"/>
      <c r="I1590" s="34"/>
      <c r="J1590" s="30" t="str">
        <f aca="false">IF(F1590="","",G1590-B1590)</f>
        <v/>
      </c>
      <c r="K1590" s="31" t="str">
        <f aca="false">IF(F1590="","",IF(H1590&lt;&gt;"",H1590,MAX('Vade Sapması'!$D$3,G1590)))</f>
        <v/>
      </c>
      <c r="L1590" s="30" t="str">
        <f aca="false">IF(F1590="","",K1590-B1590)</f>
        <v/>
      </c>
      <c r="M1590" s="30" t="str">
        <f aca="false">IF(F1590="","",L1590-J1590)</f>
        <v/>
      </c>
      <c r="N1590" s="32" t="str">
        <f aca="false">IF(F1590="","",IF(H1590&lt;&gt;"","Kapandı",IF('Vade Sapması'!$D$3&gt;G1590,"Açık · vadesi geçti","Açık · vadesi gelmedi")))</f>
        <v/>
      </c>
      <c r="O1590" s="30" t="str">
        <f aca="false">IF(F1590="","",IF(AND(H1590="",'Vade Sapması'!$D$3&gt;G1590),'Vade Sapması'!$D$3-G1590,0))</f>
        <v/>
      </c>
      <c r="P1590" s="33" t="str">
        <f aca="false">IF(F1590="","",F1590*J1590)</f>
        <v/>
      </c>
      <c r="Q1590" s="33" t="str">
        <f aca="false">IF(F1590="","",F1590*L1590)</f>
        <v/>
      </c>
      <c r="R1590" s="33" t="str">
        <f aca="false">IF(F1590="","",IF(H1590="",F1590,0))</f>
        <v/>
      </c>
      <c r="S1590" s="32" t="str">
        <f aca="false">IF(F1590="","",IF(N(O1590)=0,"",IF(O1590&lt;=30,"1-30",IF(O1590&lt;=60,"31-60",IF(O1590&lt;=90,"61-90","90+")))))</f>
        <v/>
      </c>
      <c r="T1590" s="32" t="str">
        <f aca="false">IF(F1590="","",IF(E1590="","Diğer",E1590))</f>
        <v/>
      </c>
      <c r="U1590" s="32" t="str">
        <f aca="false">IF(OR(F1590="",C1590=""),"",IF(COUNTIF($C$2:C1590,C1590)=1,MAX($U$1:U1589)+1,""))</f>
        <v/>
      </c>
    </row>
    <row r="1591" customFormat="false" ht="15" hidden="false" customHeight="false" outlineLevel="0" collapsed="false">
      <c r="A1591" s="34"/>
      <c r="B1591" s="9"/>
      <c r="C1591" s="34"/>
      <c r="D1591" s="34"/>
      <c r="E1591" s="34"/>
      <c r="F1591" s="35"/>
      <c r="G1591" s="9"/>
      <c r="H1591" s="9"/>
      <c r="I1591" s="34"/>
      <c r="J1591" s="30" t="str">
        <f aca="false">IF(F1591="","",G1591-B1591)</f>
        <v/>
      </c>
      <c r="K1591" s="31" t="str">
        <f aca="false">IF(F1591="","",IF(H1591&lt;&gt;"",H1591,MAX('Vade Sapması'!$D$3,G1591)))</f>
        <v/>
      </c>
      <c r="L1591" s="30" t="str">
        <f aca="false">IF(F1591="","",K1591-B1591)</f>
        <v/>
      </c>
      <c r="M1591" s="30" t="str">
        <f aca="false">IF(F1591="","",L1591-J1591)</f>
        <v/>
      </c>
      <c r="N1591" s="32" t="str">
        <f aca="false">IF(F1591="","",IF(H1591&lt;&gt;"","Kapandı",IF('Vade Sapması'!$D$3&gt;G1591,"Açık · vadesi geçti","Açık · vadesi gelmedi")))</f>
        <v/>
      </c>
      <c r="O1591" s="30" t="str">
        <f aca="false">IF(F1591="","",IF(AND(H1591="",'Vade Sapması'!$D$3&gt;G1591),'Vade Sapması'!$D$3-G1591,0))</f>
        <v/>
      </c>
      <c r="P1591" s="33" t="str">
        <f aca="false">IF(F1591="","",F1591*J1591)</f>
        <v/>
      </c>
      <c r="Q1591" s="33" t="str">
        <f aca="false">IF(F1591="","",F1591*L1591)</f>
        <v/>
      </c>
      <c r="R1591" s="33" t="str">
        <f aca="false">IF(F1591="","",IF(H1591="",F1591,0))</f>
        <v/>
      </c>
      <c r="S1591" s="32" t="str">
        <f aca="false">IF(F1591="","",IF(N(O1591)=0,"",IF(O1591&lt;=30,"1-30",IF(O1591&lt;=60,"31-60",IF(O1591&lt;=90,"61-90","90+")))))</f>
        <v/>
      </c>
      <c r="T1591" s="32" t="str">
        <f aca="false">IF(F1591="","",IF(E1591="","Diğer",E1591))</f>
        <v/>
      </c>
      <c r="U1591" s="32" t="str">
        <f aca="false">IF(OR(F1591="",C1591=""),"",IF(COUNTIF($C$2:C1591,C1591)=1,MAX($U$1:U1590)+1,""))</f>
        <v/>
      </c>
    </row>
    <row r="1592" customFormat="false" ht="15" hidden="false" customHeight="false" outlineLevel="0" collapsed="false">
      <c r="A1592" s="34"/>
      <c r="B1592" s="9"/>
      <c r="C1592" s="34"/>
      <c r="D1592" s="34"/>
      <c r="E1592" s="34"/>
      <c r="F1592" s="35"/>
      <c r="G1592" s="9"/>
      <c r="H1592" s="9"/>
      <c r="I1592" s="34"/>
      <c r="J1592" s="30" t="str">
        <f aca="false">IF(F1592="","",G1592-B1592)</f>
        <v/>
      </c>
      <c r="K1592" s="31" t="str">
        <f aca="false">IF(F1592="","",IF(H1592&lt;&gt;"",H1592,MAX('Vade Sapması'!$D$3,G1592)))</f>
        <v/>
      </c>
      <c r="L1592" s="30" t="str">
        <f aca="false">IF(F1592="","",K1592-B1592)</f>
        <v/>
      </c>
      <c r="M1592" s="30" t="str">
        <f aca="false">IF(F1592="","",L1592-J1592)</f>
        <v/>
      </c>
      <c r="N1592" s="32" t="str">
        <f aca="false">IF(F1592="","",IF(H1592&lt;&gt;"","Kapandı",IF('Vade Sapması'!$D$3&gt;G1592,"Açık · vadesi geçti","Açık · vadesi gelmedi")))</f>
        <v/>
      </c>
      <c r="O1592" s="30" t="str">
        <f aca="false">IF(F1592="","",IF(AND(H1592="",'Vade Sapması'!$D$3&gt;G1592),'Vade Sapması'!$D$3-G1592,0))</f>
        <v/>
      </c>
      <c r="P1592" s="33" t="str">
        <f aca="false">IF(F1592="","",F1592*J1592)</f>
        <v/>
      </c>
      <c r="Q1592" s="33" t="str">
        <f aca="false">IF(F1592="","",F1592*L1592)</f>
        <v/>
      </c>
      <c r="R1592" s="33" t="str">
        <f aca="false">IF(F1592="","",IF(H1592="",F1592,0))</f>
        <v/>
      </c>
      <c r="S1592" s="32" t="str">
        <f aca="false">IF(F1592="","",IF(N(O1592)=0,"",IF(O1592&lt;=30,"1-30",IF(O1592&lt;=60,"31-60",IF(O1592&lt;=90,"61-90","90+")))))</f>
        <v/>
      </c>
      <c r="T1592" s="32" t="str">
        <f aca="false">IF(F1592="","",IF(E1592="","Diğer",E1592))</f>
        <v/>
      </c>
      <c r="U1592" s="32" t="str">
        <f aca="false">IF(OR(F1592="",C1592=""),"",IF(COUNTIF($C$2:C1592,C1592)=1,MAX($U$1:U1591)+1,""))</f>
        <v/>
      </c>
    </row>
    <row r="1593" customFormat="false" ht="15" hidden="false" customHeight="false" outlineLevel="0" collapsed="false">
      <c r="A1593" s="34"/>
      <c r="B1593" s="9"/>
      <c r="C1593" s="34"/>
      <c r="D1593" s="34"/>
      <c r="E1593" s="34"/>
      <c r="F1593" s="35"/>
      <c r="G1593" s="9"/>
      <c r="H1593" s="9"/>
      <c r="I1593" s="34"/>
      <c r="J1593" s="30" t="str">
        <f aca="false">IF(F1593="","",G1593-B1593)</f>
        <v/>
      </c>
      <c r="K1593" s="31" t="str">
        <f aca="false">IF(F1593="","",IF(H1593&lt;&gt;"",H1593,MAX('Vade Sapması'!$D$3,G1593)))</f>
        <v/>
      </c>
      <c r="L1593" s="30" t="str">
        <f aca="false">IF(F1593="","",K1593-B1593)</f>
        <v/>
      </c>
      <c r="M1593" s="30" t="str">
        <f aca="false">IF(F1593="","",L1593-J1593)</f>
        <v/>
      </c>
      <c r="N1593" s="32" t="str">
        <f aca="false">IF(F1593="","",IF(H1593&lt;&gt;"","Kapandı",IF('Vade Sapması'!$D$3&gt;G1593,"Açık · vadesi geçti","Açık · vadesi gelmedi")))</f>
        <v/>
      </c>
      <c r="O1593" s="30" t="str">
        <f aca="false">IF(F1593="","",IF(AND(H1593="",'Vade Sapması'!$D$3&gt;G1593),'Vade Sapması'!$D$3-G1593,0))</f>
        <v/>
      </c>
      <c r="P1593" s="33" t="str">
        <f aca="false">IF(F1593="","",F1593*J1593)</f>
        <v/>
      </c>
      <c r="Q1593" s="33" t="str">
        <f aca="false">IF(F1593="","",F1593*L1593)</f>
        <v/>
      </c>
      <c r="R1593" s="33" t="str">
        <f aca="false">IF(F1593="","",IF(H1593="",F1593,0))</f>
        <v/>
      </c>
      <c r="S1593" s="32" t="str">
        <f aca="false">IF(F1593="","",IF(N(O1593)=0,"",IF(O1593&lt;=30,"1-30",IF(O1593&lt;=60,"31-60",IF(O1593&lt;=90,"61-90","90+")))))</f>
        <v/>
      </c>
      <c r="T1593" s="32" t="str">
        <f aca="false">IF(F1593="","",IF(E1593="","Diğer",E1593))</f>
        <v/>
      </c>
      <c r="U1593" s="32" t="str">
        <f aca="false">IF(OR(F1593="",C1593=""),"",IF(COUNTIF($C$2:C1593,C1593)=1,MAX($U$1:U1592)+1,""))</f>
        <v/>
      </c>
    </row>
    <row r="1594" customFormat="false" ht="15" hidden="false" customHeight="false" outlineLevel="0" collapsed="false">
      <c r="A1594" s="34"/>
      <c r="B1594" s="9"/>
      <c r="C1594" s="34"/>
      <c r="D1594" s="34"/>
      <c r="E1594" s="34"/>
      <c r="F1594" s="35"/>
      <c r="G1594" s="9"/>
      <c r="H1594" s="9"/>
      <c r="I1594" s="34"/>
      <c r="J1594" s="30" t="str">
        <f aca="false">IF(F1594="","",G1594-B1594)</f>
        <v/>
      </c>
      <c r="K1594" s="31" t="str">
        <f aca="false">IF(F1594="","",IF(H1594&lt;&gt;"",H1594,MAX('Vade Sapması'!$D$3,G1594)))</f>
        <v/>
      </c>
      <c r="L1594" s="30" t="str">
        <f aca="false">IF(F1594="","",K1594-B1594)</f>
        <v/>
      </c>
      <c r="M1594" s="30" t="str">
        <f aca="false">IF(F1594="","",L1594-J1594)</f>
        <v/>
      </c>
      <c r="N1594" s="32" t="str">
        <f aca="false">IF(F1594="","",IF(H1594&lt;&gt;"","Kapandı",IF('Vade Sapması'!$D$3&gt;G1594,"Açık · vadesi geçti","Açık · vadesi gelmedi")))</f>
        <v/>
      </c>
      <c r="O1594" s="30" t="str">
        <f aca="false">IF(F1594="","",IF(AND(H1594="",'Vade Sapması'!$D$3&gt;G1594),'Vade Sapması'!$D$3-G1594,0))</f>
        <v/>
      </c>
      <c r="P1594" s="33" t="str">
        <f aca="false">IF(F1594="","",F1594*J1594)</f>
        <v/>
      </c>
      <c r="Q1594" s="33" t="str">
        <f aca="false">IF(F1594="","",F1594*L1594)</f>
        <v/>
      </c>
      <c r="R1594" s="33" t="str">
        <f aca="false">IF(F1594="","",IF(H1594="",F1594,0))</f>
        <v/>
      </c>
      <c r="S1594" s="32" t="str">
        <f aca="false">IF(F1594="","",IF(N(O1594)=0,"",IF(O1594&lt;=30,"1-30",IF(O1594&lt;=60,"31-60",IF(O1594&lt;=90,"61-90","90+")))))</f>
        <v/>
      </c>
      <c r="T1594" s="32" t="str">
        <f aca="false">IF(F1594="","",IF(E1594="","Diğer",E1594))</f>
        <v/>
      </c>
      <c r="U1594" s="32" t="str">
        <f aca="false">IF(OR(F1594="",C1594=""),"",IF(COUNTIF($C$2:C1594,C1594)=1,MAX($U$1:U1593)+1,""))</f>
        <v/>
      </c>
    </row>
    <row r="1595" customFormat="false" ht="15" hidden="false" customHeight="false" outlineLevel="0" collapsed="false">
      <c r="A1595" s="34"/>
      <c r="B1595" s="9"/>
      <c r="C1595" s="34"/>
      <c r="D1595" s="34"/>
      <c r="E1595" s="34"/>
      <c r="F1595" s="35"/>
      <c r="G1595" s="9"/>
      <c r="H1595" s="9"/>
      <c r="I1595" s="34"/>
      <c r="J1595" s="30" t="str">
        <f aca="false">IF(F1595="","",G1595-B1595)</f>
        <v/>
      </c>
      <c r="K1595" s="31" t="str">
        <f aca="false">IF(F1595="","",IF(H1595&lt;&gt;"",H1595,MAX('Vade Sapması'!$D$3,G1595)))</f>
        <v/>
      </c>
      <c r="L1595" s="30" t="str">
        <f aca="false">IF(F1595="","",K1595-B1595)</f>
        <v/>
      </c>
      <c r="M1595" s="30" t="str">
        <f aca="false">IF(F1595="","",L1595-J1595)</f>
        <v/>
      </c>
      <c r="N1595" s="32" t="str">
        <f aca="false">IF(F1595="","",IF(H1595&lt;&gt;"","Kapandı",IF('Vade Sapması'!$D$3&gt;G1595,"Açık · vadesi geçti","Açık · vadesi gelmedi")))</f>
        <v/>
      </c>
      <c r="O1595" s="30" t="str">
        <f aca="false">IF(F1595="","",IF(AND(H1595="",'Vade Sapması'!$D$3&gt;G1595),'Vade Sapması'!$D$3-G1595,0))</f>
        <v/>
      </c>
      <c r="P1595" s="33" t="str">
        <f aca="false">IF(F1595="","",F1595*J1595)</f>
        <v/>
      </c>
      <c r="Q1595" s="33" t="str">
        <f aca="false">IF(F1595="","",F1595*L1595)</f>
        <v/>
      </c>
      <c r="R1595" s="33" t="str">
        <f aca="false">IF(F1595="","",IF(H1595="",F1595,0))</f>
        <v/>
      </c>
      <c r="S1595" s="32" t="str">
        <f aca="false">IF(F1595="","",IF(N(O1595)=0,"",IF(O1595&lt;=30,"1-30",IF(O1595&lt;=60,"31-60",IF(O1595&lt;=90,"61-90","90+")))))</f>
        <v/>
      </c>
      <c r="T1595" s="32" t="str">
        <f aca="false">IF(F1595="","",IF(E1595="","Diğer",E1595))</f>
        <v/>
      </c>
      <c r="U1595" s="32" t="str">
        <f aca="false">IF(OR(F1595="",C1595=""),"",IF(COUNTIF($C$2:C1595,C1595)=1,MAX($U$1:U1594)+1,""))</f>
        <v/>
      </c>
    </row>
    <row r="1596" customFormat="false" ht="15" hidden="false" customHeight="false" outlineLevel="0" collapsed="false">
      <c r="A1596" s="34"/>
      <c r="B1596" s="9"/>
      <c r="C1596" s="34"/>
      <c r="D1596" s="34"/>
      <c r="E1596" s="34"/>
      <c r="F1596" s="35"/>
      <c r="G1596" s="9"/>
      <c r="H1596" s="9"/>
      <c r="I1596" s="34"/>
      <c r="J1596" s="30" t="str">
        <f aca="false">IF(F1596="","",G1596-B1596)</f>
        <v/>
      </c>
      <c r="K1596" s="31" t="str">
        <f aca="false">IF(F1596="","",IF(H1596&lt;&gt;"",H1596,MAX('Vade Sapması'!$D$3,G1596)))</f>
        <v/>
      </c>
      <c r="L1596" s="30" t="str">
        <f aca="false">IF(F1596="","",K1596-B1596)</f>
        <v/>
      </c>
      <c r="M1596" s="30" t="str">
        <f aca="false">IF(F1596="","",L1596-J1596)</f>
        <v/>
      </c>
      <c r="N1596" s="32" t="str">
        <f aca="false">IF(F1596="","",IF(H1596&lt;&gt;"","Kapandı",IF('Vade Sapması'!$D$3&gt;G1596,"Açık · vadesi geçti","Açık · vadesi gelmedi")))</f>
        <v/>
      </c>
      <c r="O1596" s="30" t="str">
        <f aca="false">IF(F1596="","",IF(AND(H1596="",'Vade Sapması'!$D$3&gt;G1596),'Vade Sapması'!$D$3-G1596,0))</f>
        <v/>
      </c>
      <c r="P1596" s="33" t="str">
        <f aca="false">IF(F1596="","",F1596*J1596)</f>
        <v/>
      </c>
      <c r="Q1596" s="33" t="str">
        <f aca="false">IF(F1596="","",F1596*L1596)</f>
        <v/>
      </c>
      <c r="R1596" s="33" t="str">
        <f aca="false">IF(F1596="","",IF(H1596="",F1596,0))</f>
        <v/>
      </c>
      <c r="S1596" s="32" t="str">
        <f aca="false">IF(F1596="","",IF(N(O1596)=0,"",IF(O1596&lt;=30,"1-30",IF(O1596&lt;=60,"31-60",IF(O1596&lt;=90,"61-90","90+")))))</f>
        <v/>
      </c>
      <c r="T1596" s="32" t="str">
        <f aca="false">IF(F1596="","",IF(E1596="","Diğer",E1596))</f>
        <v/>
      </c>
      <c r="U1596" s="32" t="str">
        <f aca="false">IF(OR(F1596="",C1596=""),"",IF(COUNTIF($C$2:C1596,C1596)=1,MAX($U$1:U1595)+1,""))</f>
        <v/>
      </c>
    </row>
    <row r="1597" customFormat="false" ht="15" hidden="false" customHeight="false" outlineLevel="0" collapsed="false">
      <c r="A1597" s="34"/>
      <c r="B1597" s="9"/>
      <c r="C1597" s="34"/>
      <c r="D1597" s="34"/>
      <c r="E1597" s="34"/>
      <c r="F1597" s="35"/>
      <c r="G1597" s="9"/>
      <c r="H1597" s="9"/>
      <c r="I1597" s="34"/>
      <c r="J1597" s="30" t="str">
        <f aca="false">IF(F1597="","",G1597-B1597)</f>
        <v/>
      </c>
      <c r="K1597" s="31" t="str">
        <f aca="false">IF(F1597="","",IF(H1597&lt;&gt;"",H1597,MAX('Vade Sapması'!$D$3,G1597)))</f>
        <v/>
      </c>
      <c r="L1597" s="30" t="str">
        <f aca="false">IF(F1597="","",K1597-B1597)</f>
        <v/>
      </c>
      <c r="M1597" s="30" t="str">
        <f aca="false">IF(F1597="","",L1597-J1597)</f>
        <v/>
      </c>
      <c r="N1597" s="32" t="str">
        <f aca="false">IF(F1597="","",IF(H1597&lt;&gt;"","Kapandı",IF('Vade Sapması'!$D$3&gt;G1597,"Açık · vadesi geçti","Açık · vadesi gelmedi")))</f>
        <v/>
      </c>
      <c r="O1597" s="30" t="str">
        <f aca="false">IF(F1597="","",IF(AND(H1597="",'Vade Sapması'!$D$3&gt;G1597),'Vade Sapması'!$D$3-G1597,0))</f>
        <v/>
      </c>
      <c r="P1597" s="33" t="str">
        <f aca="false">IF(F1597="","",F1597*J1597)</f>
        <v/>
      </c>
      <c r="Q1597" s="33" t="str">
        <f aca="false">IF(F1597="","",F1597*L1597)</f>
        <v/>
      </c>
      <c r="R1597" s="33" t="str">
        <f aca="false">IF(F1597="","",IF(H1597="",F1597,0))</f>
        <v/>
      </c>
      <c r="S1597" s="32" t="str">
        <f aca="false">IF(F1597="","",IF(N(O1597)=0,"",IF(O1597&lt;=30,"1-30",IF(O1597&lt;=60,"31-60",IF(O1597&lt;=90,"61-90","90+")))))</f>
        <v/>
      </c>
      <c r="T1597" s="32" t="str">
        <f aca="false">IF(F1597="","",IF(E1597="","Diğer",E1597))</f>
        <v/>
      </c>
      <c r="U1597" s="32" t="str">
        <f aca="false">IF(OR(F1597="",C1597=""),"",IF(COUNTIF($C$2:C1597,C1597)=1,MAX($U$1:U1596)+1,""))</f>
        <v/>
      </c>
    </row>
    <row r="1598" customFormat="false" ht="15" hidden="false" customHeight="false" outlineLevel="0" collapsed="false">
      <c r="A1598" s="34"/>
      <c r="B1598" s="9"/>
      <c r="C1598" s="34"/>
      <c r="D1598" s="34"/>
      <c r="E1598" s="34"/>
      <c r="F1598" s="35"/>
      <c r="G1598" s="9"/>
      <c r="H1598" s="9"/>
      <c r="I1598" s="34"/>
      <c r="J1598" s="30" t="str">
        <f aca="false">IF(F1598="","",G1598-B1598)</f>
        <v/>
      </c>
      <c r="K1598" s="31" t="str">
        <f aca="false">IF(F1598="","",IF(H1598&lt;&gt;"",H1598,MAX('Vade Sapması'!$D$3,G1598)))</f>
        <v/>
      </c>
      <c r="L1598" s="30" t="str">
        <f aca="false">IF(F1598="","",K1598-B1598)</f>
        <v/>
      </c>
      <c r="M1598" s="30" t="str">
        <f aca="false">IF(F1598="","",L1598-J1598)</f>
        <v/>
      </c>
      <c r="N1598" s="32" t="str">
        <f aca="false">IF(F1598="","",IF(H1598&lt;&gt;"","Kapandı",IF('Vade Sapması'!$D$3&gt;G1598,"Açık · vadesi geçti","Açık · vadesi gelmedi")))</f>
        <v/>
      </c>
      <c r="O1598" s="30" t="str">
        <f aca="false">IF(F1598="","",IF(AND(H1598="",'Vade Sapması'!$D$3&gt;G1598),'Vade Sapması'!$D$3-G1598,0))</f>
        <v/>
      </c>
      <c r="P1598" s="33" t="str">
        <f aca="false">IF(F1598="","",F1598*J1598)</f>
        <v/>
      </c>
      <c r="Q1598" s="33" t="str">
        <f aca="false">IF(F1598="","",F1598*L1598)</f>
        <v/>
      </c>
      <c r="R1598" s="33" t="str">
        <f aca="false">IF(F1598="","",IF(H1598="",F1598,0))</f>
        <v/>
      </c>
      <c r="S1598" s="32" t="str">
        <f aca="false">IF(F1598="","",IF(N(O1598)=0,"",IF(O1598&lt;=30,"1-30",IF(O1598&lt;=60,"31-60",IF(O1598&lt;=90,"61-90","90+")))))</f>
        <v/>
      </c>
      <c r="T1598" s="32" t="str">
        <f aca="false">IF(F1598="","",IF(E1598="","Diğer",E1598))</f>
        <v/>
      </c>
      <c r="U1598" s="32" t="str">
        <f aca="false">IF(OR(F1598="",C1598=""),"",IF(COUNTIF($C$2:C1598,C1598)=1,MAX($U$1:U1597)+1,""))</f>
        <v/>
      </c>
    </row>
    <row r="1599" customFormat="false" ht="15" hidden="false" customHeight="false" outlineLevel="0" collapsed="false">
      <c r="A1599" s="34"/>
      <c r="B1599" s="9"/>
      <c r="C1599" s="34"/>
      <c r="D1599" s="34"/>
      <c r="E1599" s="34"/>
      <c r="F1599" s="35"/>
      <c r="G1599" s="9"/>
      <c r="H1599" s="9"/>
      <c r="I1599" s="34"/>
      <c r="J1599" s="30" t="str">
        <f aca="false">IF(F1599="","",G1599-B1599)</f>
        <v/>
      </c>
      <c r="K1599" s="31" t="str">
        <f aca="false">IF(F1599="","",IF(H1599&lt;&gt;"",H1599,MAX('Vade Sapması'!$D$3,G1599)))</f>
        <v/>
      </c>
      <c r="L1599" s="30" t="str">
        <f aca="false">IF(F1599="","",K1599-B1599)</f>
        <v/>
      </c>
      <c r="M1599" s="30" t="str">
        <f aca="false">IF(F1599="","",L1599-J1599)</f>
        <v/>
      </c>
      <c r="N1599" s="32" t="str">
        <f aca="false">IF(F1599="","",IF(H1599&lt;&gt;"","Kapandı",IF('Vade Sapması'!$D$3&gt;G1599,"Açık · vadesi geçti","Açık · vadesi gelmedi")))</f>
        <v/>
      </c>
      <c r="O1599" s="30" t="str">
        <f aca="false">IF(F1599="","",IF(AND(H1599="",'Vade Sapması'!$D$3&gt;G1599),'Vade Sapması'!$D$3-G1599,0))</f>
        <v/>
      </c>
      <c r="P1599" s="33" t="str">
        <f aca="false">IF(F1599="","",F1599*J1599)</f>
        <v/>
      </c>
      <c r="Q1599" s="33" t="str">
        <f aca="false">IF(F1599="","",F1599*L1599)</f>
        <v/>
      </c>
      <c r="R1599" s="33" t="str">
        <f aca="false">IF(F1599="","",IF(H1599="",F1599,0))</f>
        <v/>
      </c>
      <c r="S1599" s="32" t="str">
        <f aca="false">IF(F1599="","",IF(N(O1599)=0,"",IF(O1599&lt;=30,"1-30",IF(O1599&lt;=60,"31-60",IF(O1599&lt;=90,"61-90","90+")))))</f>
        <v/>
      </c>
      <c r="T1599" s="32" t="str">
        <f aca="false">IF(F1599="","",IF(E1599="","Diğer",E1599))</f>
        <v/>
      </c>
      <c r="U1599" s="32" t="str">
        <f aca="false">IF(OR(F1599="",C1599=""),"",IF(COUNTIF($C$2:C1599,C1599)=1,MAX($U$1:U1598)+1,""))</f>
        <v/>
      </c>
    </row>
    <row r="1600" customFormat="false" ht="15" hidden="false" customHeight="false" outlineLevel="0" collapsed="false">
      <c r="A1600" s="34"/>
      <c r="B1600" s="9"/>
      <c r="C1600" s="34"/>
      <c r="D1600" s="34"/>
      <c r="E1600" s="34"/>
      <c r="F1600" s="35"/>
      <c r="G1600" s="9"/>
      <c r="H1600" s="9"/>
      <c r="I1600" s="34"/>
      <c r="J1600" s="30" t="str">
        <f aca="false">IF(F1600="","",G1600-B1600)</f>
        <v/>
      </c>
      <c r="K1600" s="31" t="str">
        <f aca="false">IF(F1600="","",IF(H1600&lt;&gt;"",H1600,MAX('Vade Sapması'!$D$3,G1600)))</f>
        <v/>
      </c>
      <c r="L1600" s="30" t="str">
        <f aca="false">IF(F1600="","",K1600-B1600)</f>
        <v/>
      </c>
      <c r="M1600" s="30" t="str">
        <f aca="false">IF(F1600="","",L1600-J1600)</f>
        <v/>
      </c>
      <c r="N1600" s="32" t="str">
        <f aca="false">IF(F1600="","",IF(H1600&lt;&gt;"","Kapandı",IF('Vade Sapması'!$D$3&gt;G1600,"Açık · vadesi geçti","Açık · vadesi gelmedi")))</f>
        <v/>
      </c>
      <c r="O1600" s="30" t="str">
        <f aca="false">IF(F1600="","",IF(AND(H1600="",'Vade Sapması'!$D$3&gt;G1600),'Vade Sapması'!$D$3-G1600,0))</f>
        <v/>
      </c>
      <c r="P1600" s="33" t="str">
        <f aca="false">IF(F1600="","",F1600*J1600)</f>
        <v/>
      </c>
      <c r="Q1600" s="33" t="str">
        <f aca="false">IF(F1600="","",F1600*L1600)</f>
        <v/>
      </c>
      <c r="R1600" s="33" t="str">
        <f aca="false">IF(F1600="","",IF(H1600="",F1600,0))</f>
        <v/>
      </c>
      <c r="S1600" s="32" t="str">
        <f aca="false">IF(F1600="","",IF(N(O1600)=0,"",IF(O1600&lt;=30,"1-30",IF(O1600&lt;=60,"31-60",IF(O1600&lt;=90,"61-90","90+")))))</f>
        <v/>
      </c>
      <c r="T1600" s="32" t="str">
        <f aca="false">IF(F1600="","",IF(E1600="","Diğer",E1600))</f>
        <v/>
      </c>
      <c r="U1600" s="32" t="str">
        <f aca="false">IF(OR(F1600="",C1600=""),"",IF(COUNTIF($C$2:C1600,C1600)=1,MAX($U$1:U1599)+1,""))</f>
        <v/>
      </c>
    </row>
    <row r="1601" customFormat="false" ht="15" hidden="false" customHeight="false" outlineLevel="0" collapsed="false">
      <c r="A1601" s="34"/>
      <c r="B1601" s="9"/>
      <c r="C1601" s="34"/>
      <c r="D1601" s="34"/>
      <c r="E1601" s="34"/>
      <c r="F1601" s="35"/>
      <c r="G1601" s="9"/>
      <c r="H1601" s="9"/>
      <c r="I1601" s="34"/>
      <c r="J1601" s="30" t="str">
        <f aca="false">IF(F1601="","",G1601-B1601)</f>
        <v/>
      </c>
      <c r="K1601" s="31" t="str">
        <f aca="false">IF(F1601="","",IF(H1601&lt;&gt;"",H1601,MAX('Vade Sapması'!$D$3,G1601)))</f>
        <v/>
      </c>
      <c r="L1601" s="30" t="str">
        <f aca="false">IF(F1601="","",K1601-B1601)</f>
        <v/>
      </c>
      <c r="M1601" s="30" t="str">
        <f aca="false">IF(F1601="","",L1601-J1601)</f>
        <v/>
      </c>
      <c r="N1601" s="32" t="str">
        <f aca="false">IF(F1601="","",IF(H1601&lt;&gt;"","Kapandı",IF('Vade Sapması'!$D$3&gt;G1601,"Açık · vadesi geçti","Açık · vadesi gelmedi")))</f>
        <v/>
      </c>
      <c r="O1601" s="30" t="str">
        <f aca="false">IF(F1601="","",IF(AND(H1601="",'Vade Sapması'!$D$3&gt;G1601),'Vade Sapması'!$D$3-G1601,0))</f>
        <v/>
      </c>
      <c r="P1601" s="33" t="str">
        <f aca="false">IF(F1601="","",F1601*J1601)</f>
        <v/>
      </c>
      <c r="Q1601" s="33" t="str">
        <f aca="false">IF(F1601="","",F1601*L1601)</f>
        <v/>
      </c>
      <c r="R1601" s="33" t="str">
        <f aca="false">IF(F1601="","",IF(H1601="",F1601,0))</f>
        <v/>
      </c>
      <c r="S1601" s="32" t="str">
        <f aca="false">IF(F1601="","",IF(N(O1601)=0,"",IF(O1601&lt;=30,"1-30",IF(O1601&lt;=60,"31-60",IF(O1601&lt;=90,"61-90","90+")))))</f>
        <v/>
      </c>
      <c r="T1601" s="32" t="str">
        <f aca="false">IF(F1601="","",IF(E1601="","Diğer",E1601))</f>
        <v/>
      </c>
      <c r="U1601" s="32" t="str">
        <f aca="false">IF(OR(F1601="",C1601=""),"",IF(COUNTIF($C$2:C1601,C1601)=1,MAX($U$1:U1600)+1,""))</f>
        <v/>
      </c>
    </row>
    <row r="1602" customFormat="false" ht="15" hidden="false" customHeight="false" outlineLevel="0" collapsed="false">
      <c r="A1602" s="34"/>
      <c r="B1602" s="9"/>
      <c r="C1602" s="34"/>
      <c r="D1602" s="34"/>
      <c r="E1602" s="34"/>
      <c r="F1602" s="35"/>
      <c r="G1602" s="9"/>
      <c r="H1602" s="9"/>
      <c r="I1602" s="34"/>
      <c r="J1602" s="30" t="str">
        <f aca="false">IF(F1602="","",G1602-B1602)</f>
        <v/>
      </c>
      <c r="K1602" s="31" t="str">
        <f aca="false">IF(F1602="","",IF(H1602&lt;&gt;"",H1602,MAX('Vade Sapması'!$D$3,G1602)))</f>
        <v/>
      </c>
      <c r="L1602" s="30" t="str">
        <f aca="false">IF(F1602="","",K1602-B1602)</f>
        <v/>
      </c>
      <c r="M1602" s="30" t="str">
        <f aca="false">IF(F1602="","",L1602-J1602)</f>
        <v/>
      </c>
      <c r="N1602" s="32" t="str">
        <f aca="false">IF(F1602="","",IF(H1602&lt;&gt;"","Kapandı",IF('Vade Sapması'!$D$3&gt;G1602,"Açık · vadesi geçti","Açık · vadesi gelmedi")))</f>
        <v/>
      </c>
      <c r="O1602" s="30" t="str">
        <f aca="false">IF(F1602="","",IF(AND(H1602="",'Vade Sapması'!$D$3&gt;G1602),'Vade Sapması'!$D$3-G1602,0))</f>
        <v/>
      </c>
      <c r="P1602" s="33" t="str">
        <f aca="false">IF(F1602="","",F1602*J1602)</f>
        <v/>
      </c>
      <c r="Q1602" s="33" t="str">
        <f aca="false">IF(F1602="","",F1602*L1602)</f>
        <v/>
      </c>
      <c r="R1602" s="33" t="str">
        <f aca="false">IF(F1602="","",IF(H1602="",F1602,0))</f>
        <v/>
      </c>
      <c r="S1602" s="32" t="str">
        <f aca="false">IF(F1602="","",IF(N(O1602)=0,"",IF(O1602&lt;=30,"1-30",IF(O1602&lt;=60,"31-60",IF(O1602&lt;=90,"61-90","90+")))))</f>
        <v/>
      </c>
      <c r="T1602" s="32" t="str">
        <f aca="false">IF(F1602="","",IF(E1602="","Diğer",E1602))</f>
        <v/>
      </c>
      <c r="U1602" s="32" t="str">
        <f aca="false">IF(OR(F1602="",C1602=""),"",IF(COUNTIF($C$2:C1602,C1602)=1,MAX($U$1:U1601)+1,""))</f>
        <v/>
      </c>
    </row>
    <row r="1603" customFormat="false" ht="15" hidden="false" customHeight="false" outlineLevel="0" collapsed="false">
      <c r="A1603" s="34"/>
      <c r="B1603" s="9"/>
      <c r="C1603" s="34"/>
      <c r="D1603" s="34"/>
      <c r="E1603" s="34"/>
      <c r="F1603" s="35"/>
      <c r="G1603" s="9"/>
      <c r="H1603" s="9"/>
      <c r="I1603" s="34"/>
      <c r="J1603" s="30" t="str">
        <f aca="false">IF(F1603="","",G1603-B1603)</f>
        <v/>
      </c>
      <c r="K1603" s="31" t="str">
        <f aca="false">IF(F1603="","",IF(H1603&lt;&gt;"",H1603,MAX('Vade Sapması'!$D$3,G1603)))</f>
        <v/>
      </c>
      <c r="L1603" s="30" t="str">
        <f aca="false">IF(F1603="","",K1603-B1603)</f>
        <v/>
      </c>
      <c r="M1603" s="30" t="str">
        <f aca="false">IF(F1603="","",L1603-J1603)</f>
        <v/>
      </c>
      <c r="N1603" s="32" t="str">
        <f aca="false">IF(F1603="","",IF(H1603&lt;&gt;"","Kapandı",IF('Vade Sapması'!$D$3&gt;G1603,"Açık · vadesi geçti","Açık · vadesi gelmedi")))</f>
        <v/>
      </c>
      <c r="O1603" s="30" t="str">
        <f aca="false">IF(F1603="","",IF(AND(H1603="",'Vade Sapması'!$D$3&gt;G1603),'Vade Sapması'!$D$3-G1603,0))</f>
        <v/>
      </c>
      <c r="P1603" s="33" t="str">
        <f aca="false">IF(F1603="","",F1603*J1603)</f>
        <v/>
      </c>
      <c r="Q1603" s="33" t="str">
        <f aca="false">IF(F1603="","",F1603*L1603)</f>
        <v/>
      </c>
      <c r="R1603" s="33" t="str">
        <f aca="false">IF(F1603="","",IF(H1603="",F1603,0))</f>
        <v/>
      </c>
      <c r="S1603" s="32" t="str">
        <f aca="false">IF(F1603="","",IF(N(O1603)=0,"",IF(O1603&lt;=30,"1-30",IF(O1603&lt;=60,"31-60",IF(O1603&lt;=90,"61-90","90+")))))</f>
        <v/>
      </c>
      <c r="T1603" s="32" t="str">
        <f aca="false">IF(F1603="","",IF(E1603="","Diğer",E1603))</f>
        <v/>
      </c>
      <c r="U1603" s="32" t="str">
        <f aca="false">IF(OR(F1603="",C1603=""),"",IF(COUNTIF($C$2:C1603,C1603)=1,MAX($U$1:U1602)+1,""))</f>
        <v/>
      </c>
    </row>
    <row r="1604" customFormat="false" ht="15" hidden="false" customHeight="false" outlineLevel="0" collapsed="false">
      <c r="A1604" s="34"/>
      <c r="B1604" s="9"/>
      <c r="C1604" s="34"/>
      <c r="D1604" s="34"/>
      <c r="E1604" s="34"/>
      <c r="F1604" s="35"/>
      <c r="G1604" s="9"/>
      <c r="H1604" s="9"/>
      <c r="I1604" s="34"/>
      <c r="J1604" s="30" t="str">
        <f aca="false">IF(F1604="","",G1604-B1604)</f>
        <v/>
      </c>
      <c r="K1604" s="31" t="str">
        <f aca="false">IF(F1604="","",IF(H1604&lt;&gt;"",H1604,MAX('Vade Sapması'!$D$3,G1604)))</f>
        <v/>
      </c>
      <c r="L1604" s="30" t="str">
        <f aca="false">IF(F1604="","",K1604-B1604)</f>
        <v/>
      </c>
      <c r="M1604" s="30" t="str">
        <f aca="false">IF(F1604="","",L1604-J1604)</f>
        <v/>
      </c>
      <c r="N1604" s="32" t="str">
        <f aca="false">IF(F1604="","",IF(H1604&lt;&gt;"","Kapandı",IF('Vade Sapması'!$D$3&gt;G1604,"Açık · vadesi geçti","Açık · vadesi gelmedi")))</f>
        <v/>
      </c>
      <c r="O1604" s="30" t="str">
        <f aca="false">IF(F1604="","",IF(AND(H1604="",'Vade Sapması'!$D$3&gt;G1604),'Vade Sapması'!$D$3-G1604,0))</f>
        <v/>
      </c>
      <c r="P1604" s="33" t="str">
        <f aca="false">IF(F1604="","",F1604*J1604)</f>
        <v/>
      </c>
      <c r="Q1604" s="33" t="str">
        <f aca="false">IF(F1604="","",F1604*L1604)</f>
        <v/>
      </c>
      <c r="R1604" s="33" t="str">
        <f aca="false">IF(F1604="","",IF(H1604="",F1604,0))</f>
        <v/>
      </c>
      <c r="S1604" s="32" t="str">
        <f aca="false">IF(F1604="","",IF(N(O1604)=0,"",IF(O1604&lt;=30,"1-30",IF(O1604&lt;=60,"31-60",IF(O1604&lt;=90,"61-90","90+")))))</f>
        <v/>
      </c>
      <c r="T1604" s="32" t="str">
        <f aca="false">IF(F1604="","",IF(E1604="","Diğer",E1604))</f>
        <v/>
      </c>
      <c r="U1604" s="32" t="str">
        <f aca="false">IF(OR(F1604="",C1604=""),"",IF(COUNTIF($C$2:C1604,C1604)=1,MAX($U$1:U1603)+1,""))</f>
        <v/>
      </c>
    </row>
    <row r="1605" customFormat="false" ht="15" hidden="false" customHeight="false" outlineLevel="0" collapsed="false">
      <c r="A1605" s="34"/>
      <c r="B1605" s="9"/>
      <c r="C1605" s="34"/>
      <c r="D1605" s="34"/>
      <c r="E1605" s="34"/>
      <c r="F1605" s="35"/>
      <c r="G1605" s="9"/>
      <c r="H1605" s="9"/>
      <c r="I1605" s="34"/>
      <c r="J1605" s="30" t="str">
        <f aca="false">IF(F1605="","",G1605-B1605)</f>
        <v/>
      </c>
      <c r="K1605" s="31" t="str">
        <f aca="false">IF(F1605="","",IF(H1605&lt;&gt;"",H1605,MAX('Vade Sapması'!$D$3,G1605)))</f>
        <v/>
      </c>
      <c r="L1605" s="30" t="str">
        <f aca="false">IF(F1605="","",K1605-B1605)</f>
        <v/>
      </c>
      <c r="M1605" s="30" t="str">
        <f aca="false">IF(F1605="","",L1605-J1605)</f>
        <v/>
      </c>
      <c r="N1605" s="32" t="str">
        <f aca="false">IF(F1605="","",IF(H1605&lt;&gt;"","Kapandı",IF('Vade Sapması'!$D$3&gt;G1605,"Açık · vadesi geçti","Açık · vadesi gelmedi")))</f>
        <v/>
      </c>
      <c r="O1605" s="30" t="str">
        <f aca="false">IF(F1605="","",IF(AND(H1605="",'Vade Sapması'!$D$3&gt;G1605),'Vade Sapması'!$D$3-G1605,0))</f>
        <v/>
      </c>
      <c r="P1605" s="33" t="str">
        <f aca="false">IF(F1605="","",F1605*J1605)</f>
        <v/>
      </c>
      <c r="Q1605" s="33" t="str">
        <f aca="false">IF(F1605="","",F1605*L1605)</f>
        <v/>
      </c>
      <c r="R1605" s="33" t="str">
        <f aca="false">IF(F1605="","",IF(H1605="",F1605,0))</f>
        <v/>
      </c>
      <c r="S1605" s="32" t="str">
        <f aca="false">IF(F1605="","",IF(N(O1605)=0,"",IF(O1605&lt;=30,"1-30",IF(O1605&lt;=60,"31-60",IF(O1605&lt;=90,"61-90","90+")))))</f>
        <v/>
      </c>
      <c r="T1605" s="32" t="str">
        <f aca="false">IF(F1605="","",IF(E1605="","Diğer",E1605))</f>
        <v/>
      </c>
      <c r="U1605" s="32" t="str">
        <f aca="false">IF(OR(F1605="",C1605=""),"",IF(COUNTIF($C$2:C1605,C1605)=1,MAX($U$1:U1604)+1,""))</f>
        <v/>
      </c>
    </row>
    <row r="1606" customFormat="false" ht="15" hidden="false" customHeight="false" outlineLevel="0" collapsed="false">
      <c r="A1606" s="34"/>
      <c r="B1606" s="9"/>
      <c r="C1606" s="34"/>
      <c r="D1606" s="34"/>
      <c r="E1606" s="34"/>
      <c r="F1606" s="35"/>
      <c r="G1606" s="9"/>
      <c r="H1606" s="9"/>
      <c r="I1606" s="34"/>
      <c r="J1606" s="30" t="str">
        <f aca="false">IF(F1606="","",G1606-B1606)</f>
        <v/>
      </c>
      <c r="K1606" s="31" t="str">
        <f aca="false">IF(F1606="","",IF(H1606&lt;&gt;"",H1606,MAX('Vade Sapması'!$D$3,G1606)))</f>
        <v/>
      </c>
      <c r="L1606" s="30" t="str">
        <f aca="false">IF(F1606="","",K1606-B1606)</f>
        <v/>
      </c>
      <c r="M1606" s="30" t="str">
        <f aca="false">IF(F1606="","",L1606-J1606)</f>
        <v/>
      </c>
      <c r="N1606" s="32" t="str">
        <f aca="false">IF(F1606="","",IF(H1606&lt;&gt;"","Kapandı",IF('Vade Sapması'!$D$3&gt;G1606,"Açık · vadesi geçti","Açık · vadesi gelmedi")))</f>
        <v/>
      </c>
      <c r="O1606" s="30" t="str">
        <f aca="false">IF(F1606="","",IF(AND(H1606="",'Vade Sapması'!$D$3&gt;G1606),'Vade Sapması'!$D$3-G1606,0))</f>
        <v/>
      </c>
      <c r="P1606" s="33" t="str">
        <f aca="false">IF(F1606="","",F1606*J1606)</f>
        <v/>
      </c>
      <c r="Q1606" s="33" t="str">
        <f aca="false">IF(F1606="","",F1606*L1606)</f>
        <v/>
      </c>
      <c r="R1606" s="33" t="str">
        <f aca="false">IF(F1606="","",IF(H1606="",F1606,0))</f>
        <v/>
      </c>
      <c r="S1606" s="32" t="str">
        <f aca="false">IF(F1606="","",IF(N(O1606)=0,"",IF(O1606&lt;=30,"1-30",IF(O1606&lt;=60,"31-60",IF(O1606&lt;=90,"61-90","90+")))))</f>
        <v/>
      </c>
      <c r="T1606" s="32" t="str">
        <f aca="false">IF(F1606="","",IF(E1606="","Diğer",E1606))</f>
        <v/>
      </c>
      <c r="U1606" s="32" t="str">
        <f aca="false">IF(OR(F1606="",C1606=""),"",IF(COUNTIF($C$2:C1606,C1606)=1,MAX($U$1:U1605)+1,""))</f>
        <v/>
      </c>
    </row>
    <row r="1607" customFormat="false" ht="15" hidden="false" customHeight="false" outlineLevel="0" collapsed="false">
      <c r="A1607" s="34"/>
      <c r="B1607" s="9"/>
      <c r="C1607" s="34"/>
      <c r="D1607" s="34"/>
      <c r="E1607" s="34"/>
      <c r="F1607" s="35"/>
      <c r="G1607" s="9"/>
      <c r="H1607" s="9"/>
      <c r="I1607" s="34"/>
      <c r="J1607" s="30" t="str">
        <f aca="false">IF(F1607="","",G1607-B1607)</f>
        <v/>
      </c>
      <c r="K1607" s="31" t="str">
        <f aca="false">IF(F1607="","",IF(H1607&lt;&gt;"",H1607,MAX('Vade Sapması'!$D$3,G1607)))</f>
        <v/>
      </c>
      <c r="L1607" s="30" t="str">
        <f aca="false">IF(F1607="","",K1607-B1607)</f>
        <v/>
      </c>
      <c r="M1607" s="30" t="str">
        <f aca="false">IF(F1607="","",L1607-J1607)</f>
        <v/>
      </c>
      <c r="N1607" s="32" t="str">
        <f aca="false">IF(F1607="","",IF(H1607&lt;&gt;"","Kapandı",IF('Vade Sapması'!$D$3&gt;G1607,"Açık · vadesi geçti","Açık · vadesi gelmedi")))</f>
        <v/>
      </c>
      <c r="O1607" s="30" t="str">
        <f aca="false">IF(F1607="","",IF(AND(H1607="",'Vade Sapması'!$D$3&gt;G1607),'Vade Sapması'!$D$3-G1607,0))</f>
        <v/>
      </c>
      <c r="P1607" s="33" t="str">
        <f aca="false">IF(F1607="","",F1607*J1607)</f>
        <v/>
      </c>
      <c r="Q1607" s="33" t="str">
        <f aca="false">IF(F1607="","",F1607*L1607)</f>
        <v/>
      </c>
      <c r="R1607" s="33" t="str">
        <f aca="false">IF(F1607="","",IF(H1607="",F1607,0))</f>
        <v/>
      </c>
      <c r="S1607" s="32" t="str">
        <f aca="false">IF(F1607="","",IF(N(O1607)=0,"",IF(O1607&lt;=30,"1-30",IF(O1607&lt;=60,"31-60",IF(O1607&lt;=90,"61-90","90+")))))</f>
        <v/>
      </c>
      <c r="T1607" s="32" t="str">
        <f aca="false">IF(F1607="","",IF(E1607="","Diğer",E1607))</f>
        <v/>
      </c>
      <c r="U1607" s="32" t="str">
        <f aca="false">IF(OR(F1607="",C1607=""),"",IF(COUNTIF($C$2:C1607,C1607)=1,MAX($U$1:U1606)+1,""))</f>
        <v/>
      </c>
    </row>
    <row r="1608" customFormat="false" ht="15" hidden="false" customHeight="false" outlineLevel="0" collapsed="false">
      <c r="A1608" s="34"/>
      <c r="B1608" s="9"/>
      <c r="C1608" s="34"/>
      <c r="D1608" s="34"/>
      <c r="E1608" s="34"/>
      <c r="F1608" s="35"/>
      <c r="G1608" s="9"/>
      <c r="H1608" s="9"/>
      <c r="I1608" s="34"/>
      <c r="J1608" s="30" t="str">
        <f aca="false">IF(F1608="","",G1608-B1608)</f>
        <v/>
      </c>
      <c r="K1608" s="31" t="str">
        <f aca="false">IF(F1608="","",IF(H1608&lt;&gt;"",H1608,MAX('Vade Sapması'!$D$3,G1608)))</f>
        <v/>
      </c>
      <c r="L1608" s="30" t="str">
        <f aca="false">IF(F1608="","",K1608-B1608)</f>
        <v/>
      </c>
      <c r="M1608" s="30" t="str">
        <f aca="false">IF(F1608="","",L1608-J1608)</f>
        <v/>
      </c>
      <c r="N1608" s="32" t="str">
        <f aca="false">IF(F1608="","",IF(H1608&lt;&gt;"","Kapandı",IF('Vade Sapması'!$D$3&gt;G1608,"Açık · vadesi geçti","Açık · vadesi gelmedi")))</f>
        <v/>
      </c>
      <c r="O1608" s="30" t="str">
        <f aca="false">IF(F1608="","",IF(AND(H1608="",'Vade Sapması'!$D$3&gt;G1608),'Vade Sapması'!$D$3-G1608,0))</f>
        <v/>
      </c>
      <c r="P1608" s="33" t="str">
        <f aca="false">IF(F1608="","",F1608*J1608)</f>
        <v/>
      </c>
      <c r="Q1608" s="33" t="str">
        <f aca="false">IF(F1608="","",F1608*L1608)</f>
        <v/>
      </c>
      <c r="R1608" s="33" t="str">
        <f aca="false">IF(F1608="","",IF(H1608="",F1608,0))</f>
        <v/>
      </c>
      <c r="S1608" s="32" t="str">
        <f aca="false">IF(F1608="","",IF(N(O1608)=0,"",IF(O1608&lt;=30,"1-30",IF(O1608&lt;=60,"31-60",IF(O1608&lt;=90,"61-90","90+")))))</f>
        <v/>
      </c>
      <c r="T1608" s="32" t="str">
        <f aca="false">IF(F1608="","",IF(E1608="","Diğer",E1608))</f>
        <v/>
      </c>
      <c r="U1608" s="32" t="str">
        <f aca="false">IF(OR(F1608="",C1608=""),"",IF(COUNTIF($C$2:C1608,C1608)=1,MAX($U$1:U1607)+1,""))</f>
        <v/>
      </c>
    </row>
    <row r="1609" customFormat="false" ht="15" hidden="false" customHeight="false" outlineLevel="0" collapsed="false">
      <c r="A1609" s="34"/>
      <c r="B1609" s="9"/>
      <c r="C1609" s="34"/>
      <c r="D1609" s="34"/>
      <c r="E1609" s="34"/>
      <c r="F1609" s="35"/>
      <c r="G1609" s="9"/>
      <c r="H1609" s="9"/>
      <c r="I1609" s="34"/>
      <c r="J1609" s="30" t="str">
        <f aca="false">IF(F1609="","",G1609-B1609)</f>
        <v/>
      </c>
      <c r="K1609" s="31" t="str">
        <f aca="false">IF(F1609="","",IF(H1609&lt;&gt;"",H1609,MAX('Vade Sapması'!$D$3,G1609)))</f>
        <v/>
      </c>
      <c r="L1609" s="30" t="str">
        <f aca="false">IF(F1609="","",K1609-B1609)</f>
        <v/>
      </c>
      <c r="M1609" s="30" t="str">
        <f aca="false">IF(F1609="","",L1609-J1609)</f>
        <v/>
      </c>
      <c r="N1609" s="32" t="str">
        <f aca="false">IF(F1609="","",IF(H1609&lt;&gt;"","Kapandı",IF('Vade Sapması'!$D$3&gt;G1609,"Açık · vadesi geçti","Açık · vadesi gelmedi")))</f>
        <v/>
      </c>
      <c r="O1609" s="30" t="str">
        <f aca="false">IF(F1609="","",IF(AND(H1609="",'Vade Sapması'!$D$3&gt;G1609),'Vade Sapması'!$D$3-G1609,0))</f>
        <v/>
      </c>
      <c r="P1609" s="33" t="str">
        <f aca="false">IF(F1609="","",F1609*J1609)</f>
        <v/>
      </c>
      <c r="Q1609" s="33" t="str">
        <f aca="false">IF(F1609="","",F1609*L1609)</f>
        <v/>
      </c>
      <c r="R1609" s="33" t="str">
        <f aca="false">IF(F1609="","",IF(H1609="",F1609,0))</f>
        <v/>
      </c>
      <c r="S1609" s="32" t="str">
        <f aca="false">IF(F1609="","",IF(N(O1609)=0,"",IF(O1609&lt;=30,"1-30",IF(O1609&lt;=60,"31-60",IF(O1609&lt;=90,"61-90","90+")))))</f>
        <v/>
      </c>
      <c r="T1609" s="32" t="str">
        <f aca="false">IF(F1609="","",IF(E1609="","Diğer",E1609))</f>
        <v/>
      </c>
      <c r="U1609" s="32" t="str">
        <f aca="false">IF(OR(F1609="",C1609=""),"",IF(COUNTIF($C$2:C1609,C1609)=1,MAX($U$1:U1608)+1,""))</f>
        <v/>
      </c>
    </row>
    <row r="1610" customFormat="false" ht="15" hidden="false" customHeight="false" outlineLevel="0" collapsed="false">
      <c r="A1610" s="34"/>
      <c r="B1610" s="9"/>
      <c r="C1610" s="34"/>
      <c r="D1610" s="34"/>
      <c r="E1610" s="34"/>
      <c r="F1610" s="35"/>
      <c r="G1610" s="9"/>
      <c r="H1610" s="9"/>
      <c r="I1610" s="34"/>
      <c r="J1610" s="30" t="str">
        <f aca="false">IF(F1610="","",G1610-B1610)</f>
        <v/>
      </c>
      <c r="K1610" s="31" t="str">
        <f aca="false">IF(F1610="","",IF(H1610&lt;&gt;"",H1610,MAX('Vade Sapması'!$D$3,G1610)))</f>
        <v/>
      </c>
      <c r="L1610" s="30" t="str">
        <f aca="false">IF(F1610="","",K1610-B1610)</f>
        <v/>
      </c>
      <c r="M1610" s="30" t="str">
        <f aca="false">IF(F1610="","",L1610-J1610)</f>
        <v/>
      </c>
      <c r="N1610" s="32" t="str">
        <f aca="false">IF(F1610="","",IF(H1610&lt;&gt;"","Kapandı",IF('Vade Sapması'!$D$3&gt;G1610,"Açık · vadesi geçti","Açık · vadesi gelmedi")))</f>
        <v/>
      </c>
      <c r="O1610" s="30" t="str">
        <f aca="false">IF(F1610="","",IF(AND(H1610="",'Vade Sapması'!$D$3&gt;G1610),'Vade Sapması'!$D$3-G1610,0))</f>
        <v/>
      </c>
      <c r="P1610" s="33" t="str">
        <f aca="false">IF(F1610="","",F1610*J1610)</f>
        <v/>
      </c>
      <c r="Q1610" s="33" t="str">
        <f aca="false">IF(F1610="","",F1610*L1610)</f>
        <v/>
      </c>
      <c r="R1610" s="33" t="str">
        <f aca="false">IF(F1610="","",IF(H1610="",F1610,0))</f>
        <v/>
      </c>
      <c r="S1610" s="32" t="str">
        <f aca="false">IF(F1610="","",IF(N(O1610)=0,"",IF(O1610&lt;=30,"1-30",IF(O1610&lt;=60,"31-60",IF(O1610&lt;=90,"61-90","90+")))))</f>
        <v/>
      </c>
      <c r="T1610" s="32" t="str">
        <f aca="false">IF(F1610="","",IF(E1610="","Diğer",E1610))</f>
        <v/>
      </c>
      <c r="U1610" s="32" t="str">
        <f aca="false">IF(OR(F1610="",C1610=""),"",IF(COUNTIF($C$2:C1610,C1610)=1,MAX($U$1:U1609)+1,""))</f>
        <v/>
      </c>
    </row>
    <row r="1611" customFormat="false" ht="15" hidden="false" customHeight="false" outlineLevel="0" collapsed="false">
      <c r="A1611" s="34"/>
      <c r="B1611" s="9"/>
      <c r="C1611" s="34"/>
      <c r="D1611" s="34"/>
      <c r="E1611" s="34"/>
      <c r="F1611" s="35"/>
      <c r="G1611" s="9"/>
      <c r="H1611" s="9"/>
      <c r="I1611" s="34"/>
      <c r="J1611" s="30" t="str">
        <f aca="false">IF(F1611="","",G1611-B1611)</f>
        <v/>
      </c>
      <c r="K1611" s="31" t="str">
        <f aca="false">IF(F1611="","",IF(H1611&lt;&gt;"",H1611,MAX('Vade Sapması'!$D$3,G1611)))</f>
        <v/>
      </c>
      <c r="L1611" s="30" t="str">
        <f aca="false">IF(F1611="","",K1611-B1611)</f>
        <v/>
      </c>
      <c r="M1611" s="30" t="str">
        <f aca="false">IF(F1611="","",L1611-J1611)</f>
        <v/>
      </c>
      <c r="N1611" s="32" t="str">
        <f aca="false">IF(F1611="","",IF(H1611&lt;&gt;"","Kapandı",IF('Vade Sapması'!$D$3&gt;G1611,"Açık · vadesi geçti","Açık · vadesi gelmedi")))</f>
        <v/>
      </c>
      <c r="O1611" s="30" t="str">
        <f aca="false">IF(F1611="","",IF(AND(H1611="",'Vade Sapması'!$D$3&gt;G1611),'Vade Sapması'!$D$3-G1611,0))</f>
        <v/>
      </c>
      <c r="P1611" s="33" t="str">
        <f aca="false">IF(F1611="","",F1611*J1611)</f>
        <v/>
      </c>
      <c r="Q1611" s="33" t="str">
        <f aca="false">IF(F1611="","",F1611*L1611)</f>
        <v/>
      </c>
      <c r="R1611" s="33" t="str">
        <f aca="false">IF(F1611="","",IF(H1611="",F1611,0))</f>
        <v/>
      </c>
      <c r="S1611" s="32" t="str">
        <f aca="false">IF(F1611="","",IF(N(O1611)=0,"",IF(O1611&lt;=30,"1-30",IF(O1611&lt;=60,"31-60",IF(O1611&lt;=90,"61-90","90+")))))</f>
        <v/>
      </c>
      <c r="T1611" s="32" t="str">
        <f aca="false">IF(F1611="","",IF(E1611="","Diğer",E1611))</f>
        <v/>
      </c>
      <c r="U1611" s="32" t="str">
        <f aca="false">IF(OR(F1611="",C1611=""),"",IF(COUNTIF($C$2:C1611,C1611)=1,MAX($U$1:U1610)+1,""))</f>
        <v/>
      </c>
    </row>
    <row r="1612" customFormat="false" ht="15" hidden="false" customHeight="false" outlineLevel="0" collapsed="false">
      <c r="A1612" s="34"/>
      <c r="B1612" s="9"/>
      <c r="C1612" s="34"/>
      <c r="D1612" s="34"/>
      <c r="E1612" s="34"/>
      <c r="F1612" s="35"/>
      <c r="G1612" s="9"/>
      <c r="H1612" s="9"/>
      <c r="I1612" s="34"/>
      <c r="J1612" s="30" t="str">
        <f aca="false">IF(F1612="","",G1612-B1612)</f>
        <v/>
      </c>
      <c r="K1612" s="31" t="str">
        <f aca="false">IF(F1612="","",IF(H1612&lt;&gt;"",H1612,MAX('Vade Sapması'!$D$3,G1612)))</f>
        <v/>
      </c>
      <c r="L1612" s="30" t="str">
        <f aca="false">IF(F1612="","",K1612-B1612)</f>
        <v/>
      </c>
      <c r="M1612" s="30" t="str">
        <f aca="false">IF(F1612="","",L1612-J1612)</f>
        <v/>
      </c>
      <c r="N1612" s="32" t="str">
        <f aca="false">IF(F1612="","",IF(H1612&lt;&gt;"","Kapandı",IF('Vade Sapması'!$D$3&gt;G1612,"Açık · vadesi geçti","Açık · vadesi gelmedi")))</f>
        <v/>
      </c>
      <c r="O1612" s="30" t="str">
        <f aca="false">IF(F1612="","",IF(AND(H1612="",'Vade Sapması'!$D$3&gt;G1612),'Vade Sapması'!$D$3-G1612,0))</f>
        <v/>
      </c>
      <c r="P1612" s="33" t="str">
        <f aca="false">IF(F1612="","",F1612*J1612)</f>
        <v/>
      </c>
      <c r="Q1612" s="33" t="str">
        <f aca="false">IF(F1612="","",F1612*L1612)</f>
        <v/>
      </c>
      <c r="R1612" s="33" t="str">
        <f aca="false">IF(F1612="","",IF(H1612="",F1612,0))</f>
        <v/>
      </c>
      <c r="S1612" s="32" t="str">
        <f aca="false">IF(F1612="","",IF(N(O1612)=0,"",IF(O1612&lt;=30,"1-30",IF(O1612&lt;=60,"31-60",IF(O1612&lt;=90,"61-90","90+")))))</f>
        <v/>
      </c>
      <c r="T1612" s="32" t="str">
        <f aca="false">IF(F1612="","",IF(E1612="","Diğer",E1612))</f>
        <v/>
      </c>
      <c r="U1612" s="32" t="str">
        <f aca="false">IF(OR(F1612="",C1612=""),"",IF(COUNTIF($C$2:C1612,C1612)=1,MAX($U$1:U1611)+1,""))</f>
        <v/>
      </c>
    </row>
    <row r="1613" customFormat="false" ht="15" hidden="false" customHeight="false" outlineLevel="0" collapsed="false">
      <c r="A1613" s="34"/>
      <c r="B1613" s="9"/>
      <c r="C1613" s="34"/>
      <c r="D1613" s="34"/>
      <c r="E1613" s="34"/>
      <c r="F1613" s="35"/>
      <c r="G1613" s="9"/>
      <c r="H1613" s="9"/>
      <c r="I1613" s="34"/>
      <c r="J1613" s="30" t="str">
        <f aca="false">IF(F1613="","",G1613-B1613)</f>
        <v/>
      </c>
      <c r="K1613" s="31" t="str">
        <f aca="false">IF(F1613="","",IF(H1613&lt;&gt;"",H1613,MAX('Vade Sapması'!$D$3,G1613)))</f>
        <v/>
      </c>
      <c r="L1613" s="30" t="str">
        <f aca="false">IF(F1613="","",K1613-B1613)</f>
        <v/>
      </c>
      <c r="M1613" s="30" t="str">
        <f aca="false">IF(F1613="","",L1613-J1613)</f>
        <v/>
      </c>
      <c r="N1613" s="32" t="str">
        <f aca="false">IF(F1613="","",IF(H1613&lt;&gt;"","Kapandı",IF('Vade Sapması'!$D$3&gt;G1613,"Açık · vadesi geçti","Açık · vadesi gelmedi")))</f>
        <v/>
      </c>
      <c r="O1613" s="30" t="str">
        <f aca="false">IF(F1613="","",IF(AND(H1613="",'Vade Sapması'!$D$3&gt;G1613),'Vade Sapması'!$D$3-G1613,0))</f>
        <v/>
      </c>
      <c r="P1613" s="33" t="str">
        <f aca="false">IF(F1613="","",F1613*J1613)</f>
        <v/>
      </c>
      <c r="Q1613" s="33" t="str">
        <f aca="false">IF(F1613="","",F1613*L1613)</f>
        <v/>
      </c>
      <c r="R1613" s="33" t="str">
        <f aca="false">IF(F1613="","",IF(H1613="",F1613,0))</f>
        <v/>
      </c>
      <c r="S1613" s="32" t="str">
        <f aca="false">IF(F1613="","",IF(N(O1613)=0,"",IF(O1613&lt;=30,"1-30",IF(O1613&lt;=60,"31-60",IF(O1613&lt;=90,"61-90","90+")))))</f>
        <v/>
      </c>
      <c r="T1613" s="32" t="str">
        <f aca="false">IF(F1613="","",IF(E1613="","Diğer",E1613))</f>
        <v/>
      </c>
      <c r="U1613" s="32" t="str">
        <f aca="false">IF(OR(F1613="",C1613=""),"",IF(COUNTIF($C$2:C1613,C1613)=1,MAX($U$1:U1612)+1,""))</f>
        <v/>
      </c>
    </row>
    <row r="1614" customFormat="false" ht="15" hidden="false" customHeight="false" outlineLevel="0" collapsed="false">
      <c r="A1614" s="34"/>
      <c r="B1614" s="9"/>
      <c r="C1614" s="34"/>
      <c r="D1614" s="34"/>
      <c r="E1614" s="34"/>
      <c r="F1614" s="35"/>
      <c r="G1614" s="9"/>
      <c r="H1614" s="9"/>
      <c r="I1614" s="34"/>
      <c r="J1614" s="30" t="str">
        <f aca="false">IF(F1614="","",G1614-B1614)</f>
        <v/>
      </c>
      <c r="K1614" s="31" t="str">
        <f aca="false">IF(F1614="","",IF(H1614&lt;&gt;"",H1614,MAX('Vade Sapması'!$D$3,G1614)))</f>
        <v/>
      </c>
      <c r="L1614" s="30" t="str">
        <f aca="false">IF(F1614="","",K1614-B1614)</f>
        <v/>
      </c>
      <c r="M1614" s="30" t="str">
        <f aca="false">IF(F1614="","",L1614-J1614)</f>
        <v/>
      </c>
      <c r="N1614" s="32" t="str">
        <f aca="false">IF(F1614="","",IF(H1614&lt;&gt;"","Kapandı",IF('Vade Sapması'!$D$3&gt;G1614,"Açık · vadesi geçti","Açık · vadesi gelmedi")))</f>
        <v/>
      </c>
      <c r="O1614" s="30" t="str">
        <f aca="false">IF(F1614="","",IF(AND(H1614="",'Vade Sapması'!$D$3&gt;G1614),'Vade Sapması'!$D$3-G1614,0))</f>
        <v/>
      </c>
      <c r="P1614" s="33" t="str">
        <f aca="false">IF(F1614="","",F1614*J1614)</f>
        <v/>
      </c>
      <c r="Q1614" s="33" t="str">
        <f aca="false">IF(F1614="","",F1614*L1614)</f>
        <v/>
      </c>
      <c r="R1614" s="33" t="str">
        <f aca="false">IF(F1614="","",IF(H1614="",F1614,0))</f>
        <v/>
      </c>
      <c r="S1614" s="32" t="str">
        <f aca="false">IF(F1614="","",IF(N(O1614)=0,"",IF(O1614&lt;=30,"1-30",IF(O1614&lt;=60,"31-60",IF(O1614&lt;=90,"61-90","90+")))))</f>
        <v/>
      </c>
      <c r="T1614" s="32" t="str">
        <f aca="false">IF(F1614="","",IF(E1614="","Diğer",E1614))</f>
        <v/>
      </c>
      <c r="U1614" s="32" t="str">
        <f aca="false">IF(OR(F1614="",C1614=""),"",IF(COUNTIF($C$2:C1614,C1614)=1,MAX($U$1:U1613)+1,""))</f>
        <v/>
      </c>
    </row>
    <row r="1615" customFormat="false" ht="15" hidden="false" customHeight="false" outlineLevel="0" collapsed="false">
      <c r="A1615" s="34"/>
      <c r="B1615" s="9"/>
      <c r="C1615" s="34"/>
      <c r="D1615" s="34"/>
      <c r="E1615" s="34"/>
      <c r="F1615" s="35"/>
      <c r="G1615" s="9"/>
      <c r="H1615" s="9"/>
      <c r="I1615" s="34"/>
      <c r="J1615" s="30" t="str">
        <f aca="false">IF(F1615="","",G1615-B1615)</f>
        <v/>
      </c>
      <c r="K1615" s="31" t="str">
        <f aca="false">IF(F1615="","",IF(H1615&lt;&gt;"",H1615,MAX('Vade Sapması'!$D$3,G1615)))</f>
        <v/>
      </c>
      <c r="L1615" s="30" t="str">
        <f aca="false">IF(F1615="","",K1615-B1615)</f>
        <v/>
      </c>
      <c r="M1615" s="30" t="str">
        <f aca="false">IF(F1615="","",L1615-J1615)</f>
        <v/>
      </c>
      <c r="N1615" s="32" t="str">
        <f aca="false">IF(F1615="","",IF(H1615&lt;&gt;"","Kapandı",IF('Vade Sapması'!$D$3&gt;G1615,"Açık · vadesi geçti","Açık · vadesi gelmedi")))</f>
        <v/>
      </c>
      <c r="O1615" s="30" t="str">
        <f aca="false">IF(F1615="","",IF(AND(H1615="",'Vade Sapması'!$D$3&gt;G1615),'Vade Sapması'!$D$3-G1615,0))</f>
        <v/>
      </c>
      <c r="P1615" s="33" t="str">
        <f aca="false">IF(F1615="","",F1615*J1615)</f>
        <v/>
      </c>
      <c r="Q1615" s="33" t="str">
        <f aca="false">IF(F1615="","",F1615*L1615)</f>
        <v/>
      </c>
      <c r="R1615" s="33" t="str">
        <f aca="false">IF(F1615="","",IF(H1615="",F1615,0))</f>
        <v/>
      </c>
      <c r="S1615" s="32" t="str">
        <f aca="false">IF(F1615="","",IF(N(O1615)=0,"",IF(O1615&lt;=30,"1-30",IF(O1615&lt;=60,"31-60",IF(O1615&lt;=90,"61-90","90+")))))</f>
        <v/>
      </c>
      <c r="T1615" s="32" t="str">
        <f aca="false">IF(F1615="","",IF(E1615="","Diğer",E1615))</f>
        <v/>
      </c>
      <c r="U1615" s="32" t="str">
        <f aca="false">IF(OR(F1615="",C1615=""),"",IF(COUNTIF($C$2:C1615,C1615)=1,MAX($U$1:U1614)+1,""))</f>
        <v/>
      </c>
    </row>
    <row r="1616" customFormat="false" ht="15" hidden="false" customHeight="false" outlineLevel="0" collapsed="false">
      <c r="A1616" s="34"/>
      <c r="B1616" s="9"/>
      <c r="C1616" s="34"/>
      <c r="D1616" s="34"/>
      <c r="E1616" s="34"/>
      <c r="F1616" s="35"/>
      <c r="G1616" s="9"/>
      <c r="H1616" s="9"/>
      <c r="I1616" s="34"/>
      <c r="J1616" s="30" t="str">
        <f aca="false">IF(F1616="","",G1616-B1616)</f>
        <v/>
      </c>
      <c r="K1616" s="31" t="str">
        <f aca="false">IF(F1616="","",IF(H1616&lt;&gt;"",H1616,MAX('Vade Sapması'!$D$3,G1616)))</f>
        <v/>
      </c>
      <c r="L1616" s="30" t="str">
        <f aca="false">IF(F1616="","",K1616-B1616)</f>
        <v/>
      </c>
      <c r="M1616" s="30" t="str">
        <f aca="false">IF(F1616="","",L1616-J1616)</f>
        <v/>
      </c>
      <c r="N1616" s="32" t="str">
        <f aca="false">IF(F1616="","",IF(H1616&lt;&gt;"","Kapandı",IF('Vade Sapması'!$D$3&gt;G1616,"Açık · vadesi geçti","Açık · vadesi gelmedi")))</f>
        <v/>
      </c>
      <c r="O1616" s="30" t="str">
        <f aca="false">IF(F1616="","",IF(AND(H1616="",'Vade Sapması'!$D$3&gt;G1616),'Vade Sapması'!$D$3-G1616,0))</f>
        <v/>
      </c>
      <c r="P1616" s="33" t="str">
        <f aca="false">IF(F1616="","",F1616*J1616)</f>
        <v/>
      </c>
      <c r="Q1616" s="33" t="str">
        <f aca="false">IF(F1616="","",F1616*L1616)</f>
        <v/>
      </c>
      <c r="R1616" s="33" t="str">
        <f aca="false">IF(F1616="","",IF(H1616="",F1616,0))</f>
        <v/>
      </c>
      <c r="S1616" s="32" t="str">
        <f aca="false">IF(F1616="","",IF(N(O1616)=0,"",IF(O1616&lt;=30,"1-30",IF(O1616&lt;=60,"31-60",IF(O1616&lt;=90,"61-90","90+")))))</f>
        <v/>
      </c>
      <c r="T1616" s="32" t="str">
        <f aca="false">IF(F1616="","",IF(E1616="","Diğer",E1616))</f>
        <v/>
      </c>
      <c r="U1616" s="32" t="str">
        <f aca="false">IF(OR(F1616="",C1616=""),"",IF(COUNTIF($C$2:C1616,C1616)=1,MAX($U$1:U1615)+1,""))</f>
        <v/>
      </c>
    </row>
    <row r="1617" customFormat="false" ht="15" hidden="false" customHeight="false" outlineLevel="0" collapsed="false">
      <c r="A1617" s="34"/>
      <c r="B1617" s="9"/>
      <c r="C1617" s="34"/>
      <c r="D1617" s="34"/>
      <c r="E1617" s="34"/>
      <c r="F1617" s="35"/>
      <c r="G1617" s="9"/>
      <c r="H1617" s="9"/>
      <c r="I1617" s="34"/>
      <c r="J1617" s="30" t="str">
        <f aca="false">IF(F1617="","",G1617-B1617)</f>
        <v/>
      </c>
      <c r="K1617" s="31" t="str">
        <f aca="false">IF(F1617="","",IF(H1617&lt;&gt;"",H1617,MAX('Vade Sapması'!$D$3,G1617)))</f>
        <v/>
      </c>
      <c r="L1617" s="30" t="str">
        <f aca="false">IF(F1617="","",K1617-B1617)</f>
        <v/>
      </c>
      <c r="M1617" s="30" t="str">
        <f aca="false">IF(F1617="","",L1617-J1617)</f>
        <v/>
      </c>
      <c r="N1617" s="32" t="str">
        <f aca="false">IF(F1617="","",IF(H1617&lt;&gt;"","Kapandı",IF('Vade Sapması'!$D$3&gt;G1617,"Açık · vadesi geçti","Açık · vadesi gelmedi")))</f>
        <v/>
      </c>
      <c r="O1617" s="30" t="str">
        <f aca="false">IF(F1617="","",IF(AND(H1617="",'Vade Sapması'!$D$3&gt;G1617),'Vade Sapması'!$D$3-G1617,0))</f>
        <v/>
      </c>
      <c r="P1617" s="33" t="str">
        <f aca="false">IF(F1617="","",F1617*J1617)</f>
        <v/>
      </c>
      <c r="Q1617" s="33" t="str">
        <f aca="false">IF(F1617="","",F1617*L1617)</f>
        <v/>
      </c>
      <c r="R1617" s="33" t="str">
        <f aca="false">IF(F1617="","",IF(H1617="",F1617,0))</f>
        <v/>
      </c>
      <c r="S1617" s="32" t="str">
        <f aca="false">IF(F1617="","",IF(N(O1617)=0,"",IF(O1617&lt;=30,"1-30",IF(O1617&lt;=60,"31-60",IF(O1617&lt;=90,"61-90","90+")))))</f>
        <v/>
      </c>
      <c r="T1617" s="32" t="str">
        <f aca="false">IF(F1617="","",IF(E1617="","Diğer",E1617))</f>
        <v/>
      </c>
      <c r="U1617" s="32" t="str">
        <f aca="false">IF(OR(F1617="",C1617=""),"",IF(COUNTIF($C$2:C1617,C1617)=1,MAX($U$1:U1616)+1,""))</f>
        <v/>
      </c>
    </row>
    <row r="1618" customFormat="false" ht="15" hidden="false" customHeight="false" outlineLevel="0" collapsed="false">
      <c r="A1618" s="34"/>
      <c r="B1618" s="9"/>
      <c r="C1618" s="34"/>
      <c r="D1618" s="34"/>
      <c r="E1618" s="34"/>
      <c r="F1618" s="35"/>
      <c r="G1618" s="9"/>
      <c r="H1618" s="9"/>
      <c r="I1618" s="34"/>
      <c r="J1618" s="30" t="str">
        <f aca="false">IF(F1618="","",G1618-B1618)</f>
        <v/>
      </c>
      <c r="K1618" s="31" t="str">
        <f aca="false">IF(F1618="","",IF(H1618&lt;&gt;"",H1618,MAX('Vade Sapması'!$D$3,G1618)))</f>
        <v/>
      </c>
      <c r="L1618" s="30" t="str">
        <f aca="false">IF(F1618="","",K1618-B1618)</f>
        <v/>
      </c>
      <c r="M1618" s="30" t="str">
        <f aca="false">IF(F1618="","",L1618-J1618)</f>
        <v/>
      </c>
      <c r="N1618" s="32" t="str">
        <f aca="false">IF(F1618="","",IF(H1618&lt;&gt;"","Kapandı",IF('Vade Sapması'!$D$3&gt;G1618,"Açık · vadesi geçti","Açık · vadesi gelmedi")))</f>
        <v/>
      </c>
      <c r="O1618" s="30" t="str">
        <f aca="false">IF(F1618="","",IF(AND(H1618="",'Vade Sapması'!$D$3&gt;G1618),'Vade Sapması'!$D$3-G1618,0))</f>
        <v/>
      </c>
      <c r="P1618" s="33" t="str">
        <f aca="false">IF(F1618="","",F1618*J1618)</f>
        <v/>
      </c>
      <c r="Q1618" s="33" t="str">
        <f aca="false">IF(F1618="","",F1618*L1618)</f>
        <v/>
      </c>
      <c r="R1618" s="33" t="str">
        <f aca="false">IF(F1618="","",IF(H1618="",F1618,0))</f>
        <v/>
      </c>
      <c r="S1618" s="32" t="str">
        <f aca="false">IF(F1618="","",IF(N(O1618)=0,"",IF(O1618&lt;=30,"1-30",IF(O1618&lt;=60,"31-60",IF(O1618&lt;=90,"61-90","90+")))))</f>
        <v/>
      </c>
      <c r="T1618" s="32" t="str">
        <f aca="false">IF(F1618="","",IF(E1618="","Diğer",E1618))</f>
        <v/>
      </c>
      <c r="U1618" s="32" t="str">
        <f aca="false">IF(OR(F1618="",C1618=""),"",IF(COUNTIF($C$2:C1618,C1618)=1,MAX($U$1:U1617)+1,""))</f>
        <v/>
      </c>
    </row>
    <row r="1619" customFormat="false" ht="15" hidden="false" customHeight="false" outlineLevel="0" collapsed="false">
      <c r="A1619" s="34"/>
      <c r="B1619" s="9"/>
      <c r="C1619" s="34"/>
      <c r="D1619" s="34"/>
      <c r="E1619" s="34"/>
      <c r="F1619" s="35"/>
      <c r="G1619" s="9"/>
      <c r="H1619" s="9"/>
      <c r="I1619" s="34"/>
      <c r="J1619" s="30" t="str">
        <f aca="false">IF(F1619="","",G1619-B1619)</f>
        <v/>
      </c>
      <c r="K1619" s="31" t="str">
        <f aca="false">IF(F1619="","",IF(H1619&lt;&gt;"",H1619,MAX('Vade Sapması'!$D$3,G1619)))</f>
        <v/>
      </c>
      <c r="L1619" s="30" t="str">
        <f aca="false">IF(F1619="","",K1619-B1619)</f>
        <v/>
      </c>
      <c r="M1619" s="30" t="str">
        <f aca="false">IF(F1619="","",L1619-J1619)</f>
        <v/>
      </c>
      <c r="N1619" s="32" t="str">
        <f aca="false">IF(F1619="","",IF(H1619&lt;&gt;"","Kapandı",IF('Vade Sapması'!$D$3&gt;G1619,"Açık · vadesi geçti","Açık · vadesi gelmedi")))</f>
        <v/>
      </c>
      <c r="O1619" s="30" t="str">
        <f aca="false">IF(F1619="","",IF(AND(H1619="",'Vade Sapması'!$D$3&gt;G1619),'Vade Sapması'!$D$3-G1619,0))</f>
        <v/>
      </c>
      <c r="P1619" s="33" t="str">
        <f aca="false">IF(F1619="","",F1619*J1619)</f>
        <v/>
      </c>
      <c r="Q1619" s="33" t="str">
        <f aca="false">IF(F1619="","",F1619*L1619)</f>
        <v/>
      </c>
      <c r="R1619" s="33" t="str">
        <f aca="false">IF(F1619="","",IF(H1619="",F1619,0))</f>
        <v/>
      </c>
      <c r="S1619" s="32" t="str">
        <f aca="false">IF(F1619="","",IF(N(O1619)=0,"",IF(O1619&lt;=30,"1-30",IF(O1619&lt;=60,"31-60",IF(O1619&lt;=90,"61-90","90+")))))</f>
        <v/>
      </c>
      <c r="T1619" s="32" t="str">
        <f aca="false">IF(F1619="","",IF(E1619="","Diğer",E1619))</f>
        <v/>
      </c>
      <c r="U1619" s="32" t="str">
        <f aca="false">IF(OR(F1619="",C1619=""),"",IF(COUNTIF($C$2:C1619,C1619)=1,MAX($U$1:U1618)+1,""))</f>
        <v/>
      </c>
    </row>
    <row r="1620" customFormat="false" ht="15" hidden="false" customHeight="false" outlineLevel="0" collapsed="false">
      <c r="A1620" s="34"/>
      <c r="B1620" s="9"/>
      <c r="C1620" s="34"/>
      <c r="D1620" s="34"/>
      <c r="E1620" s="34"/>
      <c r="F1620" s="35"/>
      <c r="G1620" s="9"/>
      <c r="H1620" s="9"/>
      <c r="I1620" s="34"/>
      <c r="J1620" s="30" t="str">
        <f aca="false">IF(F1620="","",G1620-B1620)</f>
        <v/>
      </c>
      <c r="K1620" s="31" t="str">
        <f aca="false">IF(F1620="","",IF(H1620&lt;&gt;"",H1620,MAX('Vade Sapması'!$D$3,G1620)))</f>
        <v/>
      </c>
      <c r="L1620" s="30" t="str">
        <f aca="false">IF(F1620="","",K1620-B1620)</f>
        <v/>
      </c>
      <c r="M1620" s="30" t="str">
        <f aca="false">IF(F1620="","",L1620-J1620)</f>
        <v/>
      </c>
      <c r="N1620" s="32" t="str">
        <f aca="false">IF(F1620="","",IF(H1620&lt;&gt;"","Kapandı",IF('Vade Sapması'!$D$3&gt;G1620,"Açık · vadesi geçti","Açık · vadesi gelmedi")))</f>
        <v/>
      </c>
      <c r="O1620" s="30" t="str">
        <f aca="false">IF(F1620="","",IF(AND(H1620="",'Vade Sapması'!$D$3&gt;G1620),'Vade Sapması'!$D$3-G1620,0))</f>
        <v/>
      </c>
      <c r="P1620" s="33" t="str">
        <f aca="false">IF(F1620="","",F1620*J1620)</f>
        <v/>
      </c>
      <c r="Q1620" s="33" t="str">
        <f aca="false">IF(F1620="","",F1620*L1620)</f>
        <v/>
      </c>
      <c r="R1620" s="33" t="str">
        <f aca="false">IF(F1620="","",IF(H1620="",F1620,0))</f>
        <v/>
      </c>
      <c r="S1620" s="32" t="str">
        <f aca="false">IF(F1620="","",IF(N(O1620)=0,"",IF(O1620&lt;=30,"1-30",IF(O1620&lt;=60,"31-60",IF(O1620&lt;=90,"61-90","90+")))))</f>
        <v/>
      </c>
      <c r="T1620" s="32" t="str">
        <f aca="false">IF(F1620="","",IF(E1620="","Diğer",E1620))</f>
        <v/>
      </c>
      <c r="U1620" s="32" t="str">
        <f aca="false">IF(OR(F1620="",C1620=""),"",IF(COUNTIF($C$2:C1620,C1620)=1,MAX($U$1:U1619)+1,""))</f>
        <v/>
      </c>
    </row>
    <row r="1621" customFormat="false" ht="15" hidden="false" customHeight="false" outlineLevel="0" collapsed="false">
      <c r="A1621" s="34"/>
      <c r="B1621" s="9"/>
      <c r="C1621" s="34"/>
      <c r="D1621" s="34"/>
      <c r="E1621" s="34"/>
      <c r="F1621" s="35"/>
      <c r="G1621" s="9"/>
      <c r="H1621" s="9"/>
      <c r="I1621" s="34"/>
      <c r="J1621" s="30" t="str">
        <f aca="false">IF(F1621="","",G1621-B1621)</f>
        <v/>
      </c>
      <c r="K1621" s="31" t="str">
        <f aca="false">IF(F1621="","",IF(H1621&lt;&gt;"",H1621,MAX('Vade Sapması'!$D$3,G1621)))</f>
        <v/>
      </c>
      <c r="L1621" s="30" t="str">
        <f aca="false">IF(F1621="","",K1621-B1621)</f>
        <v/>
      </c>
      <c r="M1621" s="30" t="str">
        <f aca="false">IF(F1621="","",L1621-J1621)</f>
        <v/>
      </c>
      <c r="N1621" s="32" t="str">
        <f aca="false">IF(F1621="","",IF(H1621&lt;&gt;"","Kapandı",IF('Vade Sapması'!$D$3&gt;G1621,"Açık · vadesi geçti","Açık · vadesi gelmedi")))</f>
        <v/>
      </c>
      <c r="O1621" s="30" t="str">
        <f aca="false">IF(F1621="","",IF(AND(H1621="",'Vade Sapması'!$D$3&gt;G1621),'Vade Sapması'!$D$3-G1621,0))</f>
        <v/>
      </c>
      <c r="P1621" s="33" t="str">
        <f aca="false">IF(F1621="","",F1621*J1621)</f>
        <v/>
      </c>
      <c r="Q1621" s="33" t="str">
        <f aca="false">IF(F1621="","",F1621*L1621)</f>
        <v/>
      </c>
      <c r="R1621" s="33" t="str">
        <f aca="false">IF(F1621="","",IF(H1621="",F1621,0))</f>
        <v/>
      </c>
      <c r="S1621" s="32" t="str">
        <f aca="false">IF(F1621="","",IF(N(O1621)=0,"",IF(O1621&lt;=30,"1-30",IF(O1621&lt;=60,"31-60",IF(O1621&lt;=90,"61-90","90+")))))</f>
        <v/>
      </c>
      <c r="T1621" s="32" t="str">
        <f aca="false">IF(F1621="","",IF(E1621="","Diğer",E1621))</f>
        <v/>
      </c>
      <c r="U1621" s="32" t="str">
        <f aca="false">IF(OR(F1621="",C1621=""),"",IF(COUNTIF($C$2:C1621,C1621)=1,MAX($U$1:U1620)+1,""))</f>
        <v/>
      </c>
    </row>
    <row r="1622" customFormat="false" ht="15" hidden="false" customHeight="false" outlineLevel="0" collapsed="false">
      <c r="A1622" s="34"/>
      <c r="B1622" s="9"/>
      <c r="C1622" s="34"/>
      <c r="D1622" s="34"/>
      <c r="E1622" s="34"/>
      <c r="F1622" s="35"/>
      <c r="G1622" s="9"/>
      <c r="H1622" s="9"/>
      <c r="I1622" s="34"/>
      <c r="J1622" s="30" t="str">
        <f aca="false">IF(F1622="","",G1622-B1622)</f>
        <v/>
      </c>
      <c r="K1622" s="31" t="str">
        <f aca="false">IF(F1622="","",IF(H1622&lt;&gt;"",H1622,MAX('Vade Sapması'!$D$3,G1622)))</f>
        <v/>
      </c>
      <c r="L1622" s="30" t="str">
        <f aca="false">IF(F1622="","",K1622-B1622)</f>
        <v/>
      </c>
      <c r="M1622" s="30" t="str">
        <f aca="false">IF(F1622="","",L1622-J1622)</f>
        <v/>
      </c>
      <c r="N1622" s="32" t="str">
        <f aca="false">IF(F1622="","",IF(H1622&lt;&gt;"","Kapandı",IF('Vade Sapması'!$D$3&gt;G1622,"Açık · vadesi geçti","Açık · vadesi gelmedi")))</f>
        <v/>
      </c>
      <c r="O1622" s="30" t="str">
        <f aca="false">IF(F1622="","",IF(AND(H1622="",'Vade Sapması'!$D$3&gt;G1622),'Vade Sapması'!$D$3-G1622,0))</f>
        <v/>
      </c>
      <c r="P1622" s="33" t="str">
        <f aca="false">IF(F1622="","",F1622*J1622)</f>
        <v/>
      </c>
      <c r="Q1622" s="33" t="str">
        <f aca="false">IF(F1622="","",F1622*L1622)</f>
        <v/>
      </c>
      <c r="R1622" s="33" t="str">
        <f aca="false">IF(F1622="","",IF(H1622="",F1622,0))</f>
        <v/>
      </c>
      <c r="S1622" s="32" t="str">
        <f aca="false">IF(F1622="","",IF(N(O1622)=0,"",IF(O1622&lt;=30,"1-30",IF(O1622&lt;=60,"31-60",IF(O1622&lt;=90,"61-90","90+")))))</f>
        <v/>
      </c>
      <c r="T1622" s="32" t="str">
        <f aca="false">IF(F1622="","",IF(E1622="","Diğer",E1622))</f>
        <v/>
      </c>
      <c r="U1622" s="32" t="str">
        <f aca="false">IF(OR(F1622="",C1622=""),"",IF(COUNTIF($C$2:C1622,C1622)=1,MAX($U$1:U1621)+1,""))</f>
        <v/>
      </c>
    </row>
    <row r="1623" customFormat="false" ht="15" hidden="false" customHeight="false" outlineLevel="0" collapsed="false">
      <c r="A1623" s="34"/>
      <c r="B1623" s="9"/>
      <c r="C1623" s="34"/>
      <c r="D1623" s="34"/>
      <c r="E1623" s="34"/>
      <c r="F1623" s="35"/>
      <c r="G1623" s="9"/>
      <c r="H1623" s="9"/>
      <c r="I1623" s="34"/>
      <c r="J1623" s="30" t="str">
        <f aca="false">IF(F1623="","",G1623-B1623)</f>
        <v/>
      </c>
      <c r="K1623" s="31" t="str">
        <f aca="false">IF(F1623="","",IF(H1623&lt;&gt;"",H1623,MAX('Vade Sapması'!$D$3,G1623)))</f>
        <v/>
      </c>
      <c r="L1623" s="30" t="str">
        <f aca="false">IF(F1623="","",K1623-B1623)</f>
        <v/>
      </c>
      <c r="M1623" s="30" t="str">
        <f aca="false">IF(F1623="","",L1623-J1623)</f>
        <v/>
      </c>
      <c r="N1623" s="32" t="str">
        <f aca="false">IF(F1623="","",IF(H1623&lt;&gt;"","Kapandı",IF('Vade Sapması'!$D$3&gt;G1623,"Açık · vadesi geçti","Açık · vadesi gelmedi")))</f>
        <v/>
      </c>
      <c r="O1623" s="30" t="str">
        <f aca="false">IF(F1623="","",IF(AND(H1623="",'Vade Sapması'!$D$3&gt;G1623),'Vade Sapması'!$D$3-G1623,0))</f>
        <v/>
      </c>
      <c r="P1623" s="33" t="str">
        <f aca="false">IF(F1623="","",F1623*J1623)</f>
        <v/>
      </c>
      <c r="Q1623" s="33" t="str">
        <f aca="false">IF(F1623="","",F1623*L1623)</f>
        <v/>
      </c>
      <c r="R1623" s="33" t="str">
        <f aca="false">IF(F1623="","",IF(H1623="",F1623,0))</f>
        <v/>
      </c>
      <c r="S1623" s="32" t="str">
        <f aca="false">IF(F1623="","",IF(N(O1623)=0,"",IF(O1623&lt;=30,"1-30",IF(O1623&lt;=60,"31-60",IF(O1623&lt;=90,"61-90","90+")))))</f>
        <v/>
      </c>
      <c r="T1623" s="32" t="str">
        <f aca="false">IF(F1623="","",IF(E1623="","Diğer",E1623))</f>
        <v/>
      </c>
      <c r="U1623" s="32" t="str">
        <f aca="false">IF(OR(F1623="",C1623=""),"",IF(COUNTIF($C$2:C1623,C1623)=1,MAX($U$1:U1622)+1,""))</f>
        <v/>
      </c>
    </row>
    <row r="1624" customFormat="false" ht="15" hidden="false" customHeight="false" outlineLevel="0" collapsed="false">
      <c r="A1624" s="34"/>
      <c r="B1624" s="9"/>
      <c r="C1624" s="34"/>
      <c r="D1624" s="34"/>
      <c r="E1624" s="34"/>
      <c r="F1624" s="35"/>
      <c r="G1624" s="9"/>
      <c r="H1624" s="9"/>
      <c r="I1624" s="34"/>
      <c r="J1624" s="30" t="str">
        <f aca="false">IF(F1624="","",G1624-B1624)</f>
        <v/>
      </c>
      <c r="K1624" s="31" t="str">
        <f aca="false">IF(F1624="","",IF(H1624&lt;&gt;"",H1624,MAX('Vade Sapması'!$D$3,G1624)))</f>
        <v/>
      </c>
      <c r="L1624" s="30" t="str">
        <f aca="false">IF(F1624="","",K1624-B1624)</f>
        <v/>
      </c>
      <c r="M1624" s="30" t="str">
        <f aca="false">IF(F1624="","",L1624-J1624)</f>
        <v/>
      </c>
      <c r="N1624" s="32" t="str">
        <f aca="false">IF(F1624="","",IF(H1624&lt;&gt;"","Kapandı",IF('Vade Sapması'!$D$3&gt;G1624,"Açık · vadesi geçti","Açık · vadesi gelmedi")))</f>
        <v/>
      </c>
      <c r="O1624" s="30" t="str">
        <f aca="false">IF(F1624="","",IF(AND(H1624="",'Vade Sapması'!$D$3&gt;G1624),'Vade Sapması'!$D$3-G1624,0))</f>
        <v/>
      </c>
      <c r="P1624" s="33" t="str">
        <f aca="false">IF(F1624="","",F1624*J1624)</f>
        <v/>
      </c>
      <c r="Q1624" s="33" t="str">
        <f aca="false">IF(F1624="","",F1624*L1624)</f>
        <v/>
      </c>
      <c r="R1624" s="33" t="str">
        <f aca="false">IF(F1624="","",IF(H1624="",F1624,0))</f>
        <v/>
      </c>
      <c r="S1624" s="32" t="str">
        <f aca="false">IF(F1624="","",IF(N(O1624)=0,"",IF(O1624&lt;=30,"1-30",IF(O1624&lt;=60,"31-60",IF(O1624&lt;=90,"61-90","90+")))))</f>
        <v/>
      </c>
      <c r="T1624" s="32" t="str">
        <f aca="false">IF(F1624="","",IF(E1624="","Diğer",E1624))</f>
        <v/>
      </c>
      <c r="U1624" s="32" t="str">
        <f aca="false">IF(OR(F1624="",C1624=""),"",IF(COUNTIF($C$2:C1624,C1624)=1,MAX($U$1:U1623)+1,""))</f>
        <v/>
      </c>
    </row>
    <row r="1625" customFormat="false" ht="15" hidden="false" customHeight="false" outlineLevel="0" collapsed="false">
      <c r="A1625" s="34"/>
      <c r="B1625" s="9"/>
      <c r="C1625" s="34"/>
      <c r="D1625" s="34"/>
      <c r="E1625" s="34"/>
      <c r="F1625" s="35"/>
      <c r="G1625" s="9"/>
      <c r="H1625" s="9"/>
      <c r="I1625" s="34"/>
      <c r="J1625" s="30" t="str">
        <f aca="false">IF(F1625="","",G1625-B1625)</f>
        <v/>
      </c>
      <c r="K1625" s="31" t="str">
        <f aca="false">IF(F1625="","",IF(H1625&lt;&gt;"",H1625,MAX('Vade Sapması'!$D$3,G1625)))</f>
        <v/>
      </c>
      <c r="L1625" s="30" t="str">
        <f aca="false">IF(F1625="","",K1625-B1625)</f>
        <v/>
      </c>
      <c r="M1625" s="30" t="str">
        <f aca="false">IF(F1625="","",L1625-J1625)</f>
        <v/>
      </c>
      <c r="N1625" s="32" t="str">
        <f aca="false">IF(F1625="","",IF(H1625&lt;&gt;"","Kapandı",IF('Vade Sapması'!$D$3&gt;G1625,"Açık · vadesi geçti","Açık · vadesi gelmedi")))</f>
        <v/>
      </c>
      <c r="O1625" s="30" t="str">
        <f aca="false">IF(F1625="","",IF(AND(H1625="",'Vade Sapması'!$D$3&gt;G1625),'Vade Sapması'!$D$3-G1625,0))</f>
        <v/>
      </c>
      <c r="P1625" s="33" t="str">
        <f aca="false">IF(F1625="","",F1625*J1625)</f>
        <v/>
      </c>
      <c r="Q1625" s="33" t="str">
        <f aca="false">IF(F1625="","",F1625*L1625)</f>
        <v/>
      </c>
      <c r="R1625" s="33" t="str">
        <f aca="false">IF(F1625="","",IF(H1625="",F1625,0))</f>
        <v/>
      </c>
      <c r="S1625" s="32" t="str">
        <f aca="false">IF(F1625="","",IF(N(O1625)=0,"",IF(O1625&lt;=30,"1-30",IF(O1625&lt;=60,"31-60",IF(O1625&lt;=90,"61-90","90+")))))</f>
        <v/>
      </c>
      <c r="T1625" s="32" t="str">
        <f aca="false">IF(F1625="","",IF(E1625="","Diğer",E1625))</f>
        <v/>
      </c>
      <c r="U1625" s="32" t="str">
        <f aca="false">IF(OR(F1625="",C1625=""),"",IF(COUNTIF($C$2:C1625,C1625)=1,MAX($U$1:U1624)+1,""))</f>
        <v/>
      </c>
    </row>
    <row r="1626" customFormat="false" ht="15" hidden="false" customHeight="false" outlineLevel="0" collapsed="false">
      <c r="A1626" s="34"/>
      <c r="B1626" s="9"/>
      <c r="C1626" s="34"/>
      <c r="D1626" s="34"/>
      <c r="E1626" s="34"/>
      <c r="F1626" s="35"/>
      <c r="G1626" s="9"/>
      <c r="H1626" s="9"/>
      <c r="I1626" s="34"/>
      <c r="J1626" s="30" t="str">
        <f aca="false">IF(F1626="","",G1626-B1626)</f>
        <v/>
      </c>
      <c r="K1626" s="31" t="str">
        <f aca="false">IF(F1626="","",IF(H1626&lt;&gt;"",H1626,MAX('Vade Sapması'!$D$3,G1626)))</f>
        <v/>
      </c>
      <c r="L1626" s="30" t="str">
        <f aca="false">IF(F1626="","",K1626-B1626)</f>
        <v/>
      </c>
      <c r="M1626" s="30" t="str">
        <f aca="false">IF(F1626="","",L1626-J1626)</f>
        <v/>
      </c>
      <c r="N1626" s="32" t="str">
        <f aca="false">IF(F1626="","",IF(H1626&lt;&gt;"","Kapandı",IF('Vade Sapması'!$D$3&gt;G1626,"Açık · vadesi geçti","Açık · vadesi gelmedi")))</f>
        <v/>
      </c>
      <c r="O1626" s="30" t="str">
        <f aca="false">IF(F1626="","",IF(AND(H1626="",'Vade Sapması'!$D$3&gt;G1626),'Vade Sapması'!$D$3-G1626,0))</f>
        <v/>
      </c>
      <c r="P1626" s="33" t="str">
        <f aca="false">IF(F1626="","",F1626*J1626)</f>
        <v/>
      </c>
      <c r="Q1626" s="33" t="str">
        <f aca="false">IF(F1626="","",F1626*L1626)</f>
        <v/>
      </c>
      <c r="R1626" s="33" t="str">
        <f aca="false">IF(F1626="","",IF(H1626="",F1626,0))</f>
        <v/>
      </c>
      <c r="S1626" s="32" t="str">
        <f aca="false">IF(F1626="","",IF(N(O1626)=0,"",IF(O1626&lt;=30,"1-30",IF(O1626&lt;=60,"31-60",IF(O1626&lt;=90,"61-90","90+")))))</f>
        <v/>
      </c>
      <c r="T1626" s="32" t="str">
        <f aca="false">IF(F1626="","",IF(E1626="","Diğer",E1626))</f>
        <v/>
      </c>
      <c r="U1626" s="32" t="str">
        <f aca="false">IF(OR(F1626="",C1626=""),"",IF(COUNTIF($C$2:C1626,C1626)=1,MAX($U$1:U1625)+1,""))</f>
        <v/>
      </c>
    </row>
    <row r="1627" customFormat="false" ht="15" hidden="false" customHeight="false" outlineLevel="0" collapsed="false">
      <c r="A1627" s="34"/>
      <c r="B1627" s="9"/>
      <c r="C1627" s="34"/>
      <c r="D1627" s="34"/>
      <c r="E1627" s="34"/>
      <c r="F1627" s="35"/>
      <c r="G1627" s="9"/>
      <c r="H1627" s="9"/>
      <c r="I1627" s="34"/>
      <c r="J1627" s="30" t="str">
        <f aca="false">IF(F1627="","",G1627-B1627)</f>
        <v/>
      </c>
      <c r="K1627" s="31" t="str">
        <f aca="false">IF(F1627="","",IF(H1627&lt;&gt;"",H1627,MAX('Vade Sapması'!$D$3,G1627)))</f>
        <v/>
      </c>
      <c r="L1627" s="30" t="str">
        <f aca="false">IF(F1627="","",K1627-B1627)</f>
        <v/>
      </c>
      <c r="M1627" s="30" t="str">
        <f aca="false">IF(F1627="","",L1627-J1627)</f>
        <v/>
      </c>
      <c r="N1627" s="32" t="str">
        <f aca="false">IF(F1627="","",IF(H1627&lt;&gt;"","Kapandı",IF('Vade Sapması'!$D$3&gt;G1627,"Açık · vadesi geçti","Açık · vadesi gelmedi")))</f>
        <v/>
      </c>
      <c r="O1627" s="30" t="str">
        <f aca="false">IF(F1627="","",IF(AND(H1627="",'Vade Sapması'!$D$3&gt;G1627),'Vade Sapması'!$D$3-G1627,0))</f>
        <v/>
      </c>
      <c r="P1627" s="33" t="str">
        <f aca="false">IF(F1627="","",F1627*J1627)</f>
        <v/>
      </c>
      <c r="Q1627" s="33" t="str">
        <f aca="false">IF(F1627="","",F1627*L1627)</f>
        <v/>
      </c>
      <c r="R1627" s="33" t="str">
        <f aca="false">IF(F1627="","",IF(H1627="",F1627,0))</f>
        <v/>
      </c>
      <c r="S1627" s="32" t="str">
        <f aca="false">IF(F1627="","",IF(N(O1627)=0,"",IF(O1627&lt;=30,"1-30",IF(O1627&lt;=60,"31-60",IF(O1627&lt;=90,"61-90","90+")))))</f>
        <v/>
      </c>
      <c r="T1627" s="32" t="str">
        <f aca="false">IF(F1627="","",IF(E1627="","Diğer",E1627))</f>
        <v/>
      </c>
      <c r="U1627" s="32" t="str">
        <f aca="false">IF(OR(F1627="",C1627=""),"",IF(COUNTIF($C$2:C1627,C1627)=1,MAX($U$1:U1626)+1,""))</f>
        <v/>
      </c>
    </row>
    <row r="1628" customFormat="false" ht="15" hidden="false" customHeight="false" outlineLevel="0" collapsed="false">
      <c r="A1628" s="34"/>
      <c r="B1628" s="9"/>
      <c r="C1628" s="34"/>
      <c r="D1628" s="34"/>
      <c r="E1628" s="34"/>
      <c r="F1628" s="35"/>
      <c r="G1628" s="9"/>
      <c r="H1628" s="9"/>
      <c r="I1628" s="34"/>
      <c r="J1628" s="30" t="str">
        <f aca="false">IF(F1628="","",G1628-B1628)</f>
        <v/>
      </c>
      <c r="K1628" s="31" t="str">
        <f aca="false">IF(F1628="","",IF(H1628&lt;&gt;"",H1628,MAX('Vade Sapması'!$D$3,G1628)))</f>
        <v/>
      </c>
      <c r="L1628" s="30" t="str">
        <f aca="false">IF(F1628="","",K1628-B1628)</f>
        <v/>
      </c>
      <c r="M1628" s="30" t="str">
        <f aca="false">IF(F1628="","",L1628-J1628)</f>
        <v/>
      </c>
      <c r="N1628" s="32" t="str">
        <f aca="false">IF(F1628="","",IF(H1628&lt;&gt;"","Kapandı",IF('Vade Sapması'!$D$3&gt;G1628,"Açık · vadesi geçti","Açık · vadesi gelmedi")))</f>
        <v/>
      </c>
      <c r="O1628" s="30" t="str">
        <f aca="false">IF(F1628="","",IF(AND(H1628="",'Vade Sapması'!$D$3&gt;G1628),'Vade Sapması'!$D$3-G1628,0))</f>
        <v/>
      </c>
      <c r="P1628" s="33" t="str">
        <f aca="false">IF(F1628="","",F1628*J1628)</f>
        <v/>
      </c>
      <c r="Q1628" s="33" t="str">
        <f aca="false">IF(F1628="","",F1628*L1628)</f>
        <v/>
      </c>
      <c r="R1628" s="33" t="str">
        <f aca="false">IF(F1628="","",IF(H1628="",F1628,0))</f>
        <v/>
      </c>
      <c r="S1628" s="32" t="str">
        <f aca="false">IF(F1628="","",IF(N(O1628)=0,"",IF(O1628&lt;=30,"1-30",IF(O1628&lt;=60,"31-60",IF(O1628&lt;=90,"61-90","90+")))))</f>
        <v/>
      </c>
      <c r="T1628" s="32" t="str">
        <f aca="false">IF(F1628="","",IF(E1628="","Diğer",E1628))</f>
        <v/>
      </c>
      <c r="U1628" s="32" t="str">
        <f aca="false">IF(OR(F1628="",C1628=""),"",IF(COUNTIF($C$2:C1628,C1628)=1,MAX($U$1:U1627)+1,""))</f>
        <v/>
      </c>
    </row>
    <row r="1629" customFormat="false" ht="15" hidden="false" customHeight="false" outlineLevel="0" collapsed="false">
      <c r="A1629" s="34"/>
      <c r="B1629" s="9"/>
      <c r="C1629" s="34"/>
      <c r="D1629" s="34"/>
      <c r="E1629" s="34"/>
      <c r="F1629" s="35"/>
      <c r="G1629" s="9"/>
      <c r="H1629" s="9"/>
      <c r="I1629" s="34"/>
      <c r="J1629" s="30" t="str">
        <f aca="false">IF(F1629="","",G1629-B1629)</f>
        <v/>
      </c>
      <c r="K1629" s="31" t="str">
        <f aca="false">IF(F1629="","",IF(H1629&lt;&gt;"",H1629,MAX('Vade Sapması'!$D$3,G1629)))</f>
        <v/>
      </c>
      <c r="L1629" s="30" t="str">
        <f aca="false">IF(F1629="","",K1629-B1629)</f>
        <v/>
      </c>
      <c r="M1629" s="30" t="str">
        <f aca="false">IF(F1629="","",L1629-J1629)</f>
        <v/>
      </c>
      <c r="N1629" s="32" t="str">
        <f aca="false">IF(F1629="","",IF(H1629&lt;&gt;"","Kapandı",IF('Vade Sapması'!$D$3&gt;G1629,"Açık · vadesi geçti","Açık · vadesi gelmedi")))</f>
        <v/>
      </c>
      <c r="O1629" s="30" t="str">
        <f aca="false">IF(F1629="","",IF(AND(H1629="",'Vade Sapması'!$D$3&gt;G1629),'Vade Sapması'!$D$3-G1629,0))</f>
        <v/>
      </c>
      <c r="P1629" s="33" t="str">
        <f aca="false">IF(F1629="","",F1629*J1629)</f>
        <v/>
      </c>
      <c r="Q1629" s="33" t="str">
        <f aca="false">IF(F1629="","",F1629*L1629)</f>
        <v/>
      </c>
      <c r="R1629" s="33" t="str">
        <f aca="false">IF(F1629="","",IF(H1629="",F1629,0))</f>
        <v/>
      </c>
      <c r="S1629" s="32" t="str">
        <f aca="false">IF(F1629="","",IF(N(O1629)=0,"",IF(O1629&lt;=30,"1-30",IF(O1629&lt;=60,"31-60",IF(O1629&lt;=90,"61-90","90+")))))</f>
        <v/>
      </c>
      <c r="T1629" s="32" t="str">
        <f aca="false">IF(F1629="","",IF(E1629="","Diğer",E1629))</f>
        <v/>
      </c>
      <c r="U1629" s="32" t="str">
        <f aca="false">IF(OR(F1629="",C1629=""),"",IF(COUNTIF($C$2:C1629,C1629)=1,MAX($U$1:U1628)+1,""))</f>
        <v/>
      </c>
    </row>
    <row r="1630" customFormat="false" ht="15" hidden="false" customHeight="false" outlineLevel="0" collapsed="false">
      <c r="A1630" s="34"/>
      <c r="B1630" s="9"/>
      <c r="C1630" s="34"/>
      <c r="D1630" s="34"/>
      <c r="E1630" s="34"/>
      <c r="F1630" s="35"/>
      <c r="G1630" s="9"/>
      <c r="H1630" s="9"/>
      <c r="I1630" s="34"/>
      <c r="J1630" s="30" t="str">
        <f aca="false">IF(F1630="","",G1630-B1630)</f>
        <v/>
      </c>
      <c r="K1630" s="31" t="str">
        <f aca="false">IF(F1630="","",IF(H1630&lt;&gt;"",H1630,MAX('Vade Sapması'!$D$3,G1630)))</f>
        <v/>
      </c>
      <c r="L1630" s="30" t="str">
        <f aca="false">IF(F1630="","",K1630-B1630)</f>
        <v/>
      </c>
      <c r="M1630" s="30" t="str">
        <f aca="false">IF(F1630="","",L1630-J1630)</f>
        <v/>
      </c>
      <c r="N1630" s="32" t="str">
        <f aca="false">IF(F1630="","",IF(H1630&lt;&gt;"","Kapandı",IF('Vade Sapması'!$D$3&gt;G1630,"Açık · vadesi geçti","Açık · vadesi gelmedi")))</f>
        <v/>
      </c>
      <c r="O1630" s="30" t="str">
        <f aca="false">IF(F1630="","",IF(AND(H1630="",'Vade Sapması'!$D$3&gt;G1630),'Vade Sapması'!$D$3-G1630,0))</f>
        <v/>
      </c>
      <c r="P1630" s="33" t="str">
        <f aca="false">IF(F1630="","",F1630*J1630)</f>
        <v/>
      </c>
      <c r="Q1630" s="33" t="str">
        <f aca="false">IF(F1630="","",F1630*L1630)</f>
        <v/>
      </c>
      <c r="R1630" s="33" t="str">
        <f aca="false">IF(F1630="","",IF(H1630="",F1630,0))</f>
        <v/>
      </c>
      <c r="S1630" s="32" t="str">
        <f aca="false">IF(F1630="","",IF(N(O1630)=0,"",IF(O1630&lt;=30,"1-30",IF(O1630&lt;=60,"31-60",IF(O1630&lt;=90,"61-90","90+")))))</f>
        <v/>
      </c>
      <c r="T1630" s="32" t="str">
        <f aca="false">IF(F1630="","",IF(E1630="","Diğer",E1630))</f>
        <v/>
      </c>
      <c r="U1630" s="32" t="str">
        <f aca="false">IF(OR(F1630="",C1630=""),"",IF(COUNTIF($C$2:C1630,C1630)=1,MAX($U$1:U1629)+1,""))</f>
        <v/>
      </c>
    </row>
    <row r="1631" customFormat="false" ht="15" hidden="false" customHeight="false" outlineLevel="0" collapsed="false">
      <c r="A1631" s="34"/>
      <c r="B1631" s="9"/>
      <c r="C1631" s="34"/>
      <c r="D1631" s="34"/>
      <c r="E1631" s="34"/>
      <c r="F1631" s="35"/>
      <c r="G1631" s="9"/>
      <c r="H1631" s="9"/>
      <c r="I1631" s="34"/>
      <c r="J1631" s="30" t="str">
        <f aca="false">IF(F1631="","",G1631-B1631)</f>
        <v/>
      </c>
      <c r="K1631" s="31" t="str">
        <f aca="false">IF(F1631="","",IF(H1631&lt;&gt;"",H1631,MAX('Vade Sapması'!$D$3,G1631)))</f>
        <v/>
      </c>
      <c r="L1631" s="30" t="str">
        <f aca="false">IF(F1631="","",K1631-B1631)</f>
        <v/>
      </c>
      <c r="M1631" s="30" t="str">
        <f aca="false">IF(F1631="","",L1631-J1631)</f>
        <v/>
      </c>
      <c r="N1631" s="32" t="str">
        <f aca="false">IF(F1631="","",IF(H1631&lt;&gt;"","Kapandı",IF('Vade Sapması'!$D$3&gt;G1631,"Açık · vadesi geçti","Açık · vadesi gelmedi")))</f>
        <v/>
      </c>
      <c r="O1631" s="30" t="str">
        <f aca="false">IF(F1631="","",IF(AND(H1631="",'Vade Sapması'!$D$3&gt;G1631),'Vade Sapması'!$D$3-G1631,0))</f>
        <v/>
      </c>
      <c r="P1631" s="33" t="str">
        <f aca="false">IF(F1631="","",F1631*J1631)</f>
        <v/>
      </c>
      <c r="Q1631" s="33" t="str">
        <f aca="false">IF(F1631="","",F1631*L1631)</f>
        <v/>
      </c>
      <c r="R1631" s="33" t="str">
        <f aca="false">IF(F1631="","",IF(H1631="",F1631,0))</f>
        <v/>
      </c>
      <c r="S1631" s="32" t="str">
        <f aca="false">IF(F1631="","",IF(N(O1631)=0,"",IF(O1631&lt;=30,"1-30",IF(O1631&lt;=60,"31-60",IF(O1631&lt;=90,"61-90","90+")))))</f>
        <v/>
      </c>
      <c r="T1631" s="32" t="str">
        <f aca="false">IF(F1631="","",IF(E1631="","Diğer",E1631))</f>
        <v/>
      </c>
      <c r="U1631" s="32" t="str">
        <f aca="false">IF(OR(F1631="",C1631=""),"",IF(COUNTIF($C$2:C1631,C1631)=1,MAX($U$1:U1630)+1,""))</f>
        <v/>
      </c>
    </row>
    <row r="1632" customFormat="false" ht="15" hidden="false" customHeight="false" outlineLevel="0" collapsed="false">
      <c r="A1632" s="34"/>
      <c r="B1632" s="9"/>
      <c r="C1632" s="34"/>
      <c r="D1632" s="34"/>
      <c r="E1632" s="34"/>
      <c r="F1632" s="35"/>
      <c r="G1632" s="9"/>
      <c r="H1632" s="9"/>
      <c r="I1632" s="34"/>
      <c r="J1632" s="30" t="str">
        <f aca="false">IF(F1632="","",G1632-B1632)</f>
        <v/>
      </c>
      <c r="K1632" s="31" t="str">
        <f aca="false">IF(F1632="","",IF(H1632&lt;&gt;"",H1632,MAX('Vade Sapması'!$D$3,G1632)))</f>
        <v/>
      </c>
      <c r="L1632" s="30" t="str">
        <f aca="false">IF(F1632="","",K1632-B1632)</f>
        <v/>
      </c>
      <c r="M1632" s="30" t="str">
        <f aca="false">IF(F1632="","",L1632-J1632)</f>
        <v/>
      </c>
      <c r="N1632" s="32" t="str">
        <f aca="false">IF(F1632="","",IF(H1632&lt;&gt;"","Kapandı",IF('Vade Sapması'!$D$3&gt;G1632,"Açık · vadesi geçti","Açık · vadesi gelmedi")))</f>
        <v/>
      </c>
      <c r="O1632" s="30" t="str">
        <f aca="false">IF(F1632="","",IF(AND(H1632="",'Vade Sapması'!$D$3&gt;G1632),'Vade Sapması'!$D$3-G1632,0))</f>
        <v/>
      </c>
      <c r="P1632" s="33" t="str">
        <f aca="false">IF(F1632="","",F1632*J1632)</f>
        <v/>
      </c>
      <c r="Q1632" s="33" t="str">
        <f aca="false">IF(F1632="","",F1632*L1632)</f>
        <v/>
      </c>
      <c r="R1632" s="33" t="str">
        <f aca="false">IF(F1632="","",IF(H1632="",F1632,0))</f>
        <v/>
      </c>
      <c r="S1632" s="32" t="str">
        <f aca="false">IF(F1632="","",IF(N(O1632)=0,"",IF(O1632&lt;=30,"1-30",IF(O1632&lt;=60,"31-60",IF(O1632&lt;=90,"61-90","90+")))))</f>
        <v/>
      </c>
      <c r="T1632" s="32" t="str">
        <f aca="false">IF(F1632="","",IF(E1632="","Diğer",E1632))</f>
        <v/>
      </c>
      <c r="U1632" s="32" t="str">
        <f aca="false">IF(OR(F1632="",C1632=""),"",IF(COUNTIF($C$2:C1632,C1632)=1,MAX($U$1:U1631)+1,""))</f>
        <v/>
      </c>
    </row>
    <row r="1633" customFormat="false" ht="15" hidden="false" customHeight="false" outlineLevel="0" collapsed="false">
      <c r="A1633" s="34"/>
      <c r="B1633" s="9"/>
      <c r="C1633" s="34"/>
      <c r="D1633" s="34"/>
      <c r="E1633" s="34"/>
      <c r="F1633" s="35"/>
      <c r="G1633" s="9"/>
      <c r="H1633" s="9"/>
      <c r="I1633" s="34"/>
      <c r="J1633" s="30" t="str">
        <f aca="false">IF(F1633="","",G1633-B1633)</f>
        <v/>
      </c>
      <c r="K1633" s="31" t="str">
        <f aca="false">IF(F1633="","",IF(H1633&lt;&gt;"",H1633,MAX('Vade Sapması'!$D$3,G1633)))</f>
        <v/>
      </c>
      <c r="L1633" s="30" t="str">
        <f aca="false">IF(F1633="","",K1633-B1633)</f>
        <v/>
      </c>
      <c r="M1633" s="30" t="str">
        <f aca="false">IF(F1633="","",L1633-J1633)</f>
        <v/>
      </c>
      <c r="N1633" s="32" t="str">
        <f aca="false">IF(F1633="","",IF(H1633&lt;&gt;"","Kapandı",IF('Vade Sapması'!$D$3&gt;G1633,"Açık · vadesi geçti","Açık · vadesi gelmedi")))</f>
        <v/>
      </c>
      <c r="O1633" s="30" t="str">
        <f aca="false">IF(F1633="","",IF(AND(H1633="",'Vade Sapması'!$D$3&gt;G1633),'Vade Sapması'!$D$3-G1633,0))</f>
        <v/>
      </c>
      <c r="P1633" s="33" t="str">
        <f aca="false">IF(F1633="","",F1633*J1633)</f>
        <v/>
      </c>
      <c r="Q1633" s="33" t="str">
        <f aca="false">IF(F1633="","",F1633*L1633)</f>
        <v/>
      </c>
      <c r="R1633" s="33" t="str">
        <f aca="false">IF(F1633="","",IF(H1633="",F1633,0))</f>
        <v/>
      </c>
      <c r="S1633" s="32" t="str">
        <f aca="false">IF(F1633="","",IF(N(O1633)=0,"",IF(O1633&lt;=30,"1-30",IF(O1633&lt;=60,"31-60",IF(O1633&lt;=90,"61-90","90+")))))</f>
        <v/>
      </c>
      <c r="T1633" s="32" t="str">
        <f aca="false">IF(F1633="","",IF(E1633="","Diğer",E1633))</f>
        <v/>
      </c>
      <c r="U1633" s="32" t="str">
        <f aca="false">IF(OR(F1633="",C1633=""),"",IF(COUNTIF($C$2:C1633,C1633)=1,MAX($U$1:U1632)+1,""))</f>
        <v/>
      </c>
    </row>
    <row r="1634" customFormat="false" ht="15" hidden="false" customHeight="false" outlineLevel="0" collapsed="false">
      <c r="A1634" s="34"/>
      <c r="B1634" s="9"/>
      <c r="C1634" s="34"/>
      <c r="D1634" s="34"/>
      <c r="E1634" s="34"/>
      <c r="F1634" s="35"/>
      <c r="G1634" s="9"/>
      <c r="H1634" s="9"/>
      <c r="I1634" s="34"/>
      <c r="J1634" s="30" t="str">
        <f aca="false">IF(F1634="","",G1634-B1634)</f>
        <v/>
      </c>
      <c r="K1634" s="31" t="str">
        <f aca="false">IF(F1634="","",IF(H1634&lt;&gt;"",H1634,MAX('Vade Sapması'!$D$3,G1634)))</f>
        <v/>
      </c>
      <c r="L1634" s="30" t="str">
        <f aca="false">IF(F1634="","",K1634-B1634)</f>
        <v/>
      </c>
      <c r="M1634" s="30" t="str">
        <f aca="false">IF(F1634="","",L1634-J1634)</f>
        <v/>
      </c>
      <c r="N1634" s="32" t="str">
        <f aca="false">IF(F1634="","",IF(H1634&lt;&gt;"","Kapandı",IF('Vade Sapması'!$D$3&gt;G1634,"Açık · vadesi geçti","Açık · vadesi gelmedi")))</f>
        <v/>
      </c>
      <c r="O1634" s="30" t="str">
        <f aca="false">IF(F1634="","",IF(AND(H1634="",'Vade Sapması'!$D$3&gt;G1634),'Vade Sapması'!$D$3-G1634,0))</f>
        <v/>
      </c>
      <c r="P1634" s="33" t="str">
        <f aca="false">IF(F1634="","",F1634*J1634)</f>
        <v/>
      </c>
      <c r="Q1634" s="33" t="str">
        <f aca="false">IF(F1634="","",F1634*L1634)</f>
        <v/>
      </c>
      <c r="R1634" s="33" t="str">
        <f aca="false">IF(F1634="","",IF(H1634="",F1634,0))</f>
        <v/>
      </c>
      <c r="S1634" s="32" t="str">
        <f aca="false">IF(F1634="","",IF(N(O1634)=0,"",IF(O1634&lt;=30,"1-30",IF(O1634&lt;=60,"31-60",IF(O1634&lt;=90,"61-90","90+")))))</f>
        <v/>
      </c>
      <c r="T1634" s="32" t="str">
        <f aca="false">IF(F1634="","",IF(E1634="","Diğer",E1634))</f>
        <v/>
      </c>
      <c r="U1634" s="32" t="str">
        <f aca="false">IF(OR(F1634="",C1634=""),"",IF(COUNTIF($C$2:C1634,C1634)=1,MAX($U$1:U1633)+1,""))</f>
        <v/>
      </c>
    </row>
    <row r="1635" customFormat="false" ht="15" hidden="false" customHeight="false" outlineLevel="0" collapsed="false">
      <c r="A1635" s="34"/>
      <c r="B1635" s="9"/>
      <c r="C1635" s="34"/>
      <c r="D1635" s="34"/>
      <c r="E1635" s="34"/>
      <c r="F1635" s="35"/>
      <c r="G1635" s="9"/>
      <c r="H1635" s="9"/>
      <c r="I1635" s="34"/>
      <c r="J1635" s="30" t="str">
        <f aca="false">IF(F1635="","",G1635-B1635)</f>
        <v/>
      </c>
      <c r="K1635" s="31" t="str">
        <f aca="false">IF(F1635="","",IF(H1635&lt;&gt;"",H1635,MAX('Vade Sapması'!$D$3,G1635)))</f>
        <v/>
      </c>
      <c r="L1635" s="30" t="str">
        <f aca="false">IF(F1635="","",K1635-B1635)</f>
        <v/>
      </c>
      <c r="M1635" s="30" t="str">
        <f aca="false">IF(F1635="","",L1635-J1635)</f>
        <v/>
      </c>
      <c r="N1635" s="32" t="str">
        <f aca="false">IF(F1635="","",IF(H1635&lt;&gt;"","Kapandı",IF('Vade Sapması'!$D$3&gt;G1635,"Açık · vadesi geçti","Açık · vadesi gelmedi")))</f>
        <v/>
      </c>
      <c r="O1635" s="30" t="str">
        <f aca="false">IF(F1635="","",IF(AND(H1635="",'Vade Sapması'!$D$3&gt;G1635),'Vade Sapması'!$D$3-G1635,0))</f>
        <v/>
      </c>
      <c r="P1635" s="33" t="str">
        <f aca="false">IF(F1635="","",F1635*J1635)</f>
        <v/>
      </c>
      <c r="Q1635" s="33" t="str">
        <f aca="false">IF(F1635="","",F1635*L1635)</f>
        <v/>
      </c>
      <c r="R1635" s="33" t="str">
        <f aca="false">IF(F1635="","",IF(H1635="",F1635,0))</f>
        <v/>
      </c>
      <c r="S1635" s="32" t="str">
        <f aca="false">IF(F1635="","",IF(N(O1635)=0,"",IF(O1635&lt;=30,"1-30",IF(O1635&lt;=60,"31-60",IF(O1635&lt;=90,"61-90","90+")))))</f>
        <v/>
      </c>
      <c r="T1635" s="32" t="str">
        <f aca="false">IF(F1635="","",IF(E1635="","Diğer",E1635))</f>
        <v/>
      </c>
      <c r="U1635" s="32" t="str">
        <f aca="false">IF(OR(F1635="",C1635=""),"",IF(COUNTIF($C$2:C1635,C1635)=1,MAX($U$1:U1634)+1,""))</f>
        <v/>
      </c>
    </row>
    <row r="1636" customFormat="false" ht="15" hidden="false" customHeight="false" outlineLevel="0" collapsed="false">
      <c r="A1636" s="34"/>
      <c r="B1636" s="9"/>
      <c r="C1636" s="34"/>
      <c r="D1636" s="34"/>
      <c r="E1636" s="34"/>
      <c r="F1636" s="35"/>
      <c r="G1636" s="9"/>
      <c r="H1636" s="9"/>
      <c r="I1636" s="34"/>
      <c r="J1636" s="30" t="str">
        <f aca="false">IF(F1636="","",G1636-B1636)</f>
        <v/>
      </c>
      <c r="K1636" s="31" t="str">
        <f aca="false">IF(F1636="","",IF(H1636&lt;&gt;"",H1636,MAX('Vade Sapması'!$D$3,G1636)))</f>
        <v/>
      </c>
      <c r="L1636" s="30" t="str">
        <f aca="false">IF(F1636="","",K1636-B1636)</f>
        <v/>
      </c>
      <c r="M1636" s="30" t="str">
        <f aca="false">IF(F1636="","",L1636-J1636)</f>
        <v/>
      </c>
      <c r="N1636" s="32" t="str">
        <f aca="false">IF(F1636="","",IF(H1636&lt;&gt;"","Kapandı",IF('Vade Sapması'!$D$3&gt;G1636,"Açık · vadesi geçti","Açık · vadesi gelmedi")))</f>
        <v/>
      </c>
      <c r="O1636" s="30" t="str">
        <f aca="false">IF(F1636="","",IF(AND(H1636="",'Vade Sapması'!$D$3&gt;G1636),'Vade Sapması'!$D$3-G1636,0))</f>
        <v/>
      </c>
      <c r="P1636" s="33" t="str">
        <f aca="false">IF(F1636="","",F1636*J1636)</f>
        <v/>
      </c>
      <c r="Q1636" s="33" t="str">
        <f aca="false">IF(F1636="","",F1636*L1636)</f>
        <v/>
      </c>
      <c r="R1636" s="33" t="str">
        <f aca="false">IF(F1636="","",IF(H1636="",F1636,0))</f>
        <v/>
      </c>
      <c r="S1636" s="32" t="str">
        <f aca="false">IF(F1636="","",IF(N(O1636)=0,"",IF(O1636&lt;=30,"1-30",IF(O1636&lt;=60,"31-60",IF(O1636&lt;=90,"61-90","90+")))))</f>
        <v/>
      </c>
      <c r="T1636" s="32" t="str">
        <f aca="false">IF(F1636="","",IF(E1636="","Diğer",E1636))</f>
        <v/>
      </c>
      <c r="U1636" s="32" t="str">
        <f aca="false">IF(OR(F1636="",C1636=""),"",IF(COUNTIF($C$2:C1636,C1636)=1,MAX($U$1:U1635)+1,""))</f>
        <v/>
      </c>
    </row>
    <row r="1637" customFormat="false" ht="15" hidden="false" customHeight="false" outlineLevel="0" collapsed="false">
      <c r="A1637" s="34"/>
      <c r="B1637" s="9"/>
      <c r="C1637" s="34"/>
      <c r="D1637" s="34"/>
      <c r="E1637" s="34"/>
      <c r="F1637" s="35"/>
      <c r="G1637" s="9"/>
      <c r="H1637" s="9"/>
      <c r="I1637" s="34"/>
      <c r="J1637" s="30" t="str">
        <f aca="false">IF(F1637="","",G1637-B1637)</f>
        <v/>
      </c>
      <c r="K1637" s="31" t="str">
        <f aca="false">IF(F1637="","",IF(H1637&lt;&gt;"",H1637,MAX('Vade Sapması'!$D$3,G1637)))</f>
        <v/>
      </c>
      <c r="L1637" s="30" t="str">
        <f aca="false">IF(F1637="","",K1637-B1637)</f>
        <v/>
      </c>
      <c r="M1637" s="30" t="str">
        <f aca="false">IF(F1637="","",L1637-J1637)</f>
        <v/>
      </c>
      <c r="N1637" s="32" t="str">
        <f aca="false">IF(F1637="","",IF(H1637&lt;&gt;"","Kapandı",IF('Vade Sapması'!$D$3&gt;G1637,"Açık · vadesi geçti","Açık · vadesi gelmedi")))</f>
        <v/>
      </c>
      <c r="O1637" s="30" t="str">
        <f aca="false">IF(F1637="","",IF(AND(H1637="",'Vade Sapması'!$D$3&gt;G1637),'Vade Sapması'!$D$3-G1637,0))</f>
        <v/>
      </c>
      <c r="P1637" s="33" t="str">
        <f aca="false">IF(F1637="","",F1637*J1637)</f>
        <v/>
      </c>
      <c r="Q1637" s="33" t="str">
        <f aca="false">IF(F1637="","",F1637*L1637)</f>
        <v/>
      </c>
      <c r="R1637" s="33" t="str">
        <f aca="false">IF(F1637="","",IF(H1637="",F1637,0))</f>
        <v/>
      </c>
      <c r="S1637" s="32" t="str">
        <f aca="false">IF(F1637="","",IF(N(O1637)=0,"",IF(O1637&lt;=30,"1-30",IF(O1637&lt;=60,"31-60",IF(O1637&lt;=90,"61-90","90+")))))</f>
        <v/>
      </c>
      <c r="T1637" s="32" t="str">
        <f aca="false">IF(F1637="","",IF(E1637="","Diğer",E1637))</f>
        <v/>
      </c>
      <c r="U1637" s="32" t="str">
        <f aca="false">IF(OR(F1637="",C1637=""),"",IF(COUNTIF($C$2:C1637,C1637)=1,MAX($U$1:U1636)+1,""))</f>
        <v/>
      </c>
    </row>
    <row r="1638" customFormat="false" ht="15" hidden="false" customHeight="false" outlineLevel="0" collapsed="false">
      <c r="A1638" s="34"/>
      <c r="B1638" s="9"/>
      <c r="C1638" s="34"/>
      <c r="D1638" s="34"/>
      <c r="E1638" s="34"/>
      <c r="F1638" s="35"/>
      <c r="G1638" s="9"/>
      <c r="H1638" s="9"/>
      <c r="I1638" s="34"/>
      <c r="J1638" s="30" t="str">
        <f aca="false">IF(F1638="","",G1638-B1638)</f>
        <v/>
      </c>
      <c r="K1638" s="31" t="str">
        <f aca="false">IF(F1638="","",IF(H1638&lt;&gt;"",H1638,MAX('Vade Sapması'!$D$3,G1638)))</f>
        <v/>
      </c>
      <c r="L1638" s="30" t="str">
        <f aca="false">IF(F1638="","",K1638-B1638)</f>
        <v/>
      </c>
      <c r="M1638" s="30" t="str">
        <f aca="false">IF(F1638="","",L1638-J1638)</f>
        <v/>
      </c>
      <c r="N1638" s="32" t="str">
        <f aca="false">IF(F1638="","",IF(H1638&lt;&gt;"","Kapandı",IF('Vade Sapması'!$D$3&gt;G1638,"Açık · vadesi geçti","Açık · vadesi gelmedi")))</f>
        <v/>
      </c>
      <c r="O1638" s="30" t="str">
        <f aca="false">IF(F1638="","",IF(AND(H1638="",'Vade Sapması'!$D$3&gt;G1638),'Vade Sapması'!$D$3-G1638,0))</f>
        <v/>
      </c>
      <c r="P1638" s="33" t="str">
        <f aca="false">IF(F1638="","",F1638*J1638)</f>
        <v/>
      </c>
      <c r="Q1638" s="33" t="str">
        <f aca="false">IF(F1638="","",F1638*L1638)</f>
        <v/>
      </c>
      <c r="R1638" s="33" t="str">
        <f aca="false">IF(F1638="","",IF(H1638="",F1638,0))</f>
        <v/>
      </c>
      <c r="S1638" s="32" t="str">
        <f aca="false">IF(F1638="","",IF(N(O1638)=0,"",IF(O1638&lt;=30,"1-30",IF(O1638&lt;=60,"31-60",IF(O1638&lt;=90,"61-90","90+")))))</f>
        <v/>
      </c>
      <c r="T1638" s="32" t="str">
        <f aca="false">IF(F1638="","",IF(E1638="","Diğer",E1638))</f>
        <v/>
      </c>
      <c r="U1638" s="32" t="str">
        <f aca="false">IF(OR(F1638="",C1638=""),"",IF(COUNTIF($C$2:C1638,C1638)=1,MAX($U$1:U1637)+1,""))</f>
        <v/>
      </c>
    </row>
    <row r="1639" customFormat="false" ht="15" hidden="false" customHeight="false" outlineLevel="0" collapsed="false">
      <c r="A1639" s="34"/>
      <c r="B1639" s="9"/>
      <c r="C1639" s="34"/>
      <c r="D1639" s="34"/>
      <c r="E1639" s="34"/>
      <c r="F1639" s="35"/>
      <c r="G1639" s="9"/>
      <c r="H1639" s="9"/>
      <c r="I1639" s="34"/>
      <c r="J1639" s="30" t="str">
        <f aca="false">IF(F1639="","",G1639-B1639)</f>
        <v/>
      </c>
      <c r="K1639" s="31" t="str">
        <f aca="false">IF(F1639="","",IF(H1639&lt;&gt;"",H1639,MAX('Vade Sapması'!$D$3,G1639)))</f>
        <v/>
      </c>
      <c r="L1639" s="30" t="str">
        <f aca="false">IF(F1639="","",K1639-B1639)</f>
        <v/>
      </c>
      <c r="M1639" s="30" t="str">
        <f aca="false">IF(F1639="","",L1639-J1639)</f>
        <v/>
      </c>
      <c r="N1639" s="32" t="str">
        <f aca="false">IF(F1639="","",IF(H1639&lt;&gt;"","Kapandı",IF('Vade Sapması'!$D$3&gt;G1639,"Açık · vadesi geçti","Açık · vadesi gelmedi")))</f>
        <v/>
      </c>
      <c r="O1639" s="30" t="str">
        <f aca="false">IF(F1639="","",IF(AND(H1639="",'Vade Sapması'!$D$3&gt;G1639),'Vade Sapması'!$D$3-G1639,0))</f>
        <v/>
      </c>
      <c r="P1639" s="33" t="str">
        <f aca="false">IF(F1639="","",F1639*J1639)</f>
        <v/>
      </c>
      <c r="Q1639" s="33" t="str">
        <f aca="false">IF(F1639="","",F1639*L1639)</f>
        <v/>
      </c>
      <c r="R1639" s="33" t="str">
        <f aca="false">IF(F1639="","",IF(H1639="",F1639,0))</f>
        <v/>
      </c>
      <c r="S1639" s="32" t="str">
        <f aca="false">IF(F1639="","",IF(N(O1639)=0,"",IF(O1639&lt;=30,"1-30",IF(O1639&lt;=60,"31-60",IF(O1639&lt;=90,"61-90","90+")))))</f>
        <v/>
      </c>
      <c r="T1639" s="32" t="str">
        <f aca="false">IF(F1639="","",IF(E1639="","Diğer",E1639))</f>
        <v/>
      </c>
      <c r="U1639" s="32" t="str">
        <f aca="false">IF(OR(F1639="",C1639=""),"",IF(COUNTIF($C$2:C1639,C1639)=1,MAX($U$1:U1638)+1,""))</f>
        <v/>
      </c>
    </row>
    <row r="1640" customFormat="false" ht="15" hidden="false" customHeight="false" outlineLevel="0" collapsed="false">
      <c r="A1640" s="34"/>
      <c r="B1640" s="9"/>
      <c r="C1640" s="34"/>
      <c r="D1640" s="34"/>
      <c r="E1640" s="34"/>
      <c r="F1640" s="35"/>
      <c r="G1640" s="9"/>
      <c r="H1640" s="9"/>
      <c r="I1640" s="34"/>
      <c r="J1640" s="30" t="str">
        <f aca="false">IF(F1640="","",G1640-B1640)</f>
        <v/>
      </c>
      <c r="K1640" s="31" t="str">
        <f aca="false">IF(F1640="","",IF(H1640&lt;&gt;"",H1640,MAX('Vade Sapması'!$D$3,G1640)))</f>
        <v/>
      </c>
      <c r="L1640" s="30" t="str">
        <f aca="false">IF(F1640="","",K1640-B1640)</f>
        <v/>
      </c>
      <c r="M1640" s="30" t="str">
        <f aca="false">IF(F1640="","",L1640-J1640)</f>
        <v/>
      </c>
      <c r="N1640" s="32" t="str">
        <f aca="false">IF(F1640="","",IF(H1640&lt;&gt;"","Kapandı",IF('Vade Sapması'!$D$3&gt;G1640,"Açık · vadesi geçti","Açık · vadesi gelmedi")))</f>
        <v/>
      </c>
      <c r="O1640" s="30" t="str">
        <f aca="false">IF(F1640="","",IF(AND(H1640="",'Vade Sapması'!$D$3&gt;G1640),'Vade Sapması'!$D$3-G1640,0))</f>
        <v/>
      </c>
      <c r="P1640" s="33" t="str">
        <f aca="false">IF(F1640="","",F1640*J1640)</f>
        <v/>
      </c>
      <c r="Q1640" s="33" t="str">
        <f aca="false">IF(F1640="","",F1640*L1640)</f>
        <v/>
      </c>
      <c r="R1640" s="33" t="str">
        <f aca="false">IF(F1640="","",IF(H1640="",F1640,0))</f>
        <v/>
      </c>
      <c r="S1640" s="32" t="str">
        <f aca="false">IF(F1640="","",IF(N(O1640)=0,"",IF(O1640&lt;=30,"1-30",IF(O1640&lt;=60,"31-60",IF(O1640&lt;=90,"61-90","90+")))))</f>
        <v/>
      </c>
      <c r="T1640" s="32" t="str">
        <f aca="false">IF(F1640="","",IF(E1640="","Diğer",E1640))</f>
        <v/>
      </c>
      <c r="U1640" s="32" t="str">
        <f aca="false">IF(OR(F1640="",C1640=""),"",IF(COUNTIF($C$2:C1640,C1640)=1,MAX($U$1:U1639)+1,""))</f>
        <v/>
      </c>
    </row>
    <row r="1641" customFormat="false" ht="15" hidden="false" customHeight="false" outlineLevel="0" collapsed="false">
      <c r="A1641" s="34"/>
      <c r="B1641" s="9"/>
      <c r="C1641" s="34"/>
      <c r="D1641" s="34"/>
      <c r="E1641" s="34"/>
      <c r="F1641" s="35"/>
      <c r="G1641" s="9"/>
      <c r="H1641" s="9"/>
      <c r="I1641" s="34"/>
      <c r="J1641" s="30" t="str">
        <f aca="false">IF(F1641="","",G1641-B1641)</f>
        <v/>
      </c>
      <c r="K1641" s="31" t="str">
        <f aca="false">IF(F1641="","",IF(H1641&lt;&gt;"",H1641,MAX('Vade Sapması'!$D$3,G1641)))</f>
        <v/>
      </c>
      <c r="L1641" s="30" t="str">
        <f aca="false">IF(F1641="","",K1641-B1641)</f>
        <v/>
      </c>
      <c r="M1641" s="30" t="str">
        <f aca="false">IF(F1641="","",L1641-J1641)</f>
        <v/>
      </c>
      <c r="N1641" s="32" t="str">
        <f aca="false">IF(F1641="","",IF(H1641&lt;&gt;"","Kapandı",IF('Vade Sapması'!$D$3&gt;G1641,"Açık · vadesi geçti","Açık · vadesi gelmedi")))</f>
        <v/>
      </c>
      <c r="O1641" s="30" t="str">
        <f aca="false">IF(F1641="","",IF(AND(H1641="",'Vade Sapması'!$D$3&gt;G1641),'Vade Sapması'!$D$3-G1641,0))</f>
        <v/>
      </c>
      <c r="P1641" s="33" t="str">
        <f aca="false">IF(F1641="","",F1641*J1641)</f>
        <v/>
      </c>
      <c r="Q1641" s="33" t="str">
        <f aca="false">IF(F1641="","",F1641*L1641)</f>
        <v/>
      </c>
      <c r="R1641" s="33" t="str">
        <f aca="false">IF(F1641="","",IF(H1641="",F1641,0))</f>
        <v/>
      </c>
      <c r="S1641" s="32" t="str">
        <f aca="false">IF(F1641="","",IF(N(O1641)=0,"",IF(O1641&lt;=30,"1-30",IF(O1641&lt;=60,"31-60",IF(O1641&lt;=90,"61-90","90+")))))</f>
        <v/>
      </c>
      <c r="T1641" s="32" t="str">
        <f aca="false">IF(F1641="","",IF(E1641="","Diğer",E1641))</f>
        <v/>
      </c>
      <c r="U1641" s="32" t="str">
        <f aca="false">IF(OR(F1641="",C1641=""),"",IF(COUNTIF($C$2:C1641,C1641)=1,MAX($U$1:U1640)+1,""))</f>
        <v/>
      </c>
    </row>
    <row r="1642" customFormat="false" ht="15" hidden="false" customHeight="false" outlineLevel="0" collapsed="false">
      <c r="A1642" s="34"/>
      <c r="B1642" s="9"/>
      <c r="C1642" s="34"/>
      <c r="D1642" s="34"/>
      <c r="E1642" s="34"/>
      <c r="F1642" s="35"/>
      <c r="G1642" s="9"/>
      <c r="H1642" s="9"/>
      <c r="I1642" s="34"/>
      <c r="J1642" s="30" t="str">
        <f aca="false">IF(F1642="","",G1642-B1642)</f>
        <v/>
      </c>
      <c r="K1642" s="31" t="str">
        <f aca="false">IF(F1642="","",IF(H1642&lt;&gt;"",H1642,MAX('Vade Sapması'!$D$3,G1642)))</f>
        <v/>
      </c>
      <c r="L1642" s="30" t="str">
        <f aca="false">IF(F1642="","",K1642-B1642)</f>
        <v/>
      </c>
      <c r="M1642" s="30" t="str">
        <f aca="false">IF(F1642="","",L1642-J1642)</f>
        <v/>
      </c>
      <c r="N1642" s="32" t="str">
        <f aca="false">IF(F1642="","",IF(H1642&lt;&gt;"","Kapandı",IF('Vade Sapması'!$D$3&gt;G1642,"Açık · vadesi geçti","Açık · vadesi gelmedi")))</f>
        <v/>
      </c>
      <c r="O1642" s="30" t="str">
        <f aca="false">IF(F1642="","",IF(AND(H1642="",'Vade Sapması'!$D$3&gt;G1642),'Vade Sapması'!$D$3-G1642,0))</f>
        <v/>
      </c>
      <c r="P1642" s="33" t="str">
        <f aca="false">IF(F1642="","",F1642*J1642)</f>
        <v/>
      </c>
      <c r="Q1642" s="33" t="str">
        <f aca="false">IF(F1642="","",F1642*L1642)</f>
        <v/>
      </c>
      <c r="R1642" s="33" t="str">
        <f aca="false">IF(F1642="","",IF(H1642="",F1642,0))</f>
        <v/>
      </c>
      <c r="S1642" s="32" t="str">
        <f aca="false">IF(F1642="","",IF(N(O1642)=0,"",IF(O1642&lt;=30,"1-30",IF(O1642&lt;=60,"31-60",IF(O1642&lt;=90,"61-90","90+")))))</f>
        <v/>
      </c>
      <c r="T1642" s="32" t="str">
        <f aca="false">IF(F1642="","",IF(E1642="","Diğer",E1642))</f>
        <v/>
      </c>
      <c r="U1642" s="32" t="str">
        <f aca="false">IF(OR(F1642="",C1642=""),"",IF(COUNTIF($C$2:C1642,C1642)=1,MAX($U$1:U1641)+1,""))</f>
        <v/>
      </c>
    </row>
    <row r="1643" customFormat="false" ht="15" hidden="false" customHeight="false" outlineLevel="0" collapsed="false">
      <c r="A1643" s="34"/>
      <c r="B1643" s="9"/>
      <c r="C1643" s="34"/>
      <c r="D1643" s="34"/>
      <c r="E1643" s="34"/>
      <c r="F1643" s="35"/>
      <c r="G1643" s="9"/>
      <c r="H1643" s="9"/>
      <c r="I1643" s="34"/>
      <c r="J1643" s="30" t="str">
        <f aca="false">IF(F1643="","",G1643-B1643)</f>
        <v/>
      </c>
      <c r="K1643" s="31" t="str">
        <f aca="false">IF(F1643="","",IF(H1643&lt;&gt;"",H1643,MAX('Vade Sapması'!$D$3,G1643)))</f>
        <v/>
      </c>
      <c r="L1643" s="30" t="str">
        <f aca="false">IF(F1643="","",K1643-B1643)</f>
        <v/>
      </c>
      <c r="M1643" s="30" t="str">
        <f aca="false">IF(F1643="","",L1643-J1643)</f>
        <v/>
      </c>
      <c r="N1643" s="32" t="str">
        <f aca="false">IF(F1643="","",IF(H1643&lt;&gt;"","Kapandı",IF('Vade Sapması'!$D$3&gt;G1643,"Açık · vadesi geçti","Açık · vadesi gelmedi")))</f>
        <v/>
      </c>
      <c r="O1643" s="30" t="str">
        <f aca="false">IF(F1643="","",IF(AND(H1643="",'Vade Sapması'!$D$3&gt;G1643),'Vade Sapması'!$D$3-G1643,0))</f>
        <v/>
      </c>
      <c r="P1643" s="33" t="str">
        <f aca="false">IF(F1643="","",F1643*J1643)</f>
        <v/>
      </c>
      <c r="Q1643" s="33" t="str">
        <f aca="false">IF(F1643="","",F1643*L1643)</f>
        <v/>
      </c>
      <c r="R1643" s="33" t="str">
        <f aca="false">IF(F1643="","",IF(H1643="",F1643,0))</f>
        <v/>
      </c>
      <c r="S1643" s="32" t="str">
        <f aca="false">IF(F1643="","",IF(N(O1643)=0,"",IF(O1643&lt;=30,"1-30",IF(O1643&lt;=60,"31-60",IF(O1643&lt;=90,"61-90","90+")))))</f>
        <v/>
      </c>
      <c r="T1643" s="32" t="str">
        <f aca="false">IF(F1643="","",IF(E1643="","Diğer",E1643))</f>
        <v/>
      </c>
      <c r="U1643" s="32" t="str">
        <f aca="false">IF(OR(F1643="",C1643=""),"",IF(COUNTIF($C$2:C1643,C1643)=1,MAX($U$1:U1642)+1,""))</f>
        <v/>
      </c>
    </row>
    <row r="1644" customFormat="false" ht="15" hidden="false" customHeight="false" outlineLevel="0" collapsed="false">
      <c r="A1644" s="34"/>
      <c r="B1644" s="9"/>
      <c r="C1644" s="34"/>
      <c r="D1644" s="34"/>
      <c r="E1644" s="34"/>
      <c r="F1644" s="35"/>
      <c r="G1644" s="9"/>
      <c r="H1644" s="9"/>
      <c r="I1644" s="34"/>
      <c r="J1644" s="30" t="str">
        <f aca="false">IF(F1644="","",G1644-B1644)</f>
        <v/>
      </c>
      <c r="K1644" s="31" t="str">
        <f aca="false">IF(F1644="","",IF(H1644&lt;&gt;"",H1644,MAX('Vade Sapması'!$D$3,G1644)))</f>
        <v/>
      </c>
      <c r="L1644" s="30" t="str">
        <f aca="false">IF(F1644="","",K1644-B1644)</f>
        <v/>
      </c>
      <c r="M1644" s="30" t="str">
        <f aca="false">IF(F1644="","",L1644-J1644)</f>
        <v/>
      </c>
      <c r="N1644" s="32" t="str">
        <f aca="false">IF(F1644="","",IF(H1644&lt;&gt;"","Kapandı",IF('Vade Sapması'!$D$3&gt;G1644,"Açık · vadesi geçti","Açık · vadesi gelmedi")))</f>
        <v/>
      </c>
      <c r="O1644" s="30" t="str">
        <f aca="false">IF(F1644="","",IF(AND(H1644="",'Vade Sapması'!$D$3&gt;G1644),'Vade Sapması'!$D$3-G1644,0))</f>
        <v/>
      </c>
      <c r="P1644" s="33" t="str">
        <f aca="false">IF(F1644="","",F1644*J1644)</f>
        <v/>
      </c>
      <c r="Q1644" s="33" t="str">
        <f aca="false">IF(F1644="","",F1644*L1644)</f>
        <v/>
      </c>
      <c r="R1644" s="33" t="str">
        <f aca="false">IF(F1644="","",IF(H1644="",F1644,0))</f>
        <v/>
      </c>
      <c r="S1644" s="32" t="str">
        <f aca="false">IF(F1644="","",IF(N(O1644)=0,"",IF(O1644&lt;=30,"1-30",IF(O1644&lt;=60,"31-60",IF(O1644&lt;=90,"61-90","90+")))))</f>
        <v/>
      </c>
      <c r="T1644" s="32" t="str">
        <f aca="false">IF(F1644="","",IF(E1644="","Diğer",E1644))</f>
        <v/>
      </c>
      <c r="U1644" s="32" t="str">
        <f aca="false">IF(OR(F1644="",C1644=""),"",IF(COUNTIF($C$2:C1644,C1644)=1,MAX($U$1:U1643)+1,""))</f>
        <v/>
      </c>
    </row>
    <row r="1645" customFormat="false" ht="15" hidden="false" customHeight="false" outlineLevel="0" collapsed="false">
      <c r="A1645" s="34"/>
      <c r="B1645" s="9"/>
      <c r="C1645" s="34"/>
      <c r="D1645" s="34"/>
      <c r="E1645" s="34"/>
      <c r="F1645" s="35"/>
      <c r="G1645" s="9"/>
      <c r="H1645" s="9"/>
      <c r="I1645" s="34"/>
      <c r="J1645" s="30" t="str">
        <f aca="false">IF(F1645="","",G1645-B1645)</f>
        <v/>
      </c>
      <c r="K1645" s="31" t="str">
        <f aca="false">IF(F1645="","",IF(H1645&lt;&gt;"",H1645,MAX('Vade Sapması'!$D$3,G1645)))</f>
        <v/>
      </c>
      <c r="L1645" s="30" t="str">
        <f aca="false">IF(F1645="","",K1645-B1645)</f>
        <v/>
      </c>
      <c r="M1645" s="30" t="str">
        <f aca="false">IF(F1645="","",L1645-J1645)</f>
        <v/>
      </c>
      <c r="N1645" s="32" t="str">
        <f aca="false">IF(F1645="","",IF(H1645&lt;&gt;"","Kapandı",IF('Vade Sapması'!$D$3&gt;G1645,"Açık · vadesi geçti","Açık · vadesi gelmedi")))</f>
        <v/>
      </c>
      <c r="O1645" s="30" t="str">
        <f aca="false">IF(F1645="","",IF(AND(H1645="",'Vade Sapması'!$D$3&gt;G1645),'Vade Sapması'!$D$3-G1645,0))</f>
        <v/>
      </c>
      <c r="P1645" s="33" t="str">
        <f aca="false">IF(F1645="","",F1645*J1645)</f>
        <v/>
      </c>
      <c r="Q1645" s="33" t="str">
        <f aca="false">IF(F1645="","",F1645*L1645)</f>
        <v/>
      </c>
      <c r="R1645" s="33" t="str">
        <f aca="false">IF(F1645="","",IF(H1645="",F1645,0))</f>
        <v/>
      </c>
      <c r="S1645" s="32" t="str">
        <f aca="false">IF(F1645="","",IF(N(O1645)=0,"",IF(O1645&lt;=30,"1-30",IF(O1645&lt;=60,"31-60",IF(O1645&lt;=90,"61-90","90+")))))</f>
        <v/>
      </c>
      <c r="T1645" s="32" t="str">
        <f aca="false">IF(F1645="","",IF(E1645="","Diğer",E1645))</f>
        <v/>
      </c>
      <c r="U1645" s="32" t="str">
        <f aca="false">IF(OR(F1645="",C1645=""),"",IF(COUNTIF($C$2:C1645,C1645)=1,MAX($U$1:U1644)+1,""))</f>
        <v/>
      </c>
    </row>
    <row r="1646" customFormat="false" ht="15" hidden="false" customHeight="false" outlineLevel="0" collapsed="false">
      <c r="A1646" s="34"/>
      <c r="B1646" s="9"/>
      <c r="C1646" s="34"/>
      <c r="D1646" s="34"/>
      <c r="E1646" s="34"/>
      <c r="F1646" s="35"/>
      <c r="G1646" s="9"/>
      <c r="H1646" s="9"/>
      <c r="I1646" s="34"/>
      <c r="J1646" s="30" t="str">
        <f aca="false">IF(F1646="","",G1646-B1646)</f>
        <v/>
      </c>
      <c r="K1646" s="31" t="str">
        <f aca="false">IF(F1646="","",IF(H1646&lt;&gt;"",H1646,MAX('Vade Sapması'!$D$3,G1646)))</f>
        <v/>
      </c>
      <c r="L1646" s="30" t="str">
        <f aca="false">IF(F1646="","",K1646-B1646)</f>
        <v/>
      </c>
      <c r="M1646" s="30" t="str">
        <f aca="false">IF(F1646="","",L1646-J1646)</f>
        <v/>
      </c>
      <c r="N1646" s="32" t="str">
        <f aca="false">IF(F1646="","",IF(H1646&lt;&gt;"","Kapandı",IF('Vade Sapması'!$D$3&gt;G1646,"Açık · vadesi geçti","Açık · vadesi gelmedi")))</f>
        <v/>
      </c>
      <c r="O1646" s="30" t="str">
        <f aca="false">IF(F1646="","",IF(AND(H1646="",'Vade Sapması'!$D$3&gt;G1646),'Vade Sapması'!$D$3-G1646,0))</f>
        <v/>
      </c>
      <c r="P1646" s="33" t="str">
        <f aca="false">IF(F1646="","",F1646*J1646)</f>
        <v/>
      </c>
      <c r="Q1646" s="33" t="str">
        <f aca="false">IF(F1646="","",F1646*L1646)</f>
        <v/>
      </c>
      <c r="R1646" s="33" t="str">
        <f aca="false">IF(F1646="","",IF(H1646="",F1646,0))</f>
        <v/>
      </c>
      <c r="S1646" s="32" t="str">
        <f aca="false">IF(F1646="","",IF(N(O1646)=0,"",IF(O1646&lt;=30,"1-30",IF(O1646&lt;=60,"31-60",IF(O1646&lt;=90,"61-90","90+")))))</f>
        <v/>
      </c>
      <c r="T1646" s="32" t="str">
        <f aca="false">IF(F1646="","",IF(E1646="","Diğer",E1646))</f>
        <v/>
      </c>
      <c r="U1646" s="32" t="str">
        <f aca="false">IF(OR(F1646="",C1646=""),"",IF(COUNTIF($C$2:C1646,C1646)=1,MAX($U$1:U1645)+1,""))</f>
        <v/>
      </c>
    </row>
    <row r="1647" customFormat="false" ht="15" hidden="false" customHeight="false" outlineLevel="0" collapsed="false">
      <c r="A1647" s="34"/>
      <c r="B1647" s="9"/>
      <c r="C1647" s="34"/>
      <c r="D1647" s="34"/>
      <c r="E1647" s="34"/>
      <c r="F1647" s="35"/>
      <c r="G1647" s="9"/>
      <c r="H1647" s="9"/>
      <c r="I1647" s="34"/>
      <c r="J1647" s="30" t="str">
        <f aca="false">IF(F1647="","",G1647-B1647)</f>
        <v/>
      </c>
      <c r="K1647" s="31" t="str">
        <f aca="false">IF(F1647="","",IF(H1647&lt;&gt;"",H1647,MAX('Vade Sapması'!$D$3,G1647)))</f>
        <v/>
      </c>
      <c r="L1647" s="30" t="str">
        <f aca="false">IF(F1647="","",K1647-B1647)</f>
        <v/>
      </c>
      <c r="M1647" s="30" t="str">
        <f aca="false">IF(F1647="","",L1647-J1647)</f>
        <v/>
      </c>
      <c r="N1647" s="32" t="str">
        <f aca="false">IF(F1647="","",IF(H1647&lt;&gt;"","Kapandı",IF('Vade Sapması'!$D$3&gt;G1647,"Açık · vadesi geçti","Açık · vadesi gelmedi")))</f>
        <v/>
      </c>
      <c r="O1647" s="30" t="str">
        <f aca="false">IF(F1647="","",IF(AND(H1647="",'Vade Sapması'!$D$3&gt;G1647),'Vade Sapması'!$D$3-G1647,0))</f>
        <v/>
      </c>
      <c r="P1647" s="33" t="str">
        <f aca="false">IF(F1647="","",F1647*J1647)</f>
        <v/>
      </c>
      <c r="Q1647" s="33" t="str">
        <f aca="false">IF(F1647="","",F1647*L1647)</f>
        <v/>
      </c>
      <c r="R1647" s="33" t="str">
        <f aca="false">IF(F1647="","",IF(H1647="",F1647,0))</f>
        <v/>
      </c>
      <c r="S1647" s="32" t="str">
        <f aca="false">IF(F1647="","",IF(N(O1647)=0,"",IF(O1647&lt;=30,"1-30",IF(O1647&lt;=60,"31-60",IF(O1647&lt;=90,"61-90","90+")))))</f>
        <v/>
      </c>
      <c r="T1647" s="32" t="str">
        <f aca="false">IF(F1647="","",IF(E1647="","Diğer",E1647))</f>
        <v/>
      </c>
      <c r="U1647" s="32" t="str">
        <f aca="false">IF(OR(F1647="",C1647=""),"",IF(COUNTIF($C$2:C1647,C1647)=1,MAX($U$1:U1646)+1,""))</f>
        <v/>
      </c>
    </row>
    <row r="1648" customFormat="false" ht="15" hidden="false" customHeight="false" outlineLevel="0" collapsed="false">
      <c r="A1648" s="34"/>
      <c r="B1648" s="9"/>
      <c r="C1648" s="34"/>
      <c r="D1648" s="34"/>
      <c r="E1648" s="34"/>
      <c r="F1648" s="35"/>
      <c r="G1648" s="9"/>
      <c r="H1648" s="9"/>
      <c r="I1648" s="34"/>
      <c r="J1648" s="30" t="str">
        <f aca="false">IF(F1648="","",G1648-B1648)</f>
        <v/>
      </c>
      <c r="K1648" s="31" t="str">
        <f aca="false">IF(F1648="","",IF(H1648&lt;&gt;"",H1648,MAX('Vade Sapması'!$D$3,G1648)))</f>
        <v/>
      </c>
      <c r="L1648" s="30" t="str">
        <f aca="false">IF(F1648="","",K1648-B1648)</f>
        <v/>
      </c>
      <c r="M1648" s="30" t="str">
        <f aca="false">IF(F1648="","",L1648-J1648)</f>
        <v/>
      </c>
      <c r="N1648" s="32" t="str">
        <f aca="false">IF(F1648="","",IF(H1648&lt;&gt;"","Kapandı",IF('Vade Sapması'!$D$3&gt;G1648,"Açık · vadesi geçti","Açık · vadesi gelmedi")))</f>
        <v/>
      </c>
      <c r="O1648" s="30" t="str">
        <f aca="false">IF(F1648="","",IF(AND(H1648="",'Vade Sapması'!$D$3&gt;G1648),'Vade Sapması'!$D$3-G1648,0))</f>
        <v/>
      </c>
      <c r="P1648" s="33" t="str">
        <f aca="false">IF(F1648="","",F1648*J1648)</f>
        <v/>
      </c>
      <c r="Q1648" s="33" t="str">
        <f aca="false">IF(F1648="","",F1648*L1648)</f>
        <v/>
      </c>
      <c r="R1648" s="33" t="str">
        <f aca="false">IF(F1648="","",IF(H1648="",F1648,0))</f>
        <v/>
      </c>
      <c r="S1648" s="32" t="str">
        <f aca="false">IF(F1648="","",IF(N(O1648)=0,"",IF(O1648&lt;=30,"1-30",IF(O1648&lt;=60,"31-60",IF(O1648&lt;=90,"61-90","90+")))))</f>
        <v/>
      </c>
      <c r="T1648" s="32" t="str">
        <f aca="false">IF(F1648="","",IF(E1648="","Diğer",E1648))</f>
        <v/>
      </c>
      <c r="U1648" s="32" t="str">
        <f aca="false">IF(OR(F1648="",C1648=""),"",IF(COUNTIF($C$2:C1648,C1648)=1,MAX($U$1:U1647)+1,""))</f>
        <v/>
      </c>
    </row>
    <row r="1649" customFormat="false" ht="15" hidden="false" customHeight="false" outlineLevel="0" collapsed="false">
      <c r="A1649" s="34"/>
      <c r="B1649" s="9"/>
      <c r="C1649" s="34"/>
      <c r="D1649" s="34"/>
      <c r="E1649" s="34"/>
      <c r="F1649" s="35"/>
      <c r="G1649" s="9"/>
      <c r="H1649" s="9"/>
      <c r="I1649" s="34"/>
      <c r="J1649" s="30" t="str">
        <f aca="false">IF(F1649="","",G1649-B1649)</f>
        <v/>
      </c>
      <c r="K1649" s="31" t="str">
        <f aca="false">IF(F1649="","",IF(H1649&lt;&gt;"",H1649,MAX('Vade Sapması'!$D$3,G1649)))</f>
        <v/>
      </c>
      <c r="L1649" s="30" t="str">
        <f aca="false">IF(F1649="","",K1649-B1649)</f>
        <v/>
      </c>
      <c r="M1649" s="30" t="str">
        <f aca="false">IF(F1649="","",L1649-J1649)</f>
        <v/>
      </c>
      <c r="N1649" s="32" t="str">
        <f aca="false">IF(F1649="","",IF(H1649&lt;&gt;"","Kapandı",IF('Vade Sapması'!$D$3&gt;G1649,"Açık · vadesi geçti","Açık · vadesi gelmedi")))</f>
        <v/>
      </c>
      <c r="O1649" s="30" t="str">
        <f aca="false">IF(F1649="","",IF(AND(H1649="",'Vade Sapması'!$D$3&gt;G1649),'Vade Sapması'!$D$3-G1649,0))</f>
        <v/>
      </c>
      <c r="P1649" s="33" t="str">
        <f aca="false">IF(F1649="","",F1649*J1649)</f>
        <v/>
      </c>
      <c r="Q1649" s="33" t="str">
        <f aca="false">IF(F1649="","",F1649*L1649)</f>
        <v/>
      </c>
      <c r="R1649" s="33" t="str">
        <f aca="false">IF(F1649="","",IF(H1649="",F1649,0))</f>
        <v/>
      </c>
      <c r="S1649" s="32" t="str">
        <f aca="false">IF(F1649="","",IF(N(O1649)=0,"",IF(O1649&lt;=30,"1-30",IF(O1649&lt;=60,"31-60",IF(O1649&lt;=90,"61-90","90+")))))</f>
        <v/>
      </c>
      <c r="T1649" s="32" t="str">
        <f aca="false">IF(F1649="","",IF(E1649="","Diğer",E1649))</f>
        <v/>
      </c>
      <c r="U1649" s="32" t="str">
        <f aca="false">IF(OR(F1649="",C1649=""),"",IF(COUNTIF($C$2:C1649,C1649)=1,MAX($U$1:U1648)+1,""))</f>
        <v/>
      </c>
    </row>
    <row r="1650" customFormat="false" ht="15" hidden="false" customHeight="false" outlineLevel="0" collapsed="false">
      <c r="A1650" s="34"/>
      <c r="B1650" s="9"/>
      <c r="C1650" s="34"/>
      <c r="D1650" s="34"/>
      <c r="E1650" s="34"/>
      <c r="F1650" s="35"/>
      <c r="G1650" s="9"/>
      <c r="H1650" s="9"/>
      <c r="I1650" s="34"/>
      <c r="J1650" s="30" t="str">
        <f aca="false">IF(F1650="","",G1650-B1650)</f>
        <v/>
      </c>
      <c r="K1650" s="31" t="str">
        <f aca="false">IF(F1650="","",IF(H1650&lt;&gt;"",H1650,MAX('Vade Sapması'!$D$3,G1650)))</f>
        <v/>
      </c>
      <c r="L1650" s="30" t="str">
        <f aca="false">IF(F1650="","",K1650-B1650)</f>
        <v/>
      </c>
      <c r="M1650" s="30" t="str">
        <f aca="false">IF(F1650="","",L1650-J1650)</f>
        <v/>
      </c>
      <c r="N1650" s="32" t="str">
        <f aca="false">IF(F1650="","",IF(H1650&lt;&gt;"","Kapandı",IF('Vade Sapması'!$D$3&gt;G1650,"Açık · vadesi geçti","Açık · vadesi gelmedi")))</f>
        <v/>
      </c>
      <c r="O1650" s="30" t="str">
        <f aca="false">IF(F1650="","",IF(AND(H1650="",'Vade Sapması'!$D$3&gt;G1650),'Vade Sapması'!$D$3-G1650,0))</f>
        <v/>
      </c>
      <c r="P1650" s="33" t="str">
        <f aca="false">IF(F1650="","",F1650*J1650)</f>
        <v/>
      </c>
      <c r="Q1650" s="33" t="str">
        <f aca="false">IF(F1650="","",F1650*L1650)</f>
        <v/>
      </c>
      <c r="R1650" s="33" t="str">
        <f aca="false">IF(F1650="","",IF(H1650="",F1650,0))</f>
        <v/>
      </c>
      <c r="S1650" s="32" t="str">
        <f aca="false">IF(F1650="","",IF(N(O1650)=0,"",IF(O1650&lt;=30,"1-30",IF(O1650&lt;=60,"31-60",IF(O1650&lt;=90,"61-90","90+")))))</f>
        <v/>
      </c>
      <c r="T1650" s="32" t="str">
        <f aca="false">IF(F1650="","",IF(E1650="","Diğer",E1650))</f>
        <v/>
      </c>
      <c r="U1650" s="32" t="str">
        <f aca="false">IF(OR(F1650="",C1650=""),"",IF(COUNTIF($C$2:C1650,C1650)=1,MAX($U$1:U1649)+1,""))</f>
        <v/>
      </c>
    </row>
    <row r="1651" customFormat="false" ht="15" hidden="false" customHeight="false" outlineLevel="0" collapsed="false">
      <c r="A1651" s="34"/>
      <c r="B1651" s="9"/>
      <c r="C1651" s="34"/>
      <c r="D1651" s="34"/>
      <c r="E1651" s="34"/>
      <c r="F1651" s="35"/>
      <c r="G1651" s="9"/>
      <c r="H1651" s="9"/>
      <c r="I1651" s="34"/>
      <c r="J1651" s="30" t="str">
        <f aca="false">IF(F1651="","",G1651-B1651)</f>
        <v/>
      </c>
      <c r="K1651" s="31" t="str">
        <f aca="false">IF(F1651="","",IF(H1651&lt;&gt;"",H1651,MAX('Vade Sapması'!$D$3,G1651)))</f>
        <v/>
      </c>
      <c r="L1651" s="30" t="str">
        <f aca="false">IF(F1651="","",K1651-B1651)</f>
        <v/>
      </c>
      <c r="M1651" s="30" t="str">
        <f aca="false">IF(F1651="","",L1651-J1651)</f>
        <v/>
      </c>
      <c r="N1651" s="32" t="str">
        <f aca="false">IF(F1651="","",IF(H1651&lt;&gt;"","Kapandı",IF('Vade Sapması'!$D$3&gt;G1651,"Açık · vadesi geçti","Açık · vadesi gelmedi")))</f>
        <v/>
      </c>
      <c r="O1651" s="30" t="str">
        <f aca="false">IF(F1651="","",IF(AND(H1651="",'Vade Sapması'!$D$3&gt;G1651),'Vade Sapması'!$D$3-G1651,0))</f>
        <v/>
      </c>
      <c r="P1651" s="33" t="str">
        <f aca="false">IF(F1651="","",F1651*J1651)</f>
        <v/>
      </c>
      <c r="Q1651" s="33" t="str">
        <f aca="false">IF(F1651="","",F1651*L1651)</f>
        <v/>
      </c>
      <c r="R1651" s="33" t="str">
        <f aca="false">IF(F1651="","",IF(H1651="",F1651,0))</f>
        <v/>
      </c>
      <c r="S1651" s="32" t="str">
        <f aca="false">IF(F1651="","",IF(N(O1651)=0,"",IF(O1651&lt;=30,"1-30",IF(O1651&lt;=60,"31-60",IF(O1651&lt;=90,"61-90","90+")))))</f>
        <v/>
      </c>
      <c r="T1651" s="32" t="str">
        <f aca="false">IF(F1651="","",IF(E1651="","Diğer",E1651))</f>
        <v/>
      </c>
      <c r="U1651" s="32" t="str">
        <f aca="false">IF(OR(F1651="",C1651=""),"",IF(COUNTIF($C$2:C1651,C1651)=1,MAX($U$1:U1650)+1,""))</f>
        <v/>
      </c>
    </row>
    <row r="1652" customFormat="false" ht="15" hidden="false" customHeight="false" outlineLevel="0" collapsed="false">
      <c r="A1652" s="34"/>
      <c r="B1652" s="9"/>
      <c r="C1652" s="34"/>
      <c r="D1652" s="34"/>
      <c r="E1652" s="34"/>
      <c r="F1652" s="35"/>
      <c r="G1652" s="9"/>
      <c r="H1652" s="9"/>
      <c r="I1652" s="34"/>
      <c r="J1652" s="30" t="str">
        <f aca="false">IF(F1652="","",G1652-B1652)</f>
        <v/>
      </c>
      <c r="K1652" s="31" t="str">
        <f aca="false">IF(F1652="","",IF(H1652&lt;&gt;"",H1652,MAX('Vade Sapması'!$D$3,G1652)))</f>
        <v/>
      </c>
      <c r="L1652" s="30" t="str">
        <f aca="false">IF(F1652="","",K1652-B1652)</f>
        <v/>
      </c>
      <c r="M1652" s="30" t="str">
        <f aca="false">IF(F1652="","",L1652-J1652)</f>
        <v/>
      </c>
      <c r="N1652" s="32" t="str">
        <f aca="false">IF(F1652="","",IF(H1652&lt;&gt;"","Kapandı",IF('Vade Sapması'!$D$3&gt;G1652,"Açık · vadesi geçti","Açık · vadesi gelmedi")))</f>
        <v/>
      </c>
      <c r="O1652" s="30" t="str">
        <f aca="false">IF(F1652="","",IF(AND(H1652="",'Vade Sapması'!$D$3&gt;G1652),'Vade Sapması'!$D$3-G1652,0))</f>
        <v/>
      </c>
      <c r="P1652" s="33" t="str">
        <f aca="false">IF(F1652="","",F1652*J1652)</f>
        <v/>
      </c>
      <c r="Q1652" s="33" t="str">
        <f aca="false">IF(F1652="","",F1652*L1652)</f>
        <v/>
      </c>
      <c r="R1652" s="33" t="str">
        <f aca="false">IF(F1652="","",IF(H1652="",F1652,0))</f>
        <v/>
      </c>
      <c r="S1652" s="32" t="str">
        <f aca="false">IF(F1652="","",IF(N(O1652)=0,"",IF(O1652&lt;=30,"1-30",IF(O1652&lt;=60,"31-60",IF(O1652&lt;=90,"61-90","90+")))))</f>
        <v/>
      </c>
      <c r="T1652" s="32" t="str">
        <f aca="false">IF(F1652="","",IF(E1652="","Diğer",E1652))</f>
        <v/>
      </c>
      <c r="U1652" s="32" t="str">
        <f aca="false">IF(OR(F1652="",C1652=""),"",IF(COUNTIF($C$2:C1652,C1652)=1,MAX($U$1:U1651)+1,""))</f>
        <v/>
      </c>
    </row>
    <row r="1653" customFormat="false" ht="15" hidden="false" customHeight="false" outlineLevel="0" collapsed="false">
      <c r="A1653" s="34"/>
      <c r="B1653" s="9"/>
      <c r="C1653" s="34"/>
      <c r="D1653" s="34"/>
      <c r="E1653" s="34"/>
      <c r="F1653" s="35"/>
      <c r="G1653" s="9"/>
      <c r="H1653" s="9"/>
      <c r="I1653" s="34"/>
      <c r="J1653" s="30" t="str">
        <f aca="false">IF(F1653="","",G1653-B1653)</f>
        <v/>
      </c>
      <c r="K1653" s="31" t="str">
        <f aca="false">IF(F1653="","",IF(H1653&lt;&gt;"",H1653,MAX('Vade Sapması'!$D$3,G1653)))</f>
        <v/>
      </c>
      <c r="L1653" s="30" t="str">
        <f aca="false">IF(F1653="","",K1653-B1653)</f>
        <v/>
      </c>
      <c r="M1653" s="30" t="str">
        <f aca="false">IF(F1653="","",L1653-J1653)</f>
        <v/>
      </c>
      <c r="N1653" s="32" t="str">
        <f aca="false">IF(F1653="","",IF(H1653&lt;&gt;"","Kapandı",IF('Vade Sapması'!$D$3&gt;G1653,"Açık · vadesi geçti","Açık · vadesi gelmedi")))</f>
        <v/>
      </c>
      <c r="O1653" s="30" t="str">
        <f aca="false">IF(F1653="","",IF(AND(H1653="",'Vade Sapması'!$D$3&gt;G1653),'Vade Sapması'!$D$3-G1653,0))</f>
        <v/>
      </c>
      <c r="P1653" s="33" t="str">
        <f aca="false">IF(F1653="","",F1653*J1653)</f>
        <v/>
      </c>
      <c r="Q1653" s="33" t="str">
        <f aca="false">IF(F1653="","",F1653*L1653)</f>
        <v/>
      </c>
      <c r="R1653" s="33" t="str">
        <f aca="false">IF(F1653="","",IF(H1653="",F1653,0))</f>
        <v/>
      </c>
      <c r="S1653" s="32" t="str">
        <f aca="false">IF(F1653="","",IF(N(O1653)=0,"",IF(O1653&lt;=30,"1-30",IF(O1653&lt;=60,"31-60",IF(O1653&lt;=90,"61-90","90+")))))</f>
        <v/>
      </c>
      <c r="T1653" s="32" t="str">
        <f aca="false">IF(F1653="","",IF(E1653="","Diğer",E1653))</f>
        <v/>
      </c>
      <c r="U1653" s="32" t="str">
        <f aca="false">IF(OR(F1653="",C1653=""),"",IF(COUNTIF($C$2:C1653,C1653)=1,MAX($U$1:U1652)+1,""))</f>
        <v/>
      </c>
    </row>
    <row r="1654" customFormat="false" ht="15" hidden="false" customHeight="false" outlineLevel="0" collapsed="false">
      <c r="A1654" s="34"/>
      <c r="B1654" s="9"/>
      <c r="C1654" s="34"/>
      <c r="D1654" s="34"/>
      <c r="E1654" s="34"/>
      <c r="F1654" s="35"/>
      <c r="G1654" s="9"/>
      <c r="H1654" s="9"/>
      <c r="I1654" s="34"/>
      <c r="J1654" s="30" t="str">
        <f aca="false">IF(F1654="","",G1654-B1654)</f>
        <v/>
      </c>
      <c r="K1654" s="31" t="str">
        <f aca="false">IF(F1654="","",IF(H1654&lt;&gt;"",H1654,MAX('Vade Sapması'!$D$3,G1654)))</f>
        <v/>
      </c>
      <c r="L1654" s="30" t="str">
        <f aca="false">IF(F1654="","",K1654-B1654)</f>
        <v/>
      </c>
      <c r="M1654" s="30" t="str">
        <f aca="false">IF(F1654="","",L1654-J1654)</f>
        <v/>
      </c>
      <c r="N1654" s="32" t="str">
        <f aca="false">IF(F1654="","",IF(H1654&lt;&gt;"","Kapandı",IF('Vade Sapması'!$D$3&gt;G1654,"Açık · vadesi geçti","Açık · vadesi gelmedi")))</f>
        <v/>
      </c>
      <c r="O1654" s="30" t="str">
        <f aca="false">IF(F1654="","",IF(AND(H1654="",'Vade Sapması'!$D$3&gt;G1654),'Vade Sapması'!$D$3-G1654,0))</f>
        <v/>
      </c>
      <c r="P1654" s="33" t="str">
        <f aca="false">IF(F1654="","",F1654*J1654)</f>
        <v/>
      </c>
      <c r="Q1654" s="33" t="str">
        <f aca="false">IF(F1654="","",F1654*L1654)</f>
        <v/>
      </c>
      <c r="R1654" s="33" t="str">
        <f aca="false">IF(F1654="","",IF(H1654="",F1654,0))</f>
        <v/>
      </c>
      <c r="S1654" s="32" t="str">
        <f aca="false">IF(F1654="","",IF(N(O1654)=0,"",IF(O1654&lt;=30,"1-30",IF(O1654&lt;=60,"31-60",IF(O1654&lt;=90,"61-90","90+")))))</f>
        <v/>
      </c>
      <c r="T1654" s="32" t="str">
        <f aca="false">IF(F1654="","",IF(E1654="","Diğer",E1654))</f>
        <v/>
      </c>
      <c r="U1654" s="32" t="str">
        <f aca="false">IF(OR(F1654="",C1654=""),"",IF(COUNTIF($C$2:C1654,C1654)=1,MAX($U$1:U1653)+1,""))</f>
        <v/>
      </c>
    </row>
    <row r="1655" customFormat="false" ht="15" hidden="false" customHeight="false" outlineLevel="0" collapsed="false">
      <c r="A1655" s="34"/>
      <c r="B1655" s="9"/>
      <c r="C1655" s="34"/>
      <c r="D1655" s="34"/>
      <c r="E1655" s="34"/>
      <c r="F1655" s="35"/>
      <c r="G1655" s="9"/>
      <c r="H1655" s="9"/>
      <c r="I1655" s="34"/>
      <c r="J1655" s="30" t="str">
        <f aca="false">IF(F1655="","",G1655-B1655)</f>
        <v/>
      </c>
      <c r="K1655" s="31" t="str">
        <f aca="false">IF(F1655="","",IF(H1655&lt;&gt;"",H1655,MAX('Vade Sapması'!$D$3,G1655)))</f>
        <v/>
      </c>
      <c r="L1655" s="30" t="str">
        <f aca="false">IF(F1655="","",K1655-B1655)</f>
        <v/>
      </c>
      <c r="M1655" s="30" t="str">
        <f aca="false">IF(F1655="","",L1655-J1655)</f>
        <v/>
      </c>
      <c r="N1655" s="32" t="str">
        <f aca="false">IF(F1655="","",IF(H1655&lt;&gt;"","Kapandı",IF('Vade Sapması'!$D$3&gt;G1655,"Açık · vadesi geçti","Açık · vadesi gelmedi")))</f>
        <v/>
      </c>
      <c r="O1655" s="30" t="str">
        <f aca="false">IF(F1655="","",IF(AND(H1655="",'Vade Sapması'!$D$3&gt;G1655),'Vade Sapması'!$D$3-G1655,0))</f>
        <v/>
      </c>
      <c r="P1655" s="33" t="str">
        <f aca="false">IF(F1655="","",F1655*J1655)</f>
        <v/>
      </c>
      <c r="Q1655" s="33" t="str">
        <f aca="false">IF(F1655="","",F1655*L1655)</f>
        <v/>
      </c>
      <c r="R1655" s="33" t="str">
        <f aca="false">IF(F1655="","",IF(H1655="",F1655,0))</f>
        <v/>
      </c>
      <c r="S1655" s="32" t="str">
        <f aca="false">IF(F1655="","",IF(N(O1655)=0,"",IF(O1655&lt;=30,"1-30",IF(O1655&lt;=60,"31-60",IF(O1655&lt;=90,"61-90","90+")))))</f>
        <v/>
      </c>
      <c r="T1655" s="32" t="str">
        <f aca="false">IF(F1655="","",IF(E1655="","Diğer",E1655))</f>
        <v/>
      </c>
      <c r="U1655" s="32" t="str">
        <f aca="false">IF(OR(F1655="",C1655=""),"",IF(COUNTIF($C$2:C1655,C1655)=1,MAX($U$1:U1654)+1,""))</f>
        <v/>
      </c>
    </row>
    <row r="1656" customFormat="false" ht="15" hidden="false" customHeight="false" outlineLevel="0" collapsed="false">
      <c r="A1656" s="34"/>
      <c r="B1656" s="9"/>
      <c r="C1656" s="34"/>
      <c r="D1656" s="34"/>
      <c r="E1656" s="34"/>
      <c r="F1656" s="35"/>
      <c r="G1656" s="9"/>
      <c r="H1656" s="9"/>
      <c r="I1656" s="34"/>
      <c r="J1656" s="30" t="str">
        <f aca="false">IF(F1656="","",G1656-B1656)</f>
        <v/>
      </c>
      <c r="K1656" s="31" t="str">
        <f aca="false">IF(F1656="","",IF(H1656&lt;&gt;"",H1656,MAX('Vade Sapması'!$D$3,G1656)))</f>
        <v/>
      </c>
      <c r="L1656" s="30" t="str">
        <f aca="false">IF(F1656="","",K1656-B1656)</f>
        <v/>
      </c>
      <c r="M1656" s="30" t="str">
        <f aca="false">IF(F1656="","",L1656-J1656)</f>
        <v/>
      </c>
      <c r="N1656" s="32" t="str">
        <f aca="false">IF(F1656="","",IF(H1656&lt;&gt;"","Kapandı",IF('Vade Sapması'!$D$3&gt;G1656,"Açık · vadesi geçti","Açık · vadesi gelmedi")))</f>
        <v/>
      </c>
      <c r="O1656" s="30" t="str">
        <f aca="false">IF(F1656="","",IF(AND(H1656="",'Vade Sapması'!$D$3&gt;G1656),'Vade Sapması'!$D$3-G1656,0))</f>
        <v/>
      </c>
      <c r="P1656" s="33" t="str">
        <f aca="false">IF(F1656="","",F1656*J1656)</f>
        <v/>
      </c>
      <c r="Q1656" s="33" t="str">
        <f aca="false">IF(F1656="","",F1656*L1656)</f>
        <v/>
      </c>
      <c r="R1656" s="33" t="str">
        <f aca="false">IF(F1656="","",IF(H1656="",F1656,0))</f>
        <v/>
      </c>
      <c r="S1656" s="32" t="str">
        <f aca="false">IF(F1656="","",IF(N(O1656)=0,"",IF(O1656&lt;=30,"1-30",IF(O1656&lt;=60,"31-60",IF(O1656&lt;=90,"61-90","90+")))))</f>
        <v/>
      </c>
      <c r="T1656" s="32" t="str">
        <f aca="false">IF(F1656="","",IF(E1656="","Diğer",E1656))</f>
        <v/>
      </c>
      <c r="U1656" s="32" t="str">
        <f aca="false">IF(OR(F1656="",C1656=""),"",IF(COUNTIF($C$2:C1656,C1656)=1,MAX($U$1:U1655)+1,""))</f>
        <v/>
      </c>
    </row>
    <row r="1657" customFormat="false" ht="15" hidden="false" customHeight="false" outlineLevel="0" collapsed="false">
      <c r="A1657" s="34"/>
      <c r="B1657" s="9"/>
      <c r="C1657" s="34"/>
      <c r="D1657" s="34"/>
      <c r="E1657" s="34"/>
      <c r="F1657" s="35"/>
      <c r="G1657" s="9"/>
      <c r="H1657" s="9"/>
      <c r="I1657" s="34"/>
      <c r="J1657" s="30" t="str">
        <f aca="false">IF(F1657="","",G1657-B1657)</f>
        <v/>
      </c>
      <c r="K1657" s="31" t="str">
        <f aca="false">IF(F1657="","",IF(H1657&lt;&gt;"",H1657,MAX('Vade Sapması'!$D$3,G1657)))</f>
        <v/>
      </c>
      <c r="L1657" s="30" t="str">
        <f aca="false">IF(F1657="","",K1657-B1657)</f>
        <v/>
      </c>
      <c r="M1657" s="30" t="str">
        <f aca="false">IF(F1657="","",L1657-J1657)</f>
        <v/>
      </c>
      <c r="N1657" s="32" t="str">
        <f aca="false">IF(F1657="","",IF(H1657&lt;&gt;"","Kapandı",IF('Vade Sapması'!$D$3&gt;G1657,"Açık · vadesi geçti","Açık · vadesi gelmedi")))</f>
        <v/>
      </c>
      <c r="O1657" s="30" t="str">
        <f aca="false">IF(F1657="","",IF(AND(H1657="",'Vade Sapması'!$D$3&gt;G1657),'Vade Sapması'!$D$3-G1657,0))</f>
        <v/>
      </c>
      <c r="P1657" s="33" t="str">
        <f aca="false">IF(F1657="","",F1657*J1657)</f>
        <v/>
      </c>
      <c r="Q1657" s="33" t="str">
        <f aca="false">IF(F1657="","",F1657*L1657)</f>
        <v/>
      </c>
      <c r="R1657" s="33" t="str">
        <f aca="false">IF(F1657="","",IF(H1657="",F1657,0))</f>
        <v/>
      </c>
      <c r="S1657" s="32" t="str">
        <f aca="false">IF(F1657="","",IF(N(O1657)=0,"",IF(O1657&lt;=30,"1-30",IF(O1657&lt;=60,"31-60",IF(O1657&lt;=90,"61-90","90+")))))</f>
        <v/>
      </c>
      <c r="T1657" s="32" t="str">
        <f aca="false">IF(F1657="","",IF(E1657="","Diğer",E1657))</f>
        <v/>
      </c>
      <c r="U1657" s="32" t="str">
        <f aca="false">IF(OR(F1657="",C1657=""),"",IF(COUNTIF($C$2:C1657,C1657)=1,MAX($U$1:U1656)+1,""))</f>
        <v/>
      </c>
    </row>
    <row r="1658" customFormat="false" ht="15" hidden="false" customHeight="false" outlineLevel="0" collapsed="false">
      <c r="A1658" s="34"/>
      <c r="B1658" s="9"/>
      <c r="C1658" s="34"/>
      <c r="D1658" s="34"/>
      <c r="E1658" s="34"/>
      <c r="F1658" s="35"/>
      <c r="G1658" s="9"/>
      <c r="H1658" s="9"/>
      <c r="I1658" s="34"/>
      <c r="J1658" s="30" t="str">
        <f aca="false">IF(F1658="","",G1658-B1658)</f>
        <v/>
      </c>
      <c r="K1658" s="31" t="str">
        <f aca="false">IF(F1658="","",IF(H1658&lt;&gt;"",H1658,MAX('Vade Sapması'!$D$3,G1658)))</f>
        <v/>
      </c>
      <c r="L1658" s="30" t="str">
        <f aca="false">IF(F1658="","",K1658-B1658)</f>
        <v/>
      </c>
      <c r="M1658" s="30" t="str">
        <f aca="false">IF(F1658="","",L1658-J1658)</f>
        <v/>
      </c>
      <c r="N1658" s="32" t="str">
        <f aca="false">IF(F1658="","",IF(H1658&lt;&gt;"","Kapandı",IF('Vade Sapması'!$D$3&gt;G1658,"Açık · vadesi geçti","Açık · vadesi gelmedi")))</f>
        <v/>
      </c>
      <c r="O1658" s="30" t="str">
        <f aca="false">IF(F1658="","",IF(AND(H1658="",'Vade Sapması'!$D$3&gt;G1658),'Vade Sapması'!$D$3-G1658,0))</f>
        <v/>
      </c>
      <c r="P1658" s="33" t="str">
        <f aca="false">IF(F1658="","",F1658*J1658)</f>
        <v/>
      </c>
      <c r="Q1658" s="33" t="str">
        <f aca="false">IF(F1658="","",F1658*L1658)</f>
        <v/>
      </c>
      <c r="R1658" s="33" t="str">
        <f aca="false">IF(F1658="","",IF(H1658="",F1658,0))</f>
        <v/>
      </c>
      <c r="S1658" s="32" t="str">
        <f aca="false">IF(F1658="","",IF(N(O1658)=0,"",IF(O1658&lt;=30,"1-30",IF(O1658&lt;=60,"31-60",IF(O1658&lt;=90,"61-90","90+")))))</f>
        <v/>
      </c>
      <c r="T1658" s="32" t="str">
        <f aca="false">IF(F1658="","",IF(E1658="","Diğer",E1658))</f>
        <v/>
      </c>
      <c r="U1658" s="32" t="str">
        <f aca="false">IF(OR(F1658="",C1658=""),"",IF(COUNTIF($C$2:C1658,C1658)=1,MAX($U$1:U1657)+1,""))</f>
        <v/>
      </c>
    </row>
    <row r="1659" customFormat="false" ht="15" hidden="false" customHeight="false" outlineLevel="0" collapsed="false">
      <c r="A1659" s="34"/>
      <c r="B1659" s="9"/>
      <c r="C1659" s="34"/>
      <c r="D1659" s="34"/>
      <c r="E1659" s="34"/>
      <c r="F1659" s="35"/>
      <c r="G1659" s="9"/>
      <c r="H1659" s="9"/>
      <c r="I1659" s="34"/>
      <c r="J1659" s="30" t="str">
        <f aca="false">IF(F1659="","",G1659-B1659)</f>
        <v/>
      </c>
      <c r="K1659" s="31" t="str">
        <f aca="false">IF(F1659="","",IF(H1659&lt;&gt;"",H1659,MAX('Vade Sapması'!$D$3,G1659)))</f>
        <v/>
      </c>
      <c r="L1659" s="30" t="str">
        <f aca="false">IF(F1659="","",K1659-B1659)</f>
        <v/>
      </c>
      <c r="M1659" s="30" t="str">
        <f aca="false">IF(F1659="","",L1659-J1659)</f>
        <v/>
      </c>
      <c r="N1659" s="32" t="str">
        <f aca="false">IF(F1659="","",IF(H1659&lt;&gt;"","Kapandı",IF('Vade Sapması'!$D$3&gt;G1659,"Açık · vadesi geçti","Açık · vadesi gelmedi")))</f>
        <v/>
      </c>
      <c r="O1659" s="30" t="str">
        <f aca="false">IF(F1659="","",IF(AND(H1659="",'Vade Sapması'!$D$3&gt;G1659),'Vade Sapması'!$D$3-G1659,0))</f>
        <v/>
      </c>
      <c r="P1659" s="33" t="str">
        <f aca="false">IF(F1659="","",F1659*J1659)</f>
        <v/>
      </c>
      <c r="Q1659" s="33" t="str">
        <f aca="false">IF(F1659="","",F1659*L1659)</f>
        <v/>
      </c>
      <c r="R1659" s="33" t="str">
        <f aca="false">IF(F1659="","",IF(H1659="",F1659,0))</f>
        <v/>
      </c>
      <c r="S1659" s="32" t="str">
        <f aca="false">IF(F1659="","",IF(N(O1659)=0,"",IF(O1659&lt;=30,"1-30",IF(O1659&lt;=60,"31-60",IF(O1659&lt;=90,"61-90","90+")))))</f>
        <v/>
      </c>
      <c r="T1659" s="32" t="str">
        <f aca="false">IF(F1659="","",IF(E1659="","Diğer",E1659))</f>
        <v/>
      </c>
      <c r="U1659" s="32" t="str">
        <f aca="false">IF(OR(F1659="",C1659=""),"",IF(COUNTIF($C$2:C1659,C1659)=1,MAX($U$1:U1658)+1,""))</f>
        <v/>
      </c>
    </row>
    <row r="1660" customFormat="false" ht="15" hidden="false" customHeight="false" outlineLevel="0" collapsed="false">
      <c r="A1660" s="34"/>
      <c r="B1660" s="9"/>
      <c r="C1660" s="34"/>
      <c r="D1660" s="34"/>
      <c r="E1660" s="34"/>
      <c r="F1660" s="35"/>
      <c r="G1660" s="9"/>
      <c r="H1660" s="9"/>
      <c r="I1660" s="34"/>
      <c r="J1660" s="30" t="str">
        <f aca="false">IF(F1660="","",G1660-B1660)</f>
        <v/>
      </c>
      <c r="K1660" s="31" t="str">
        <f aca="false">IF(F1660="","",IF(H1660&lt;&gt;"",H1660,MAX('Vade Sapması'!$D$3,G1660)))</f>
        <v/>
      </c>
      <c r="L1660" s="30" t="str">
        <f aca="false">IF(F1660="","",K1660-B1660)</f>
        <v/>
      </c>
      <c r="M1660" s="30" t="str">
        <f aca="false">IF(F1660="","",L1660-J1660)</f>
        <v/>
      </c>
      <c r="N1660" s="32" t="str">
        <f aca="false">IF(F1660="","",IF(H1660&lt;&gt;"","Kapandı",IF('Vade Sapması'!$D$3&gt;G1660,"Açık · vadesi geçti","Açık · vadesi gelmedi")))</f>
        <v/>
      </c>
      <c r="O1660" s="30" t="str">
        <f aca="false">IF(F1660="","",IF(AND(H1660="",'Vade Sapması'!$D$3&gt;G1660),'Vade Sapması'!$D$3-G1660,0))</f>
        <v/>
      </c>
      <c r="P1660" s="33" t="str">
        <f aca="false">IF(F1660="","",F1660*J1660)</f>
        <v/>
      </c>
      <c r="Q1660" s="33" t="str">
        <f aca="false">IF(F1660="","",F1660*L1660)</f>
        <v/>
      </c>
      <c r="R1660" s="33" t="str">
        <f aca="false">IF(F1660="","",IF(H1660="",F1660,0))</f>
        <v/>
      </c>
      <c r="S1660" s="32" t="str">
        <f aca="false">IF(F1660="","",IF(N(O1660)=0,"",IF(O1660&lt;=30,"1-30",IF(O1660&lt;=60,"31-60",IF(O1660&lt;=90,"61-90","90+")))))</f>
        <v/>
      </c>
      <c r="T1660" s="32" t="str">
        <f aca="false">IF(F1660="","",IF(E1660="","Diğer",E1660))</f>
        <v/>
      </c>
      <c r="U1660" s="32" t="str">
        <f aca="false">IF(OR(F1660="",C1660=""),"",IF(COUNTIF($C$2:C1660,C1660)=1,MAX($U$1:U1659)+1,""))</f>
        <v/>
      </c>
    </row>
    <row r="1661" customFormat="false" ht="15" hidden="false" customHeight="false" outlineLevel="0" collapsed="false">
      <c r="A1661" s="34"/>
      <c r="B1661" s="9"/>
      <c r="C1661" s="34"/>
      <c r="D1661" s="34"/>
      <c r="E1661" s="34"/>
      <c r="F1661" s="35"/>
      <c r="G1661" s="9"/>
      <c r="H1661" s="9"/>
      <c r="I1661" s="34"/>
      <c r="J1661" s="30" t="str">
        <f aca="false">IF(F1661="","",G1661-B1661)</f>
        <v/>
      </c>
      <c r="K1661" s="31" t="str">
        <f aca="false">IF(F1661="","",IF(H1661&lt;&gt;"",H1661,MAX('Vade Sapması'!$D$3,G1661)))</f>
        <v/>
      </c>
      <c r="L1661" s="30" t="str">
        <f aca="false">IF(F1661="","",K1661-B1661)</f>
        <v/>
      </c>
      <c r="M1661" s="30" t="str">
        <f aca="false">IF(F1661="","",L1661-J1661)</f>
        <v/>
      </c>
      <c r="N1661" s="32" t="str">
        <f aca="false">IF(F1661="","",IF(H1661&lt;&gt;"","Kapandı",IF('Vade Sapması'!$D$3&gt;G1661,"Açık · vadesi geçti","Açık · vadesi gelmedi")))</f>
        <v/>
      </c>
      <c r="O1661" s="30" t="str">
        <f aca="false">IF(F1661="","",IF(AND(H1661="",'Vade Sapması'!$D$3&gt;G1661),'Vade Sapması'!$D$3-G1661,0))</f>
        <v/>
      </c>
      <c r="P1661" s="33" t="str">
        <f aca="false">IF(F1661="","",F1661*J1661)</f>
        <v/>
      </c>
      <c r="Q1661" s="33" t="str">
        <f aca="false">IF(F1661="","",F1661*L1661)</f>
        <v/>
      </c>
      <c r="R1661" s="33" t="str">
        <f aca="false">IF(F1661="","",IF(H1661="",F1661,0))</f>
        <v/>
      </c>
      <c r="S1661" s="32" t="str">
        <f aca="false">IF(F1661="","",IF(N(O1661)=0,"",IF(O1661&lt;=30,"1-30",IF(O1661&lt;=60,"31-60",IF(O1661&lt;=90,"61-90","90+")))))</f>
        <v/>
      </c>
      <c r="T1661" s="32" t="str">
        <f aca="false">IF(F1661="","",IF(E1661="","Diğer",E1661))</f>
        <v/>
      </c>
      <c r="U1661" s="32" t="str">
        <f aca="false">IF(OR(F1661="",C1661=""),"",IF(COUNTIF($C$2:C1661,C1661)=1,MAX($U$1:U1660)+1,""))</f>
        <v/>
      </c>
    </row>
    <row r="1662" customFormat="false" ht="15" hidden="false" customHeight="false" outlineLevel="0" collapsed="false">
      <c r="A1662" s="34"/>
      <c r="B1662" s="9"/>
      <c r="C1662" s="34"/>
      <c r="D1662" s="34"/>
      <c r="E1662" s="34"/>
      <c r="F1662" s="35"/>
      <c r="G1662" s="9"/>
      <c r="H1662" s="9"/>
      <c r="I1662" s="34"/>
      <c r="J1662" s="30" t="str">
        <f aca="false">IF(F1662="","",G1662-B1662)</f>
        <v/>
      </c>
      <c r="K1662" s="31" t="str">
        <f aca="false">IF(F1662="","",IF(H1662&lt;&gt;"",H1662,MAX('Vade Sapması'!$D$3,G1662)))</f>
        <v/>
      </c>
      <c r="L1662" s="30" t="str">
        <f aca="false">IF(F1662="","",K1662-B1662)</f>
        <v/>
      </c>
      <c r="M1662" s="30" t="str">
        <f aca="false">IF(F1662="","",L1662-J1662)</f>
        <v/>
      </c>
      <c r="N1662" s="32" t="str">
        <f aca="false">IF(F1662="","",IF(H1662&lt;&gt;"","Kapandı",IF('Vade Sapması'!$D$3&gt;G1662,"Açık · vadesi geçti","Açık · vadesi gelmedi")))</f>
        <v/>
      </c>
      <c r="O1662" s="30" t="str">
        <f aca="false">IF(F1662="","",IF(AND(H1662="",'Vade Sapması'!$D$3&gt;G1662),'Vade Sapması'!$D$3-G1662,0))</f>
        <v/>
      </c>
      <c r="P1662" s="33" t="str">
        <f aca="false">IF(F1662="","",F1662*J1662)</f>
        <v/>
      </c>
      <c r="Q1662" s="33" t="str">
        <f aca="false">IF(F1662="","",F1662*L1662)</f>
        <v/>
      </c>
      <c r="R1662" s="33" t="str">
        <f aca="false">IF(F1662="","",IF(H1662="",F1662,0))</f>
        <v/>
      </c>
      <c r="S1662" s="32" t="str">
        <f aca="false">IF(F1662="","",IF(N(O1662)=0,"",IF(O1662&lt;=30,"1-30",IF(O1662&lt;=60,"31-60",IF(O1662&lt;=90,"61-90","90+")))))</f>
        <v/>
      </c>
      <c r="T1662" s="32" t="str">
        <f aca="false">IF(F1662="","",IF(E1662="","Diğer",E1662))</f>
        <v/>
      </c>
      <c r="U1662" s="32" t="str">
        <f aca="false">IF(OR(F1662="",C1662=""),"",IF(COUNTIF($C$2:C1662,C1662)=1,MAX($U$1:U1661)+1,""))</f>
        <v/>
      </c>
    </row>
    <row r="1663" customFormat="false" ht="15" hidden="false" customHeight="false" outlineLevel="0" collapsed="false">
      <c r="A1663" s="34"/>
      <c r="B1663" s="9"/>
      <c r="C1663" s="34"/>
      <c r="D1663" s="34"/>
      <c r="E1663" s="34"/>
      <c r="F1663" s="35"/>
      <c r="G1663" s="9"/>
      <c r="H1663" s="9"/>
      <c r="I1663" s="34"/>
      <c r="J1663" s="30" t="str">
        <f aca="false">IF(F1663="","",G1663-B1663)</f>
        <v/>
      </c>
      <c r="K1663" s="31" t="str">
        <f aca="false">IF(F1663="","",IF(H1663&lt;&gt;"",H1663,MAX('Vade Sapması'!$D$3,G1663)))</f>
        <v/>
      </c>
      <c r="L1663" s="30" t="str">
        <f aca="false">IF(F1663="","",K1663-B1663)</f>
        <v/>
      </c>
      <c r="M1663" s="30" t="str">
        <f aca="false">IF(F1663="","",L1663-J1663)</f>
        <v/>
      </c>
      <c r="N1663" s="32" t="str">
        <f aca="false">IF(F1663="","",IF(H1663&lt;&gt;"","Kapandı",IF('Vade Sapması'!$D$3&gt;G1663,"Açık · vadesi geçti","Açık · vadesi gelmedi")))</f>
        <v/>
      </c>
      <c r="O1663" s="30" t="str">
        <f aca="false">IF(F1663="","",IF(AND(H1663="",'Vade Sapması'!$D$3&gt;G1663),'Vade Sapması'!$D$3-G1663,0))</f>
        <v/>
      </c>
      <c r="P1663" s="33" t="str">
        <f aca="false">IF(F1663="","",F1663*J1663)</f>
        <v/>
      </c>
      <c r="Q1663" s="33" t="str">
        <f aca="false">IF(F1663="","",F1663*L1663)</f>
        <v/>
      </c>
      <c r="R1663" s="33" t="str">
        <f aca="false">IF(F1663="","",IF(H1663="",F1663,0))</f>
        <v/>
      </c>
      <c r="S1663" s="32" t="str">
        <f aca="false">IF(F1663="","",IF(N(O1663)=0,"",IF(O1663&lt;=30,"1-30",IF(O1663&lt;=60,"31-60",IF(O1663&lt;=90,"61-90","90+")))))</f>
        <v/>
      </c>
      <c r="T1663" s="32" t="str">
        <f aca="false">IF(F1663="","",IF(E1663="","Diğer",E1663))</f>
        <v/>
      </c>
      <c r="U1663" s="32" t="str">
        <f aca="false">IF(OR(F1663="",C1663=""),"",IF(COUNTIF($C$2:C1663,C1663)=1,MAX($U$1:U1662)+1,""))</f>
        <v/>
      </c>
    </row>
    <row r="1664" customFormat="false" ht="15" hidden="false" customHeight="false" outlineLevel="0" collapsed="false">
      <c r="A1664" s="34"/>
      <c r="B1664" s="9"/>
      <c r="C1664" s="34"/>
      <c r="D1664" s="34"/>
      <c r="E1664" s="34"/>
      <c r="F1664" s="35"/>
      <c r="G1664" s="9"/>
      <c r="H1664" s="9"/>
      <c r="I1664" s="34"/>
      <c r="J1664" s="30" t="str">
        <f aca="false">IF(F1664="","",G1664-B1664)</f>
        <v/>
      </c>
      <c r="K1664" s="31" t="str">
        <f aca="false">IF(F1664="","",IF(H1664&lt;&gt;"",H1664,MAX('Vade Sapması'!$D$3,G1664)))</f>
        <v/>
      </c>
      <c r="L1664" s="30" t="str">
        <f aca="false">IF(F1664="","",K1664-B1664)</f>
        <v/>
      </c>
      <c r="M1664" s="30" t="str">
        <f aca="false">IF(F1664="","",L1664-J1664)</f>
        <v/>
      </c>
      <c r="N1664" s="32" t="str">
        <f aca="false">IF(F1664="","",IF(H1664&lt;&gt;"","Kapandı",IF('Vade Sapması'!$D$3&gt;G1664,"Açık · vadesi geçti","Açık · vadesi gelmedi")))</f>
        <v/>
      </c>
      <c r="O1664" s="30" t="str">
        <f aca="false">IF(F1664="","",IF(AND(H1664="",'Vade Sapması'!$D$3&gt;G1664),'Vade Sapması'!$D$3-G1664,0))</f>
        <v/>
      </c>
      <c r="P1664" s="33" t="str">
        <f aca="false">IF(F1664="","",F1664*J1664)</f>
        <v/>
      </c>
      <c r="Q1664" s="33" t="str">
        <f aca="false">IF(F1664="","",F1664*L1664)</f>
        <v/>
      </c>
      <c r="R1664" s="33" t="str">
        <f aca="false">IF(F1664="","",IF(H1664="",F1664,0))</f>
        <v/>
      </c>
      <c r="S1664" s="32" t="str">
        <f aca="false">IF(F1664="","",IF(N(O1664)=0,"",IF(O1664&lt;=30,"1-30",IF(O1664&lt;=60,"31-60",IF(O1664&lt;=90,"61-90","90+")))))</f>
        <v/>
      </c>
      <c r="T1664" s="32" t="str">
        <f aca="false">IF(F1664="","",IF(E1664="","Diğer",E1664))</f>
        <v/>
      </c>
      <c r="U1664" s="32" t="str">
        <f aca="false">IF(OR(F1664="",C1664=""),"",IF(COUNTIF($C$2:C1664,C1664)=1,MAX($U$1:U1663)+1,""))</f>
        <v/>
      </c>
    </row>
    <row r="1665" customFormat="false" ht="15" hidden="false" customHeight="false" outlineLevel="0" collapsed="false">
      <c r="A1665" s="34"/>
      <c r="B1665" s="9"/>
      <c r="C1665" s="34"/>
      <c r="D1665" s="34"/>
      <c r="E1665" s="34"/>
      <c r="F1665" s="35"/>
      <c r="G1665" s="9"/>
      <c r="H1665" s="9"/>
      <c r="I1665" s="34"/>
      <c r="J1665" s="30" t="str">
        <f aca="false">IF(F1665="","",G1665-B1665)</f>
        <v/>
      </c>
      <c r="K1665" s="31" t="str">
        <f aca="false">IF(F1665="","",IF(H1665&lt;&gt;"",H1665,MAX('Vade Sapması'!$D$3,G1665)))</f>
        <v/>
      </c>
      <c r="L1665" s="30" t="str">
        <f aca="false">IF(F1665="","",K1665-B1665)</f>
        <v/>
      </c>
      <c r="M1665" s="30" t="str">
        <f aca="false">IF(F1665="","",L1665-J1665)</f>
        <v/>
      </c>
      <c r="N1665" s="32" t="str">
        <f aca="false">IF(F1665="","",IF(H1665&lt;&gt;"","Kapandı",IF('Vade Sapması'!$D$3&gt;G1665,"Açık · vadesi geçti","Açık · vadesi gelmedi")))</f>
        <v/>
      </c>
      <c r="O1665" s="30" t="str">
        <f aca="false">IF(F1665="","",IF(AND(H1665="",'Vade Sapması'!$D$3&gt;G1665),'Vade Sapması'!$D$3-G1665,0))</f>
        <v/>
      </c>
      <c r="P1665" s="33" t="str">
        <f aca="false">IF(F1665="","",F1665*J1665)</f>
        <v/>
      </c>
      <c r="Q1665" s="33" t="str">
        <f aca="false">IF(F1665="","",F1665*L1665)</f>
        <v/>
      </c>
      <c r="R1665" s="33" t="str">
        <f aca="false">IF(F1665="","",IF(H1665="",F1665,0))</f>
        <v/>
      </c>
      <c r="S1665" s="32" t="str">
        <f aca="false">IF(F1665="","",IF(N(O1665)=0,"",IF(O1665&lt;=30,"1-30",IF(O1665&lt;=60,"31-60",IF(O1665&lt;=90,"61-90","90+")))))</f>
        <v/>
      </c>
      <c r="T1665" s="32" t="str">
        <f aca="false">IF(F1665="","",IF(E1665="","Diğer",E1665))</f>
        <v/>
      </c>
      <c r="U1665" s="32" t="str">
        <f aca="false">IF(OR(F1665="",C1665=""),"",IF(COUNTIF($C$2:C1665,C1665)=1,MAX($U$1:U1664)+1,""))</f>
        <v/>
      </c>
    </row>
    <row r="1666" customFormat="false" ht="15" hidden="false" customHeight="false" outlineLevel="0" collapsed="false">
      <c r="A1666" s="34"/>
      <c r="B1666" s="9"/>
      <c r="C1666" s="34"/>
      <c r="D1666" s="34"/>
      <c r="E1666" s="34"/>
      <c r="F1666" s="35"/>
      <c r="G1666" s="9"/>
      <c r="H1666" s="9"/>
      <c r="I1666" s="34"/>
      <c r="J1666" s="30" t="str">
        <f aca="false">IF(F1666="","",G1666-B1666)</f>
        <v/>
      </c>
      <c r="K1666" s="31" t="str">
        <f aca="false">IF(F1666="","",IF(H1666&lt;&gt;"",H1666,MAX('Vade Sapması'!$D$3,G1666)))</f>
        <v/>
      </c>
      <c r="L1666" s="30" t="str">
        <f aca="false">IF(F1666="","",K1666-B1666)</f>
        <v/>
      </c>
      <c r="M1666" s="30" t="str">
        <f aca="false">IF(F1666="","",L1666-J1666)</f>
        <v/>
      </c>
      <c r="N1666" s="32" t="str">
        <f aca="false">IF(F1666="","",IF(H1666&lt;&gt;"","Kapandı",IF('Vade Sapması'!$D$3&gt;G1666,"Açık · vadesi geçti","Açık · vadesi gelmedi")))</f>
        <v/>
      </c>
      <c r="O1666" s="30" t="str">
        <f aca="false">IF(F1666="","",IF(AND(H1666="",'Vade Sapması'!$D$3&gt;G1666),'Vade Sapması'!$D$3-G1666,0))</f>
        <v/>
      </c>
      <c r="P1666" s="33" t="str">
        <f aca="false">IF(F1666="","",F1666*J1666)</f>
        <v/>
      </c>
      <c r="Q1666" s="33" t="str">
        <f aca="false">IF(F1666="","",F1666*L1666)</f>
        <v/>
      </c>
      <c r="R1666" s="33" t="str">
        <f aca="false">IF(F1666="","",IF(H1666="",F1666,0))</f>
        <v/>
      </c>
      <c r="S1666" s="32" t="str">
        <f aca="false">IF(F1666="","",IF(N(O1666)=0,"",IF(O1666&lt;=30,"1-30",IF(O1666&lt;=60,"31-60",IF(O1666&lt;=90,"61-90","90+")))))</f>
        <v/>
      </c>
      <c r="T1666" s="32" t="str">
        <f aca="false">IF(F1666="","",IF(E1666="","Diğer",E1666))</f>
        <v/>
      </c>
      <c r="U1666" s="32" t="str">
        <f aca="false">IF(OR(F1666="",C1666=""),"",IF(COUNTIF($C$2:C1666,C1666)=1,MAX($U$1:U1665)+1,""))</f>
        <v/>
      </c>
    </row>
    <row r="1667" customFormat="false" ht="15" hidden="false" customHeight="false" outlineLevel="0" collapsed="false">
      <c r="A1667" s="34"/>
      <c r="B1667" s="9"/>
      <c r="C1667" s="34"/>
      <c r="D1667" s="34"/>
      <c r="E1667" s="34"/>
      <c r="F1667" s="35"/>
      <c r="G1667" s="9"/>
      <c r="H1667" s="9"/>
      <c r="I1667" s="34"/>
      <c r="J1667" s="30" t="str">
        <f aca="false">IF(F1667="","",G1667-B1667)</f>
        <v/>
      </c>
      <c r="K1667" s="31" t="str">
        <f aca="false">IF(F1667="","",IF(H1667&lt;&gt;"",H1667,MAX('Vade Sapması'!$D$3,G1667)))</f>
        <v/>
      </c>
      <c r="L1667" s="30" t="str">
        <f aca="false">IF(F1667="","",K1667-B1667)</f>
        <v/>
      </c>
      <c r="M1667" s="30" t="str">
        <f aca="false">IF(F1667="","",L1667-J1667)</f>
        <v/>
      </c>
      <c r="N1667" s="32" t="str">
        <f aca="false">IF(F1667="","",IF(H1667&lt;&gt;"","Kapandı",IF('Vade Sapması'!$D$3&gt;G1667,"Açık · vadesi geçti","Açık · vadesi gelmedi")))</f>
        <v/>
      </c>
      <c r="O1667" s="30" t="str">
        <f aca="false">IF(F1667="","",IF(AND(H1667="",'Vade Sapması'!$D$3&gt;G1667),'Vade Sapması'!$D$3-G1667,0))</f>
        <v/>
      </c>
      <c r="P1667" s="33" t="str">
        <f aca="false">IF(F1667="","",F1667*J1667)</f>
        <v/>
      </c>
      <c r="Q1667" s="33" t="str">
        <f aca="false">IF(F1667="","",F1667*L1667)</f>
        <v/>
      </c>
      <c r="R1667" s="33" t="str">
        <f aca="false">IF(F1667="","",IF(H1667="",F1667,0))</f>
        <v/>
      </c>
      <c r="S1667" s="32" t="str">
        <f aca="false">IF(F1667="","",IF(N(O1667)=0,"",IF(O1667&lt;=30,"1-30",IF(O1667&lt;=60,"31-60",IF(O1667&lt;=90,"61-90","90+")))))</f>
        <v/>
      </c>
      <c r="T1667" s="32" t="str">
        <f aca="false">IF(F1667="","",IF(E1667="","Diğer",E1667))</f>
        <v/>
      </c>
      <c r="U1667" s="32" t="str">
        <f aca="false">IF(OR(F1667="",C1667=""),"",IF(COUNTIF($C$2:C1667,C1667)=1,MAX($U$1:U1666)+1,""))</f>
        <v/>
      </c>
    </row>
    <row r="1668" customFormat="false" ht="15" hidden="false" customHeight="false" outlineLevel="0" collapsed="false">
      <c r="A1668" s="34"/>
      <c r="B1668" s="9"/>
      <c r="C1668" s="34"/>
      <c r="D1668" s="34"/>
      <c r="E1668" s="34"/>
      <c r="F1668" s="35"/>
      <c r="G1668" s="9"/>
      <c r="H1668" s="9"/>
      <c r="I1668" s="34"/>
      <c r="J1668" s="30" t="str">
        <f aca="false">IF(F1668="","",G1668-B1668)</f>
        <v/>
      </c>
      <c r="K1668" s="31" t="str">
        <f aca="false">IF(F1668="","",IF(H1668&lt;&gt;"",H1668,MAX('Vade Sapması'!$D$3,G1668)))</f>
        <v/>
      </c>
      <c r="L1668" s="30" t="str">
        <f aca="false">IF(F1668="","",K1668-B1668)</f>
        <v/>
      </c>
      <c r="M1668" s="30" t="str">
        <f aca="false">IF(F1668="","",L1668-J1668)</f>
        <v/>
      </c>
      <c r="N1668" s="32" t="str">
        <f aca="false">IF(F1668="","",IF(H1668&lt;&gt;"","Kapandı",IF('Vade Sapması'!$D$3&gt;G1668,"Açık · vadesi geçti","Açık · vadesi gelmedi")))</f>
        <v/>
      </c>
      <c r="O1668" s="30" t="str">
        <f aca="false">IF(F1668="","",IF(AND(H1668="",'Vade Sapması'!$D$3&gt;G1668),'Vade Sapması'!$D$3-G1668,0))</f>
        <v/>
      </c>
      <c r="P1668" s="33" t="str">
        <f aca="false">IF(F1668="","",F1668*J1668)</f>
        <v/>
      </c>
      <c r="Q1668" s="33" t="str">
        <f aca="false">IF(F1668="","",F1668*L1668)</f>
        <v/>
      </c>
      <c r="R1668" s="33" t="str">
        <f aca="false">IF(F1668="","",IF(H1668="",F1668,0))</f>
        <v/>
      </c>
      <c r="S1668" s="32" t="str">
        <f aca="false">IF(F1668="","",IF(N(O1668)=0,"",IF(O1668&lt;=30,"1-30",IF(O1668&lt;=60,"31-60",IF(O1668&lt;=90,"61-90","90+")))))</f>
        <v/>
      </c>
      <c r="T1668" s="32" t="str">
        <f aca="false">IF(F1668="","",IF(E1668="","Diğer",E1668))</f>
        <v/>
      </c>
      <c r="U1668" s="32" t="str">
        <f aca="false">IF(OR(F1668="",C1668=""),"",IF(COUNTIF($C$2:C1668,C1668)=1,MAX($U$1:U1667)+1,""))</f>
        <v/>
      </c>
    </row>
    <row r="1669" customFormat="false" ht="15" hidden="false" customHeight="false" outlineLevel="0" collapsed="false">
      <c r="A1669" s="34"/>
      <c r="B1669" s="9"/>
      <c r="C1669" s="34"/>
      <c r="D1669" s="34"/>
      <c r="E1669" s="34"/>
      <c r="F1669" s="35"/>
      <c r="G1669" s="9"/>
      <c r="H1669" s="9"/>
      <c r="I1669" s="34"/>
      <c r="J1669" s="30" t="str">
        <f aca="false">IF(F1669="","",G1669-B1669)</f>
        <v/>
      </c>
      <c r="K1669" s="31" t="str">
        <f aca="false">IF(F1669="","",IF(H1669&lt;&gt;"",H1669,MAX('Vade Sapması'!$D$3,G1669)))</f>
        <v/>
      </c>
      <c r="L1669" s="30" t="str">
        <f aca="false">IF(F1669="","",K1669-B1669)</f>
        <v/>
      </c>
      <c r="M1669" s="30" t="str">
        <f aca="false">IF(F1669="","",L1669-J1669)</f>
        <v/>
      </c>
      <c r="N1669" s="32" t="str">
        <f aca="false">IF(F1669="","",IF(H1669&lt;&gt;"","Kapandı",IF('Vade Sapması'!$D$3&gt;G1669,"Açık · vadesi geçti","Açık · vadesi gelmedi")))</f>
        <v/>
      </c>
      <c r="O1669" s="30" t="str">
        <f aca="false">IF(F1669="","",IF(AND(H1669="",'Vade Sapması'!$D$3&gt;G1669),'Vade Sapması'!$D$3-G1669,0))</f>
        <v/>
      </c>
      <c r="P1669" s="33" t="str">
        <f aca="false">IF(F1669="","",F1669*J1669)</f>
        <v/>
      </c>
      <c r="Q1669" s="33" t="str">
        <f aca="false">IF(F1669="","",F1669*L1669)</f>
        <v/>
      </c>
      <c r="R1669" s="33" t="str">
        <f aca="false">IF(F1669="","",IF(H1669="",F1669,0))</f>
        <v/>
      </c>
      <c r="S1669" s="32" t="str">
        <f aca="false">IF(F1669="","",IF(N(O1669)=0,"",IF(O1669&lt;=30,"1-30",IF(O1669&lt;=60,"31-60",IF(O1669&lt;=90,"61-90","90+")))))</f>
        <v/>
      </c>
      <c r="T1669" s="32" t="str">
        <f aca="false">IF(F1669="","",IF(E1669="","Diğer",E1669))</f>
        <v/>
      </c>
      <c r="U1669" s="32" t="str">
        <f aca="false">IF(OR(F1669="",C1669=""),"",IF(COUNTIF($C$2:C1669,C1669)=1,MAX($U$1:U1668)+1,""))</f>
        <v/>
      </c>
    </row>
    <row r="1670" customFormat="false" ht="15" hidden="false" customHeight="false" outlineLevel="0" collapsed="false">
      <c r="A1670" s="34"/>
      <c r="B1670" s="9"/>
      <c r="C1670" s="34"/>
      <c r="D1670" s="34"/>
      <c r="E1670" s="34"/>
      <c r="F1670" s="35"/>
      <c r="G1670" s="9"/>
      <c r="H1670" s="9"/>
      <c r="I1670" s="34"/>
      <c r="J1670" s="30" t="str">
        <f aca="false">IF(F1670="","",G1670-B1670)</f>
        <v/>
      </c>
      <c r="K1670" s="31" t="str">
        <f aca="false">IF(F1670="","",IF(H1670&lt;&gt;"",H1670,MAX('Vade Sapması'!$D$3,G1670)))</f>
        <v/>
      </c>
      <c r="L1670" s="30" t="str">
        <f aca="false">IF(F1670="","",K1670-B1670)</f>
        <v/>
      </c>
      <c r="M1670" s="30" t="str">
        <f aca="false">IF(F1670="","",L1670-J1670)</f>
        <v/>
      </c>
      <c r="N1670" s="32" t="str">
        <f aca="false">IF(F1670="","",IF(H1670&lt;&gt;"","Kapandı",IF('Vade Sapması'!$D$3&gt;G1670,"Açık · vadesi geçti","Açık · vadesi gelmedi")))</f>
        <v/>
      </c>
      <c r="O1670" s="30" t="str">
        <f aca="false">IF(F1670="","",IF(AND(H1670="",'Vade Sapması'!$D$3&gt;G1670),'Vade Sapması'!$D$3-G1670,0))</f>
        <v/>
      </c>
      <c r="P1670" s="33" t="str">
        <f aca="false">IF(F1670="","",F1670*J1670)</f>
        <v/>
      </c>
      <c r="Q1670" s="33" t="str">
        <f aca="false">IF(F1670="","",F1670*L1670)</f>
        <v/>
      </c>
      <c r="R1670" s="33" t="str">
        <f aca="false">IF(F1670="","",IF(H1670="",F1670,0))</f>
        <v/>
      </c>
      <c r="S1670" s="32" t="str">
        <f aca="false">IF(F1670="","",IF(N(O1670)=0,"",IF(O1670&lt;=30,"1-30",IF(O1670&lt;=60,"31-60",IF(O1670&lt;=90,"61-90","90+")))))</f>
        <v/>
      </c>
      <c r="T1670" s="32" t="str">
        <f aca="false">IF(F1670="","",IF(E1670="","Diğer",E1670))</f>
        <v/>
      </c>
      <c r="U1670" s="32" t="str">
        <f aca="false">IF(OR(F1670="",C1670=""),"",IF(COUNTIF($C$2:C1670,C1670)=1,MAX($U$1:U1669)+1,""))</f>
        <v/>
      </c>
    </row>
    <row r="1671" customFormat="false" ht="15" hidden="false" customHeight="false" outlineLevel="0" collapsed="false">
      <c r="A1671" s="34"/>
      <c r="B1671" s="9"/>
      <c r="C1671" s="34"/>
      <c r="D1671" s="34"/>
      <c r="E1671" s="34"/>
      <c r="F1671" s="35"/>
      <c r="G1671" s="9"/>
      <c r="H1671" s="9"/>
      <c r="I1671" s="34"/>
      <c r="J1671" s="30" t="str">
        <f aca="false">IF(F1671="","",G1671-B1671)</f>
        <v/>
      </c>
      <c r="K1671" s="31" t="str">
        <f aca="false">IF(F1671="","",IF(H1671&lt;&gt;"",H1671,MAX('Vade Sapması'!$D$3,G1671)))</f>
        <v/>
      </c>
      <c r="L1671" s="30" t="str">
        <f aca="false">IF(F1671="","",K1671-B1671)</f>
        <v/>
      </c>
      <c r="M1671" s="30" t="str">
        <f aca="false">IF(F1671="","",L1671-J1671)</f>
        <v/>
      </c>
      <c r="N1671" s="32" t="str">
        <f aca="false">IF(F1671="","",IF(H1671&lt;&gt;"","Kapandı",IF('Vade Sapması'!$D$3&gt;G1671,"Açık · vadesi geçti","Açık · vadesi gelmedi")))</f>
        <v/>
      </c>
      <c r="O1671" s="30" t="str">
        <f aca="false">IF(F1671="","",IF(AND(H1671="",'Vade Sapması'!$D$3&gt;G1671),'Vade Sapması'!$D$3-G1671,0))</f>
        <v/>
      </c>
      <c r="P1671" s="33" t="str">
        <f aca="false">IF(F1671="","",F1671*J1671)</f>
        <v/>
      </c>
      <c r="Q1671" s="33" t="str">
        <f aca="false">IF(F1671="","",F1671*L1671)</f>
        <v/>
      </c>
      <c r="R1671" s="33" t="str">
        <f aca="false">IF(F1671="","",IF(H1671="",F1671,0))</f>
        <v/>
      </c>
      <c r="S1671" s="32" t="str">
        <f aca="false">IF(F1671="","",IF(N(O1671)=0,"",IF(O1671&lt;=30,"1-30",IF(O1671&lt;=60,"31-60",IF(O1671&lt;=90,"61-90","90+")))))</f>
        <v/>
      </c>
      <c r="T1671" s="32" t="str">
        <f aca="false">IF(F1671="","",IF(E1671="","Diğer",E1671))</f>
        <v/>
      </c>
      <c r="U1671" s="32" t="str">
        <f aca="false">IF(OR(F1671="",C1671=""),"",IF(COUNTIF($C$2:C1671,C1671)=1,MAX($U$1:U1670)+1,""))</f>
        <v/>
      </c>
    </row>
    <row r="1672" customFormat="false" ht="15" hidden="false" customHeight="false" outlineLevel="0" collapsed="false">
      <c r="A1672" s="34"/>
      <c r="B1672" s="9"/>
      <c r="C1672" s="34"/>
      <c r="D1672" s="34"/>
      <c r="E1672" s="34"/>
      <c r="F1672" s="35"/>
      <c r="G1672" s="9"/>
      <c r="H1672" s="9"/>
      <c r="I1672" s="34"/>
      <c r="J1672" s="30" t="str">
        <f aca="false">IF(F1672="","",G1672-B1672)</f>
        <v/>
      </c>
      <c r="K1672" s="31" t="str">
        <f aca="false">IF(F1672="","",IF(H1672&lt;&gt;"",H1672,MAX('Vade Sapması'!$D$3,G1672)))</f>
        <v/>
      </c>
      <c r="L1672" s="30" t="str">
        <f aca="false">IF(F1672="","",K1672-B1672)</f>
        <v/>
      </c>
      <c r="M1672" s="30" t="str">
        <f aca="false">IF(F1672="","",L1672-J1672)</f>
        <v/>
      </c>
      <c r="N1672" s="32" t="str">
        <f aca="false">IF(F1672="","",IF(H1672&lt;&gt;"","Kapandı",IF('Vade Sapması'!$D$3&gt;G1672,"Açık · vadesi geçti","Açık · vadesi gelmedi")))</f>
        <v/>
      </c>
      <c r="O1672" s="30" t="str">
        <f aca="false">IF(F1672="","",IF(AND(H1672="",'Vade Sapması'!$D$3&gt;G1672),'Vade Sapması'!$D$3-G1672,0))</f>
        <v/>
      </c>
      <c r="P1672" s="33" t="str">
        <f aca="false">IF(F1672="","",F1672*J1672)</f>
        <v/>
      </c>
      <c r="Q1672" s="33" t="str">
        <f aca="false">IF(F1672="","",F1672*L1672)</f>
        <v/>
      </c>
      <c r="R1672" s="33" t="str">
        <f aca="false">IF(F1672="","",IF(H1672="",F1672,0))</f>
        <v/>
      </c>
      <c r="S1672" s="32" t="str">
        <f aca="false">IF(F1672="","",IF(N(O1672)=0,"",IF(O1672&lt;=30,"1-30",IF(O1672&lt;=60,"31-60",IF(O1672&lt;=90,"61-90","90+")))))</f>
        <v/>
      </c>
      <c r="T1672" s="32" t="str">
        <f aca="false">IF(F1672="","",IF(E1672="","Diğer",E1672))</f>
        <v/>
      </c>
      <c r="U1672" s="32" t="str">
        <f aca="false">IF(OR(F1672="",C1672=""),"",IF(COUNTIF($C$2:C1672,C1672)=1,MAX($U$1:U1671)+1,""))</f>
        <v/>
      </c>
    </row>
    <row r="1673" customFormat="false" ht="15" hidden="false" customHeight="false" outlineLevel="0" collapsed="false">
      <c r="A1673" s="34"/>
      <c r="B1673" s="9"/>
      <c r="C1673" s="34"/>
      <c r="D1673" s="34"/>
      <c r="E1673" s="34"/>
      <c r="F1673" s="35"/>
      <c r="G1673" s="9"/>
      <c r="H1673" s="9"/>
      <c r="I1673" s="34"/>
      <c r="J1673" s="30" t="str">
        <f aca="false">IF(F1673="","",G1673-B1673)</f>
        <v/>
      </c>
      <c r="K1673" s="31" t="str">
        <f aca="false">IF(F1673="","",IF(H1673&lt;&gt;"",H1673,MAX('Vade Sapması'!$D$3,G1673)))</f>
        <v/>
      </c>
      <c r="L1673" s="30" t="str">
        <f aca="false">IF(F1673="","",K1673-B1673)</f>
        <v/>
      </c>
      <c r="M1673" s="30" t="str">
        <f aca="false">IF(F1673="","",L1673-J1673)</f>
        <v/>
      </c>
      <c r="N1673" s="32" t="str">
        <f aca="false">IF(F1673="","",IF(H1673&lt;&gt;"","Kapandı",IF('Vade Sapması'!$D$3&gt;G1673,"Açık · vadesi geçti","Açık · vadesi gelmedi")))</f>
        <v/>
      </c>
      <c r="O1673" s="30" t="str">
        <f aca="false">IF(F1673="","",IF(AND(H1673="",'Vade Sapması'!$D$3&gt;G1673),'Vade Sapması'!$D$3-G1673,0))</f>
        <v/>
      </c>
      <c r="P1673" s="33" t="str">
        <f aca="false">IF(F1673="","",F1673*J1673)</f>
        <v/>
      </c>
      <c r="Q1673" s="33" t="str">
        <f aca="false">IF(F1673="","",F1673*L1673)</f>
        <v/>
      </c>
      <c r="R1673" s="33" t="str">
        <f aca="false">IF(F1673="","",IF(H1673="",F1673,0))</f>
        <v/>
      </c>
      <c r="S1673" s="32" t="str">
        <f aca="false">IF(F1673="","",IF(N(O1673)=0,"",IF(O1673&lt;=30,"1-30",IF(O1673&lt;=60,"31-60",IF(O1673&lt;=90,"61-90","90+")))))</f>
        <v/>
      </c>
      <c r="T1673" s="32" t="str">
        <f aca="false">IF(F1673="","",IF(E1673="","Diğer",E1673))</f>
        <v/>
      </c>
      <c r="U1673" s="32" t="str">
        <f aca="false">IF(OR(F1673="",C1673=""),"",IF(COUNTIF($C$2:C1673,C1673)=1,MAX($U$1:U1672)+1,""))</f>
        <v/>
      </c>
    </row>
    <row r="1674" customFormat="false" ht="15" hidden="false" customHeight="false" outlineLevel="0" collapsed="false">
      <c r="A1674" s="34"/>
      <c r="B1674" s="9"/>
      <c r="C1674" s="34"/>
      <c r="D1674" s="34"/>
      <c r="E1674" s="34"/>
      <c r="F1674" s="35"/>
      <c r="G1674" s="9"/>
      <c r="H1674" s="9"/>
      <c r="I1674" s="34"/>
      <c r="J1674" s="30" t="str">
        <f aca="false">IF(F1674="","",G1674-B1674)</f>
        <v/>
      </c>
      <c r="K1674" s="31" t="str">
        <f aca="false">IF(F1674="","",IF(H1674&lt;&gt;"",H1674,MAX('Vade Sapması'!$D$3,G1674)))</f>
        <v/>
      </c>
      <c r="L1674" s="30" t="str">
        <f aca="false">IF(F1674="","",K1674-B1674)</f>
        <v/>
      </c>
      <c r="M1674" s="30" t="str">
        <f aca="false">IF(F1674="","",L1674-J1674)</f>
        <v/>
      </c>
      <c r="N1674" s="32" t="str">
        <f aca="false">IF(F1674="","",IF(H1674&lt;&gt;"","Kapandı",IF('Vade Sapması'!$D$3&gt;G1674,"Açık · vadesi geçti","Açık · vadesi gelmedi")))</f>
        <v/>
      </c>
      <c r="O1674" s="30" t="str">
        <f aca="false">IF(F1674="","",IF(AND(H1674="",'Vade Sapması'!$D$3&gt;G1674),'Vade Sapması'!$D$3-G1674,0))</f>
        <v/>
      </c>
      <c r="P1674" s="33" t="str">
        <f aca="false">IF(F1674="","",F1674*J1674)</f>
        <v/>
      </c>
      <c r="Q1674" s="33" t="str">
        <f aca="false">IF(F1674="","",F1674*L1674)</f>
        <v/>
      </c>
      <c r="R1674" s="33" t="str">
        <f aca="false">IF(F1674="","",IF(H1674="",F1674,0))</f>
        <v/>
      </c>
      <c r="S1674" s="32" t="str">
        <f aca="false">IF(F1674="","",IF(N(O1674)=0,"",IF(O1674&lt;=30,"1-30",IF(O1674&lt;=60,"31-60",IF(O1674&lt;=90,"61-90","90+")))))</f>
        <v/>
      </c>
      <c r="T1674" s="32" t="str">
        <f aca="false">IF(F1674="","",IF(E1674="","Diğer",E1674))</f>
        <v/>
      </c>
      <c r="U1674" s="32" t="str">
        <f aca="false">IF(OR(F1674="",C1674=""),"",IF(COUNTIF($C$2:C1674,C1674)=1,MAX($U$1:U1673)+1,""))</f>
        <v/>
      </c>
    </row>
    <row r="1675" customFormat="false" ht="15" hidden="false" customHeight="false" outlineLevel="0" collapsed="false">
      <c r="A1675" s="34"/>
      <c r="B1675" s="9"/>
      <c r="C1675" s="34"/>
      <c r="D1675" s="34"/>
      <c r="E1675" s="34"/>
      <c r="F1675" s="35"/>
      <c r="G1675" s="9"/>
      <c r="H1675" s="9"/>
      <c r="I1675" s="34"/>
      <c r="J1675" s="30" t="str">
        <f aca="false">IF(F1675="","",G1675-B1675)</f>
        <v/>
      </c>
      <c r="K1675" s="31" t="str">
        <f aca="false">IF(F1675="","",IF(H1675&lt;&gt;"",H1675,MAX('Vade Sapması'!$D$3,G1675)))</f>
        <v/>
      </c>
      <c r="L1675" s="30" t="str">
        <f aca="false">IF(F1675="","",K1675-B1675)</f>
        <v/>
      </c>
      <c r="M1675" s="30" t="str">
        <f aca="false">IF(F1675="","",L1675-J1675)</f>
        <v/>
      </c>
      <c r="N1675" s="32" t="str">
        <f aca="false">IF(F1675="","",IF(H1675&lt;&gt;"","Kapandı",IF('Vade Sapması'!$D$3&gt;G1675,"Açık · vadesi geçti","Açık · vadesi gelmedi")))</f>
        <v/>
      </c>
      <c r="O1675" s="30" t="str">
        <f aca="false">IF(F1675="","",IF(AND(H1675="",'Vade Sapması'!$D$3&gt;G1675),'Vade Sapması'!$D$3-G1675,0))</f>
        <v/>
      </c>
      <c r="P1675" s="33" t="str">
        <f aca="false">IF(F1675="","",F1675*J1675)</f>
        <v/>
      </c>
      <c r="Q1675" s="33" t="str">
        <f aca="false">IF(F1675="","",F1675*L1675)</f>
        <v/>
      </c>
      <c r="R1675" s="33" t="str">
        <f aca="false">IF(F1675="","",IF(H1675="",F1675,0))</f>
        <v/>
      </c>
      <c r="S1675" s="32" t="str">
        <f aca="false">IF(F1675="","",IF(N(O1675)=0,"",IF(O1675&lt;=30,"1-30",IF(O1675&lt;=60,"31-60",IF(O1675&lt;=90,"61-90","90+")))))</f>
        <v/>
      </c>
      <c r="T1675" s="32" t="str">
        <f aca="false">IF(F1675="","",IF(E1675="","Diğer",E1675))</f>
        <v/>
      </c>
      <c r="U1675" s="32" t="str">
        <f aca="false">IF(OR(F1675="",C1675=""),"",IF(COUNTIF($C$2:C1675,C1675)=1,MAX($U$1:U1674)+1,""))</f>
        <v/>
      </c>
    </row>
    <row r="1676" customFormat="false" ht="15" hidden="false" customHeight="false" outlineLevel="0" collapsed="false">
      <c r="A1676" s="34"/>
      <c r="B1676" s="9"/>
      <c r="C1676" s="34"/>
      <c r="D1676" s="34"/>
      <c r="E1676" s="34"/>
      <c r="F1676" s="35"/>
      <c r="G1676" s="9"/>
      <c r="H1676" s="9"/>
      <c r="I1676" s="34"/>
      <c r="J1676" s="30" t="str">
        <f aca="false">IF(F1676="","",G1676-B1676)</f>
        <v/>
      </c>
      <c r="K1676" s="31" t="str">
        <f aca="false">IF(F1676="","",IF(H1676&lt;&gt;"",H1676,MAX('Vade Sapması'!$D$3,G1676)))</f>
        <v/>
      </c>
      <c r="L1676" s="30" t="str">
        <f aca="false">IF(F1676="","",K1676-B1676)</f>
        <v/>
      </c>
      <c r="M1676" s="30" t="str">
        <f aca="false">IF(F1676="","",L1676-J1676)</f>
        <v/>
      </c>
      <c r="N1676" s="32" t="str">
        <f aca="false">IF(F1676="","",IF(H1676&lt;&gt;"","Kapandı",IF('Vade Sapması'!$D$3&gt;G1676,"Açık · vadesi geçti","Açık · vadesi gelmedi")))</f>
        <v/>
      </c>
      <c r="O1676" s="30" t="str">
        <f aca="false">IF(F1676="","",IF(AND(H1676="",'Vade Sapması'!$D$3&gt;G1676),'Vade Sapması'!$D$3-G1676,0))</f>
        <v/>
      </c>
      <c r="P1676" s="33" t="str">
        <f aca="false">IF(F1676="","",F1676*J1676)</f>
        <v/>
      </c>
      <c r="Q1676" s="33" t="str">
        <f aca="false">IF(F1676="","",F1676*L1676)</f>
        <v/>
      </c>
      <c r="R1676" s="33" t="str">
        <f aca="false">IF(F1676="","",IF(H1676="",F1676,0))</f>
        <v/>
      </c>
      <c r="S1676" s="32" t="str">
        <f aca="false">IF(F1676="","",IF(N(O1676)=0,"",IF(O1676&lt;=30,"1-30",IF(O1676&lt;=60,"31-60",IF(O1676&lt;=90,"61-90","90+")))))</f>
        <v/>
      </c>
      <c r="T1676" s="32" t="str">
        <f aca="false">IF(F1676="","",IF(E1676="","Diğer",E1676))</f>
        <v/>
      </c>
      <c r="U1676" s="32" t="str">
        <f aca="false">IF(OR(F1676="",C1676=""),"",IF(COUNTIF($C$2:C1676,C1676)=1,MAX($U$1:U1675)+1,""))</f>
        <v/>
      </c>
    </row>
    <row r="1677" customFormat="false" ht="15" hidden="false" customHeight="false" outlineLevel="0" collapsed="false">
      <c r="A1677" s="34"/>
      <c r="B1677" s="9"/>
      <c r="C1677" s="34"/>
      <c r="D1677" s="34"/>
      <c r="E1677" s="34"/>
      <c r="F1677" s="35"/>
      <c r="G1677" s="9"/>
      <c r="H1677" s="9"/>
      <c r="I1677" s="34"/>
      <c r="J1677" s="30" t="str">
        <f aca="false">IF(F1677="","",G1677-B1677)</f>
        <v/>
      </c>
      <c r="K1677" s="31" t="str">
        <f aca="false">IF(F1677="","",IF(H1677&lt;&gt;"",H1677,MAX('Vade Sapması'!$D$3,G1677)))</f>
        <v/>
      </c>
      <c r="L1677" s="30" t="str">
        <f aca="false">IF(F1677="","",K1677-B1677)</f>
        <v/>
      </c>
      <c r="M1677" s="30" t="str">
        <f aca="false">IF(F1677="","",L1677-J1677)</f>
        <v/>
      </c>
      <c r="N1677" s="32" t="str">
        <f aca="false">IF(F1677="","",IF(H1677&lt;&gt;"","Kapandı",IF('Vade Sapması'!$D$3&gt;G1677,"Açık · vadesi geçti","Açık · vadesi gelmedi")))</f>
        <v/>
      </c>
      <c r="O1677" s="30" t="str">
        <f aca="false">IF(F1677="","",IF(AND(H1677="",'Vade Sapması'!$D$3&gt;G1677),'Vade Sapması'!$D$3-G1677,0))</f>
        <v/>
      </c>
      <c r="P1677" s="33" t="str">
        <f aca="false">IF(F1677="","",F1677*J1677)</f>
        <v/>
      </c>
      <c r="Q1677" s="33" t="str">
        <f aca="false">IF(F1677="","",F1677*L1677)</f>
        <v/>
      </c>
      <c r="R1677" s="33" t="str">
        <f aca="false">IF(F1677="","",IF(H1677="",F1677,0))</f>
        <v/>
      </c>
      <c r="S1677" s="32" t="str">
        <f aca="false">IF(F1677="","",IF(N(O1677)=0,"",IF(O1677&lt;=30,"1-30",IF(O1677&lt;=60,"31-60",IF(O1677&lt;=90,"61-90","90+")))))</f>
        <v/>
      </c>
      <c r="T1677" s="32" t="str">
        <f aca="false">IF(F1677="","",IF(E1677="","Diğer",E1677))</f>
        <v/>
      </c>
      <c r="U1677" s="32" t="str">
        <f aca="false">IF(OR(F1677="",C1677=""),"",IF(COUNTIF($C$2:C1677,C1677)=1,MAX($U$1:U1676)+1,""))</f>
        <v/>
      </c>
    </row>
    <row r="1678" customFormat="false" ht="15" hidden="false" customHeight="false" outlineLevel="0" collapsed="false">
      <c r="A1678" s="34"/>
      <c r="B1678" s="9"/>
      <c r="C1678" s="34"/>
      <c r="D1678" s="34"/>
      <c r="E1678" s="34"/>
      <c r="F1678" s="35"/>
      <c r="G1678" s="9"/>
      <c r="H1678" s="9"/>
      <c r="I1678" s="34"/>
      <c r="J1678" s="30" t="str">
        <f aca="false">IF(F1678="","",G1678-B1678)</f>
        <v/>
      </c>
      <c r="K1678" s="31" t="str">
        <f aca="false">IF(F1678="","",IF(H1678&lt;&gt;"",H1678,MAX('Vade Sapması'!$D$3,G1678)))</f>
        <v/>
      </c>
      <c r="L1678" s="30" t="str">
        <f aca="false">IF(F1678="","",K1678-B1678)</f>
        <v/>
      </c>
      <c r="M1678" s="30" t="str">
        <f aca="false">IF(F1678="","",L1678-J1678)</f>
        <v/>
      </c>
      <c r="N1678" s="32" t="str">
        <f aca="false">IF(F1678="","",IF(H1678&lt;&gt;"","Kapandı",IF('Vade Sapması'!$D$3&gt;G1678,"Açık · vadesi geçti","Açık · vadesi gelmedi")))</f>
        <v/>
      </c>
      <c r="O1678" s="30" t="str">
        <f aca="false">IF(F1678="","",IF(AND(H1678="",'Vade Sapması'!$D$3&gt;G1678),'Vade Sapması'!$D$3-G1678,0))</f>
        <v/>
      </c>
      <c r="P1678" s="33" t="str">
        <f aca="false">IF(F1678="","",F1678*J1678)</f>
        <v/>
      </c>
      <c r="Q1678" s="33" t="str">
        <f aca="false">IF(F1678="","",F1678*L1678)</f>
        <v/>
      </c>
      <c r="R1678" s="33" t="str">
        <f aca="false">IF(F1678="","",IF(H1678="",F1678,0))</f>
        <v/>
      </c>
      <c r="S1678" s="32" t="str">
        <f aca="false">IF(F1678="","",IF(N(O1678)=0,"",IF(O1678&lt;=30,"1-30",IF(O1678&lt;=60,"31-60",IF(O1678&lt;=90,"61-90","90+")))))</f>
        <v/>
      </c>
      <c r="T1678" s="32" t="str">
        <f aca="false">IF(F1678="","",IF(E1678="","Diğer",E1678))</f>
        <v/>
      </c>
      <c r="U1678" s="32" t="str">
        <f aca="false">IF(OR(F1678="",C1678=""),"",IF(COUNTIF($C$2:C1678,C1678)=1,MAX($U$1:U1677)+1,""))</f>
        <v/>
      </c>
    </row>
    <row r="1679" customFormat="false" ht="15" hidden="false" customHeight="false" outlineLevel="0" collapsed="false">
      <c r="A1679" s="34"/>
      <c r="B1679" s="9"/>
      <c r="C1679" s="34"/>
      <c r="D1679" s="34"/>
      <c r="E1679" s="34"/>
      <c r="F1679" s="35"/>
      <c r="G1679" s="9"/>
      <c r="H1679" s="9"/>
      <c r="I1679" s="34"/>
      <c r="J1679" s="30" t="str">
        <f aca="false">IF(F1679="","",G1679-B1679)</f>
        <v/>
      </c>
      <c r="K1679" s="31" t="str">
        <f aca="false">IF(F1679="","",IF(H1679&lt;&gt;"",H1679,MAX('Vade Sapması'!$D$3,G1679)))</f>
        <v/>
      </c>
      <c r="L1679" s="30" t="str">
        <f aca="false">IF(F1679="","",K1679-B1679)</f>
        <v/>
      </c>
      <c r="M1679" s="30" t="str">
        <f aca="false">IF(F1679="","",L1679-J1679)</f>
        <v/>
      </c>
      <c r="N1679" s="32" t="str">
        <f aca="false">IF(F1679="","",IF(H1679&lt;&gt;"","Kapandı",IF('Vade Sapması'!$D$3&gt;G1679,"Açık · vadesi geçti","Açık · vadesi gelmedi")))</f>
        <v/>
      </c>
      <c r="O1679" s="30" t="str">
        <f aca="false">IF(F1679="","",IF(AND(H1679="",'Vade Sapması'!$D$3&gt;G1679),'Vade Sapması'!$D$3-G1679,0))</f>
        <v/>
      </c>
      <c r="P1679" s="33" t="str">
        <f aca="false">IF(F1679="","",F1679*J1679)</f>
        <v/>
      </c>
      <c r="Q1679" s="33" t="str">
        <f aca="false">IF(F1679="","",F1679*L1679)</f>
        <v/>
      </c>
      <c r="R1679" s="33" t="str">
        <f aca="false">IF(F1679="","",IF(H1679="",F1679,0))</f>
        <v/>
      </c>
      <c r="S1679" s="32" t="str">
        <f aca="false">IF(F1679="","",IF(N(O1679)=0,"",IF(O1679&lt;=30,"1-30",IF(O1679&lt;=60,"31-60",IF(O1679&lt;=90,"61-90","90+")))))</f>
        <v/>
      </c>
      <c r="T1679" s="32" t="str">
        <f aca="false">IF(F1679="","",IF(E1679="","Diğer",E1679))</f>
        <v/>
      </c>
      <c r="U1679" s="32" t="str">
        <f aca="false">IF(OR(F1679="",C1679=""),"",IF(COUNTIF($C$2:C1679,C1679)=1,MAX($U$1:U1678)+1,""))</f>
        <v/>
      </c>
    </row>
    <row r="1680" customFormat="false" ht="15" hidden="false" customHeight="false" outlineLevel="0" collapsed="false">
      <c r="A1680" s="34"/>
      <c r="B1680" s="9"/>
      <c r="C1680" s="34"/>
      <c r="D1680" s="34"/>
      <c r="E1680" s="34"/>
      <c r="F1680" s="35"/>
      <c r="G1680" s="9"/>
      <c r="H1680" s="9"/>
      <c r="I1680" s="34"/>
      <c r="J1680" s="30" t="str">
        <f aca="false">IF(F1680="","",G1680-B1680)</f>
        <v/>
      </c>
      <c r="K1680" s="31" t="str">
        <f aca="false">IF(F1680="","",IF(H1680&lt;&gt;"",H1680,MAX('Vade Sapması'!$D$3,G1680)))</f>
        <v/>
      </c>
      <c r="L1680" s="30" t="str">
        <f aca="false">IF(F1680="","",K1680-B1680)</f>
        <v/>
      </c>
      <c r="M1680" s="30" t="str">
        <f aca="false">IF(F1680="","",L1680-J1680)</f>
        <v/>
      </c>
      <c r="N1680" s="32" t="str">
        <f aca="false">IF(F1680="","",IF(H1680&lt;&gt;"","Kapandı",IF('Vade Sapması'!$D$3&gt;G1680,"Açık · vadesi geçti","Açık · vadesi gelmedi")))</f>
        <v/>
      </c>
      <c r="O1680" s="30" t="str">
        <f aca="false">IF(F1680="","",IF(AND(H1680="",'Vade Sapması'!$D$3&gt;G1680),'Vade Sapması'!$D$3-G1680,0))</f>
        <v/>
      </c>
      <c r="P1680" s="33" t="str">
        <f aca="false">IF(F1680="","",F1680*J1680)</f>
        <v/>
      </c>
      <c r="Q1680" s="33" t="str">
        <f aca="false">IF(F1680="","",F1680*L1680)</f>
        <v/>
      </c>
      <c r="R1680" s="33" t="str">
        <f aca="false">IF(F1680="","",IF(H1680="",F1680,0))</f>
        <v/>
      </c>
      <c r="S1680" s="32" t="str">
        <f aca="false">IF(F1680="","",IF(N(O1680)=0,"",IF(O1680&lt;=30,"1-30",IF(O1680&lt;=60,"31-60",IF(O1680&lt;=90,"61-90","90+")))))</f>
        <v/>
      </c>
      <c r="T1680" s="32" t="str">
        <f aca="false">IF(F1680="","",IF(E1680="","Diğer",E1680))</f>
        <v/>
      </c>
      <c r="U1680" s="32" t="str">
        <f aca="false">IF(OR(F1680="",C1680=""),"",IF(COUNTIF($C$2:C1680,C1680)=1,MAX($U$1:U1679)+1,""))</f>
        <v/>
      </c>
    </row>
    <row r="1681" customFormat="false" ht="15" hidden="false" customHeight="false" outlineLevel="0" collapsed="false">
      <c r="A1681" s="34"/>
      <c r="B1681" s="9"/>
      <c r="C1681" s="34"/>
      <c r="D1681" s="34"/>
      <c r="E1681" s="34"/>
      <c r="F1681" s="35"/>
      <c r="G1681" s="9"/>
      <c r="H1681" s="9"/>
      <c r="I1681" s="34"/>
      <c r="J1681" s="30" t="str">
        <f aca="false">IF(F1681="","",G1681-B1681)</f>
        <v/>
      </c>
      <c r="K1681" s="31" t="str">
        <f aca="false">IF(F1681="","",IF(H1681&lt;&gt;"",H1681,MAX('Vade Sapması'!$D$3,G1681)))</f>
        <v/>
      </c>
      <c r="L1681" s="30" t="str">
        <f aca="false">IF(F1681="","",K1681-B1681)</f>
        <v/>
      </c>
      <c r="M1681" s="30" t="str">
        <f aca="false">IF(F1681="","",L1681-J1681)</f>
        <v/>
      </c>
      <c r="N1681" s="32" t="str">
        <f aca="false">IF(F1681="","",IF(H1681&lt;&gt;"","Kapandı",IF('Vade Sapması'!$D$3&gt;G1681,"Açık · vadesi geçti","Açık · vadesi gelmedi")))</f>
        <v/>
      </c>
      <c r="O1681" s="30" t="str">
        <f aca="false">IF(F1681="","",IF(AND(H1681="",'Vade Sapması'!$D$3&gt;G1681),'Vade Sapması'!$D$3-G1681,0))</f>
        <v/>
      </c>
      <c r="P1681" s="33" t="str">
        <f aca="false">IF(F1681="","",F1681*J1681)</f>
        <v/>
      </c>
      <c r="Q1681" s="33" t="str">
        <f aca="false">IF(F1681="","",F1681*L1681)</f>
        <v/>
      </c>
      <c r="R1681" s="33" t="str">
        <f aca="false">IF(F1681="","",IF(H1681="",F1681,0))</f>
        <v/>
      </c>
      <c r="S1681" s="32" t="str">
        <f aca="false">IF(F1681="","",IF(N(O1681)=0,"",IF(O1681&lt;=30,"1-30",IF(O1681&lt;=60,"31-60",IF(O1681&lt;=90,"61-90","90+")))))</f>
        <v/>
      </c>
      <c r="T1681" s="32" t="str">
        <f aca="false">IF(F1681="","",IF(E1681="","Diğer",E1681))</f>
        <v/>
      </c>
      <c r="U1681" s="32" t="str">
        <f aca="false">IF(OR(F1681="",C1681=""),"",IF(COUNTIF($C$2:C1681,C1681)=1,MAX($U$1:U1680)+1,""))</f>
        <v/>
      </c>
    </row>
    <row r="1682" customFormat="false" ht="15" hidden="false" customHeight="false" outlineLevel="0" collapsed="false">
      <c r="A1682" s="34"/>
      <c r="B1682" s="9"/>
      <c r="C1682" s="34"/>
      <c r="D1682" s="34"/>
      <c r="E1682" s="34"/>
      <c r="F1682" s="35"/>
      <c r="G1682" s="9"/>
      <c r="H1682" s="9"/>
      <c r="I1682" s="34"/>
      <c r="J1682" s="30" t="str">
        <f aca="false">IF(F1682="","",G1682-B1682)</f>
        <v/>
      </c>
      <c r="K1682" s="31" t="str">
        <f aca="false">IF(F1682="","",IF(H1682&lt;&gt;"",H1682,MAX('Vade Sapması'!$D$3,G1682)))</f>
        <v/>
      </c>
      <c r="L1682" s="30" t="str">
        <f aca="false">IF(F1682="","",K1682-B1682)</f>
        <v/>
      </c>
      <c r="M1682" s="30" t="str">
        <f aca="false">IF(F1682="","",L1682-J1682)</f>
        <v/>
      </c>
      <c r="N1682" s="32" t="str">
        <f aca="false">IF(F1682="","",IF(H1682&lt;&gt;"","Kapandı",IF('Vade Sapması'!$D$3&gt;G1682,"Açık · vadesi geçti","Açık · vadesi gelmedi")))</f>
        <v/>
      </c>
      <c r="O1682" s="30" t="str">
        <f aca="false">IF(F1682="","",IF(AND(H1682="",'Vade Sapması'!$D$3&gt;G1682),'Vade Sapması'!$D$3-G1682,0))</f>
        <v/>
      </c>
      <c r="P1682" s="33" t="str">
        <f aca="false">IF(F1682="","",F1682*J1682)</f>
        <v/>
      </c>
      <c r="Q1682" s="33" t="str">
        <f aca="false">IF(F1682="","",F1682*L1682)</f>
        <v/>
      </c>
      <c r="R1682" s="33" t="str">
        <f aca="false">IF(F1682="","",IF(H1682="",F1682,0))</f>
        <v/>
      </c>
      <c r="S1682" s="32" t="str">
        <f aca="false">IF(F1682="","",IF(N(O1682)=0,"",IF(O1682&lt;=30,"1-30",IF(O1682&lt;=60,"31-60",IF(O1682&lt;=90,"61-90","90+")))))</f>
        <v/>
      </c>
      <c r="T1682" s="32" t="str">
        <f aca="false">IF(F1682="","",IF(E1682="","Diğer",E1682))</f>
        <v/>
      </c>
      <c r="U1682" s="32" t="str">
        <f aca="false">IF(OR(F1682="",C1682=""),"",IF(COUNTIF($C$2:C1682,C1682)=1,MAX($U$1:U1681)+1,""))</f>
        <v/>
      </c>
    </row>
    <row r="1683" customFormat="false" ht="15" hidden="false" customHeight="false" outlineLevel="0" collapsed="false">
      <c r="A1683" s="34"/>
      <c r="B1683" s="9"/>
      <c r="C1683" s="34"/>
      <c r="D1683" s="34"/>
      <c r="E1683" s="34"/>
      <c r="F1683" s="35"/>
      <c r="G1683" s="9"/>
      <c r="H1683" s="9"/>
      <c r="I1683" s="34"/>
      <c r="J1683" s="30" t="str">
        <f aca="false">IF(F1683="","",G1683-B1683)</f>
        <v/>
      </c>
      <c r="K1683" s="31" t="str">
        <f aca="false">IF(F1683="","",IF(H1683&lt;&gt;"",H1683,MAX('Vade Sapması'!$D$3,G1683)))</f>
        <v/>
      </c>
      <c r="L1683" s="30" t="str">
        <f aca="false">IF(F1683="","",K1683-B1683)</f>
        <v/>
      </c>
      <c r="M1683" s="30" t="str">
        <f aca="false">IF(F1683="","",L1683-J1683)</f>
        <v/>
      </c>
      <c r="N1683" s="32" t="str">
        <f aca="false">IF(F1683="","",IF(H1683&lt;&gt;"","Kapandı",IF('Vade Sapması'!$D$3&gt;G1683,"Açık · vadesi geçti","Açık · vadesi gelmedi")))</f>
        <v/>
      </c>
      <c r="O1683" s="30" t="str">
        <f aca="false">IF(F1683="","",IF(AND(H1683="",'Vade Sapması'!$D$3&gt;G1683),'Vade Sapması'!$D$3-G1683,0))</f>
        <v/>
      </c>
      <c r="P1683" s="33" t="str">
        <f aca="false">IF(F1683="","",F1683*J1683)</f>
        <v/>
      </c>
      <c r="Q1683" s="33" t="str">
        <f aca="false">IF(F1683="","",F1683*L1683)</f>
        <v/>
      </c>
      <c r="R1683" s="33" t="str">
        <f aca="false">IF(F1683="","",IF(H1683="",F1683,0))</f>
        <v/>
      </c>
      <c r="S1683" s="32" t="str">
        <f aca="false">IF(F1683="","",IF(N(O1683)=0,"",IF(O1683&lt;=30,"1-30",IF(O1683&lt;=60,"31-60",IF(O1683&lt;=90,"61-90","90+")))))</f>
        <v/>
      </c>
      <c r="T1683" s="32" t="str">
        <f aca="false">IF(F1683="","",IF(E1683="","Diğer",E1683))</f>
        <v/>
      </c>
      <c r="U1683" s="32" t="str">
        <f aca="false">IF(OR(F1683="",C1683=""),"",IF(COUNTIF($C$2:C1683,C1683)=1,MAX($U$1:U1682)+1,""))</f>
        <v/>
      </c>
    </row>
    <row r="1684" customFormat="false" ht="15" hidden="false" customHeight="false" outlineLevel="0" collapsed="false">
      <c r="A1684" s="34"/>
      <c r="B1684" s="9"/>
      <c r="C1684" s="34"/>
      <c r="D1684" s="34"/>
      <c r="E1684" s="34"/>
      <c r="F1684" s="35"/>
      <c r="G1684" s="9"/>
      <c r="H1684" s="9"/>
      <c r="I1684" s="34"/>
      <c r="J1684" s="30" t="str">
        <f aca="false">IF(F1684="","",G1684-B1684)</f>
        <v/>
      </c>
      <c r="K1684" s="31" t="str">
        <f aca="false">IF(F1684="","",IF(H1684&lt;&gt;"",H1684,MAX('Vade Sapması'!$D$3,G1684)))</f>
        <v/>
      </c>
      <c r="L1684" s="30" t="str">
        <f aca="false">IF(F1684="","",K1684-B1684)</f>
        <v/>
      </c>
      <c r="M1684" s="30" t="str">
        <f aca="false">IF(F1684="","",L1684-J1684)</f>
        <v/>
      </c>
      <c r="N1684" s="32" t="str">
        <f aca="false">IF(F1684="","",IF(H1684&lt;&gt;"","Kapandı",IF('Vade Sapması'!$D$3&gt;G1684,"Açık · vadesi geçti","Açık · vadesi gelmedi")))</f>
        <v/>
      </c>
      <c r="O1684" s="30" t="str">
        <f aca="false">IF(F1684="","",IF(AND(H1684="",'Vade Sapması'!$D$3&gt;G1684),'Vade Sapması'!$D$3-G1684,0))</f>
        <v/>
      </c>
      <c r="P1684" s="33" t="str">
        <f aca="false">IF(F1684="","",F1684*J1684)</f>
        <v/>
      </c>
      <c r="Q1684" s="33" t="str">
        <f aca="false">IF(F1684="","",F1684*L1684)</f>
        <v/>
      </c>
      <c r="R1684" s="33" t="str">
        <f aca="false">IF(F1684="","",IF(H1684="",F1684,0))</f>
        <v/>
      </c>
      <c r="S1684" s="32" t="str">
        <f aca="false">IF(F1684="","",IF(N(O1684)=0,"",IF(O1684&lt;=30,"1-30",IF(O1684&lt;=60,"31-60",IF(O1684&lt;=90,"61-90","90+")))))</f>
        <v/>
      </c>
      <c r="T1684" s="32" t="str">
        <f aca="false">IF(F1684="","",IF(E1684="","Diğer",E1684))</f>
        <v/>
      </c>
      <c r="U1684" s="32" t="str">
        <f aca="false">IF(OR(F1684="",C1684=""),"",IF(COUNTIF($C$2:C1684,C1684)=1,MAX($U$1:U1683)+1,""))</f>
        <v/>
      </c>
    </row>
    <row r="1685" customFormat="false" ht="15" hidden="false" customHeight="false" outlineLevel="0" collapsed="false">
      <c r="A1685" s="34"/>
      <c r="B1685" s="9"/>
      <c r="C1685" s="34"/>
      <c r="D1685" s="34"/>
      <c r="E1685" s="34"/>
      <c r="F1685" s="35"/>
      <c r="G1685" s="9"/>
      <c r="H1685" s="9"/>
      <c r="I1685" s="34"/>
      <c r="J1685" s="30" t="str">
        <f aca="false">IF(F1685="","",G1685-B1685)</f>
        <v/>
      </c>
      <c r="K1685" s="31" t="str">
        <f aca="false">IF(F1685="","",IF(H1685&lt;&gt;"",H1685,MAX('Vade Sapması'!$D$3,G1685)))</f>
        <v/>
      </c>
      <c r="L1685" s="30" t="str">
        <f aca="false">IF(F1685="","",K1685-B1685)</f>
        <v/>
      </c>
      <c r="M1685" s="30" t="str">
        <f aca="false">IF(F1685="","",L1685-J1685)</f>
        <v/>
      </c>
      <c r="N1685" s="32" t="str">
        <f aca="false">IF(F1685="","",IF(H1685&lt;&gt;"","Kapandı",IF('Vade Sapması'!$D$3&gt;G1685,"Açık · vadesi geçti","Açık · vadesi gelmedi")))</f>
        <v/>
      </c>
      <c r="O1685" s="30" t="str">
        <f aca="false">IF(F1685="","",IF(AND(H1685="",'Vade Sapması'!$D$3&gt;G1685),'Vade Sapması'!$D$3-G1685,0))</f>
        <v/>
      </c>
      <c r="P1685" s="33" t="str">
        <f aca="false">IF(F1685="","",F1685*J1685)</f>
        <v/>
      </c>
      <c r="Q1685" s="33" t="str">
        <f aca="false">IF(F1685="","",F1685*L1685)</f>
        <v/>
      </c>
      <c r="R1685" s="33" t="str">
        <f aca="false">IF(F1685="","",IF(H1685="",F1685,0))</f>
        <v/>
      </c>
      <c r="S1685" s="32" t="str">
        <f aca="false">IF(F1685="","",IF(N(O1685)=0,"",IF(O1685&lt;=30,"1-30",IF(O1685&lt;=60,"31-60",IF(O1685&lt;=90,"61-90","90+")))))</f>
        <v/>
      </c>
      <c r="T1685" s="32" t="str">
        <f aca="false">IF(F1685="","",IF(E1685="","Diğer",E1685))</f>
        <v/>
      </c>
      <c r="U1685" s="32" t="str">
        <f aca="false">IF(OR(F1685="",C1685=""),"",IF(COUNTIF($C$2:C1685,C1685)=1,MAX($U$1:U1684)+1,""))</f>
        <v/>
      </c>
    </row>
    <row r="1686" customFormat="false" ht="15" hidden="false" customHeight="false" outlineLevel="0" collapsed="false">
      <c r="A1686" s="34"/>
      <c r="B1686" s="9"/>
      <c r="C1686" s="34"/>
      <c r="D1686" s="34"/>
      <c r="E1686" s="34"/>
      <c r="F1686" s="35"/>
      <c r="G1686" s="9"/>
      <c r="H1686" s="9"/>
      <c r="I1686" s="34"/>
      <c r="J1686" s="30" t="str">
        <f aca="false">IF(F1686="","",G1686-B1686)</f>
        <v/>
      </c>
      <c r="K1686" s="31" t="str">
        <f aca="false">IF(F1686="","",IF(H1686&lt;&gt;"",H1686,MAX('Vade Sapması'!$D$3,G1686)))</f>
        <v/>
      </c>
      <c r="L1686" s="30" t="str">
        <f aca="false">IF(F1686="","",K1686-B1686)</f>
        <v/>
      </c>
      <c r="M1686" s="30" t="str">
        <f aca="false">IF(F1686="","",L1686-J1686)</f>
        <v/>
      </c>
      <c r="N1686" s="32" t="str">
        <f aca="false">IF(F1686="","",IF(H1686&lt;&gt;"","Kapandı",IF('Vade Sapması'!$D$3&gt;G1686,"Açık · vadesi geçti","Açık · vadesi gelmedi")))</f>
        <v/>
      </c>
      <c r="O1686" s="30" t="str">
        <f aca="false">IF(F1686="","",IF(AND(H1686="",'Vade Sapması'!$D$3&gt;G1686),'Vade Sapması'!$D$3-G1686,0))</f>
        <v/>
      </c>
      <c r="P1686" s="33" t="str">
        <f aca="false">IF(F1686="","",F1686*J1686)</f>
        <v/>
      </c>
      <c r="Q1686" s="33" t="str">
        <f aca="false">IF(F1686="","",F1686*L1686)</f>
        <v/>
      </c>
      <c r="R1686" s="33" t="str">
        <f aca="false">IF(F1686="","",IF(H1686="",F1686,0))</f>
        <v/>
      </c>
      <c r="S1686" s="32" t="str">
        <f aca="false">IF(F1686="","",IF(N(O1686)=0,"",IF(O1686&lt;=30,"1-30",IF(O1686&lt;=60,"31-60",IF(O1686&lt;=90,"61-90","90+")))))</f>
        <v/>
      </c>
      <c r="T1686" s="32" t="str">
        <f aca="false">IF(F1686="","",IF(E1686="","Diğer",E1686))</f>
        <v/>
      </c>
      <c r="U1686" s="32" t="str">
        <f aca="false">IF(OR(F1686="",C1686=""),"",IF(COUNTIF($C$2:C1686,C1686)=1,MAX($U$1:U1685)+1,""))</f>
        <v/>
      </c>
    </row>
    <row r="1687" customFormat="false" ht="15" hidden="false" customHeight="false" outlineLevel="0" collapsed="false">
      <c r="A1687" s="34"/>
      <c r="B1687" s="9"/>
      <c r="C1687" s="34"/>
      <c r="D1687" s="34"/>
      <c r="E1687" s="34"/>
      <c r="F1687" s="35"/>
      <c r="G1687" s="9"/>
      <c r="H1687" s="9"/>
      <c r="I1687" s="34"/>
      <c r="J1687" s="30" t="str">
        <f aca="false">IF(F1687="","",G1687-B1687)</f>
        <v/>
      </c>
      <c r="K1687" s="31" t="str">
        <f aca="false">IF(F1687="","",IF(H1687&lt;&gt;"",H1687,MAX('Vade Sapması'!$D$3,G1687)))</f>
        <v/>
      </c>
      <c r="L1687" s="30" t="str">
        <f aca="false">IF(F1687="","",K1687-B1687)</f>
        <v/>
      </c>
      <c r="M1687" s="30" t="str">
        <f aca="false">IF(F1687="","",L1687-J1687)</f>
        <v/>
      </c>
      <c r="N1687" s="32" t="str">
        <f aca="false">IF(F1687="","",IF(H1687&lt;&gt;"","Kapandı",IF('Vade Sapması'!$D$3&gt;G1687,"Açık · vadesi geçti","Açık · vadesi gelmedi")))</f>
        <v/>
      </c>
      <c r="O1687" s="30" t="str">
        <f aca="false">IF(F1687="","",IF(AND(H1687="",'Vade Sapması'!$D$3&gt;G1687),'Vade Sapması'!$D$3-G1687,0))</f>
        <v/>
      </c>
      <c r="P1687" s="33" t="str">
        <f aca="false">IF(F1687="","",F1687*J1687)</f>
        <v/>
      </c>
      <c r="Q1687" s="33" t="str">
        <f aca="false">IF(F1687="","",F1687*L1687)</f>
        <v/>
      </c>
      <c r="R1687" s="33" t="str">
        <f aca="false">IF(F1687="","",IF(H1687="",F1687,0))</f>
        <v/>
      </c>
      <c r="S1687" s="32" t="str">
        <f aca="false">IF(F1687="","",IF(N(O1687)=0,"",IF(O1687&lt;=30,"1-30",IF(O1687&lt;=60,"31-60",IF(O1687&lt;=90,"61-90","90+")))))</f>
        <v/>
      </c>
      <c r="T1687" s="32" t="str">
        <f aca="false">IF(F1687="","",IF(E1687="","Diğer",E1687))</f>
        <v/>
      </c>
      <c r="U1687" s="32" t="str">
        <f aca="false">IF(OR(F1687="",C1687=""),"",IF(COUNTIF($C$2:C1687,C1687)=1,MAX($U$1:U1686)+1,""))</f>
        <v/>
      </c>
    </row>
    <row r="1688" customFormat="false" ht="15" hidden="false" customHeight="false" outlineLevel="0" collapsed="false">
      <c r="A1688" s="34"/>
      <c r="B1688" s="9"/>
      <c r="C1688" s="34"/>
      <c r="D1688" s="34"/>
      <c r="E1688" s="34"/>
      <c r="F1688" s="35"/>
      <c r="G1688" s="9"/>
      <c r="H1688" s="9"/>
      <c r="I1688" s="34"/>
      <c r="J1688" s="30" t="str">
        <f aca="false">IF(F1688="","",G1688-B1688)</f>
        <v/>
      </c>
      <c r="K1688" s="31" t="str">
        <f aca="false">IF(F1688="","",IF(H1688&lt;&gt;"",H1688,MAX('Vade Sapması'!$D$3,G1688)))</f>
        <v/>
      </c>
      <c r="L1688" s="30" t="str">
        <f aca="false">IF(F1688="","",K1688-B1688)</f>
        <v/>
      </c>
      <c r="M1688" s="30" t="str">
        <f aca="false">IF(F1688="","",L1688-J1688)</f>
        <v/>
      </c>
      <c r="N1688" s="32" t="str">
        <f aca="false">IF(F1688="","",IF(H1688&lt;&gt;"","Kapandı",IF('Vade Sapması'!$D$3&gt;G1688,"Açık · vadesi geçti","Açık · vadesi gelmedi")))</f>
        <v/>
      </c>
      <c r="O1688" s="30" t="str">
        <f aca="false">IF(F1688="","",IF(AND(H1688="",'Vade Sapması'!$D$3&gt;G1688),'Vade Sapması'!$D$3-G1688,0))</f>
        <v/>
      </c>
      <c r="P1688" s="33" t="str">
        <f aca="false">IF(F1688="","",F1688*J1688)</f>
        <v/>
      </c>
      <c r="Q1688" s="33" t="str">
        <f aca="false">IF(F1688="","",F1688*L1688)</f>
        <v/>
      </c>
      <c r="R1688" s="33" t="str">
        <f aca="false">IF(F1688="","",IF(H1688="",F1688,0))</f>
        <v/>
      </c>
      <c r="S1688" s="32" t="str">
        <f aca="false">IF(F1688="","",IF(N(O1688)=0,"",IF(O1688&lt;=30,"1-30",IF(O1688&lt;=60,"31-60",IF(O1688&lt;=90,"61-90","90+")))))</f>
        <v/>
      </c>
      <c r="T1688" s="32" t="str">
        <f aca="false">IF(F1688="","",IF(E1688="","Diğer",E1688))</f>
        <v/>
      </c>
      <c r="U1688" s="32" t="str">
        <f aca="false">IF(OR(F1688="",C1688=""),"",IF(COUNTIF($C$2:C1688,C1688)=1,MAX($U$1:U1687)+1,""))</f>
        <v/>
      </c>
    </row>
    <row r="1689" customFormat="false" ht="15" hidden="false" customHeight="false" outlineLevel="0" collapsed="false">
      <c r="A1689" s="34"/>
      <c r="B1689" s="9"/>
      <c r="C1689" s="34"/>
      <c r="D1689" s="34"/>
      <c r="E1689" s="34"/>
      <c r="F1689" s="35"/>
      <c r="G1689" s="9"/>
      <c r="H1689" s="9"/>
      <c r="I1689" s="34"/>
      <c r="J1689" s="30" t="str">
        <f aca="false">IF(F1689="","",G1689-B1689)</f>
        <v/>
      </c>
      <c r="K1689" s="31" t="str">
        <f aca="false">IF(F1689="","",IF(H1689&lt;&gt;"",H1689,MAX('Vade Sapması'!$D$3,G1689)))</f>
        <v/>
      </c>
      <c r="L1689" s="30" t="str">
        <f aca="false">IF(F1689="","",K1689-B1689)</f>
        <v/>
      </c>
      <c r="M1689" s="30" t="str">
        <f aca="false">IF(F1689="","",L1689-J1689)</f>
        <v/>
      </c>
      <c r="N1689" s="32" t="str">
        <f aca="false">IF(F1689="","",IF(H1689&lt;&gt;"","Kapandı",IF('Vade Sapması'!$D$3&gt;G1689,"Açık · vadesi geçti","Açık · vadesi gelmedi")))</f>
        <v/>
      </c>
      <c r="O1689" s="30" t="str">
        <f aca="false">IF(F1689="","",IF(AND(H1689="",'Vade Sapması'!$D$3&gt;G1689),'Vade Sapması'!$D$3-G1689,0))</f>
        <v/>
      </c>
      <c r="P1689" s="33" t="str">
        <f aca="false">IF(F1689="","",F1689*J1689)</f>
        <v/>
      </c>
      <c r="Q1689" s="33" t="str">
        <f aca="false">IF(F1689="","",F1689*L1689)</f>
        <v/>
      </c>
      <c r="R1689" s="33" t="str">
        <f aca="false">IF(F1689="","",IF(H1689="",F1689,0))</f>
        <v/>
      </c>
      <c r="S1689" s="32" t="str">
        <f aca="false">IF(F1689="","",IF(N(O1689)=0,"",IF(O1689&lt;=30,"1-30",IF(O1689&lt;=60,"31-60",IF(O1689&lt;=90,"61-90","90+")))))</f>
        <v/>
      </c>
      <c r="T1689" s="32" t="str">
        <f aca="false">IF(F1689="","",IF(E1689="","Diğer",E1689))</f>
        <v/>
      </c>
      <c r="U1689" s="32" t="str">
        <f aca="false">IF(OR(F1689="",C1689=""),"",IF(COUNTIF($C$2:C1689,C1689)=1,MAX($U$1:U1688)+1,""))</f>
        <v/>
      </c>
    </row>
    <row r="1690" customFormat="false" ht="15" hidden="false" customHeight="false" outlineLevel="0" collapsed="false">
      <c r="A1690" s="34"/>
      <c r="B1690" s="9"/>
      <c r="C1690" s="34"/>
      <c r="D1690" s="34"/>
      <c r="E1690" s="34"/>
      <c r="F1690" s="35"/>
      <c r="G1690" s="9"/>
      <c r="H1690" s="9"/>
      <c r="I1690" s="34"/>
      <c r="J1690" s="30" t="str">
        <f aca="false">IF(F1690="","",G1690-B1690)</f>
        <v/>
      </c>
      <c r="K1690" s="31" t="str">
        <f aca="false">IF(F1690="","",IF(H1690&lt;&gt;"",H1690,MAX('Vade Sapması'!$D$3,G1690)))</f>
        <v/>
      </c>
      <c r="L1690" s="30" t="str">
        <f aca="false">IF(F1690="","",K1690-B1690)</f>
        <v/>
      </c>
      <c r="M1690" s="30" t="str">
        <f aca="false">IF(F1690="","",L1690-J1690)</f>
        <v/>
      </c>
      <c r="N1690" s="32" t="str">
        <f aca="false">IF(F1690="","",IF(H1690&lt;&gt;"","Kapandı",IF('Vade Sapması'!$D$3&gt;G1690,"Açık · vadesi geçti","Açık · vadesi gelmedi")))</f>
        <v/>
      </c>
      <c r="O1690" s="30" t="str">
        <f aca="false">IF(F1690="","",IF(AND(H1690="",'Vade Sapması'!$D$3&gt;G1690),'Vade Sapması'!$D$3-G1690,0))</f>
        <v/>
      </c>
      <c r="P1690" s="33" t="str">
        <f aca="false">IF(F1690="","",F1690*J1690)</f>
        <v/>
      </c>
      <c r="Q1690" s="33" t="str">
        <f aca="false">IF(F1690="","",F1690*L1690)</f>
        <v/>
      </c>
      <c r="R1690" s="33" t="str">
        <f aca="false">IF(F1690="","",IF(H1690="",F1690,0))</f>
        <v/>
      </c>
      <c r="S1690" s="32" t="str">
        <f aca="false">IF(F1690="","",IF(N(O1690)=0,"",IF(O1690&lt;=30,"1-30",IF(O1690&lt;=60,"31-60",IF(O1690&lt;=90,"61-90","90+")))))</f>
        <v/>
      </c>
      <c r="T1690" s="32" t="str">
        <f aca="false">IF(F1690="","",IF(E1690="","Diğer",E1690))</f>
        <v/>
      </c>
      <c r="U1690" s="32" t="str">
        <f aca="false">IF(OR(F1690="",C1690=""),"",IF(COUNTIF($C$2:C1690,C1690)=1,MAX($U$1:U1689)+1,""))</f>
        <v/>
      </c>
    </row>
    <row r="1691" customFormat="false" ht="15" hidden="false" customHeight="false" outlineLevel="0" collapsed="false">
      <c r="A1691" s="34"/>
      <c r="B1691" s="9"/>
      <c r="C1691" s="34"/>
      <c r="D1691" s="34"/>
      <c r="E1691" s="34"/>
      <c r="F1691" s="35"/>
      <c r="G1691" s="9"/>
      <c r="H1691" s="9"/>
      <c r="I1691" s="34"/>
      <c r="J1691" s="30" t="str">
        <f aca="false">IF(F1691="","",G1691-B1691)</f>
        <v/>
      </c>
      <c r="K1691" s="31" t="str">
        <f aca="false">IF(F1691="","",IF(H1691&lt;&gt;"",H1691,MAX('Vade Sapması'!$D$3,G1691)))</f>
        <v/>
      </c>
      <c r="L1691" s="30" t="str">
        <f aca="false">IF(F1691="","",K1691-B1691)</f>
        <v/>
      </c>
      <c r="M1691" s="30" t="str">
        <f aca="false">IF(F1691="","",L1691-J1691)</f>
        <v/>
      </c>
      <c r="N1691" s="32" t="str">
        <f aca="false">IF(F1691="","",IF(H1691&lt;&gt;"","Kapandı",IF('Vade Sapması'!$D$3&gt;G1691,"Açık · vadesi geçti","Açık · vadesi gelmedi")))</f>
        <v/>
      </c>
      <c r="O1691" s="30" t="str">
        <f aca="false">IF(F1691="","",IF(AND(H1691="",'Vade Sapması'!$D$3&gt;G1691),'Vade Sapması'!$D$3-G1691,0))</f>
        <v/>
      </c>
      <c r="P1691" s="33" t="str">
        <f aca="false">IF(F1691="","",F1691*J1691)</f>
        <v/>
      </c>
      <c r="Q1691" s="33" t="str">
        <f aca="false">IF(F1691="","",F1691*L1691)</f>
        <v/>
      </c>
      <c r="R1691" s="33" t="str">
        <f aca="false">IF(F1691="","",IF(H1691="",F1691,0))</f>
        <v/>
      </c>
      <c r="S1691" s="32" t="str">
        <f aca="false">IF(F1691="","",IF(N(O1691)=0,"",IF(O1691&lt;=30,"1-30",IF(O1691&lt;=60,"31-60",IF(O1691&lt;=90,"61-90","90+")))))</f>
        <v/>
      </c>
      <c r="T1691" s="32" t="str">
        <f aca="false">IF(F1691="","",IF(E1691="","Diğer",E1691))</f>
        <v/>
      </c>
      <c r="U1691" s="32" t="str">
        <f aca="false">IF(OR(F1691="",C1691=""),"",IF(COUNTIF($C$2:C1691,C1691)=1,MAX($U$1:U1690)+1,""))</f>
        <v/>
      </c>
    </row>
    <row r="1692" customFormat="false" ht="15" hidden="false" customHeight="false" outlineLevel="0" collapsed="false">
      <c r="A1692" s="34"/>
      <c r="B1692" s="9"/>
      <c r="C1692" s="34"/>
      <c r="D1692" s="34"/>
      <c r="E1692" s="34"/>
      <c r="F1692" s="35"/>
      <c r="G1692" s="9"/>
      <c r="H1692" s="9"/>
      <c r="I1692" s="34"/>
      <c r="J1692" s="30" t="str">
        <f aca="false">IF(F1692="","",G1692-B1692)</f>
        <v/>
      </c>
      <c r="K1692" s="31" t="str">
        <f aca="false">IF(F1692="","",IF(H1692&lt;&gt;"",H1692,MAX('Vade Sapması'!$D$3,G1692)))</f>
        <v/>
      </c>
      <c r="L1692" s="30" t="str">
        <f aca="false">IF(F1692="","",K1692-B1692)</f>
        <v/>
      </c>
      <c r="M1692" s="30" t="str">
        <f aca="false">IF(F1692="","",L1692-J1692)</f>
        <v/>
      </c>
      <c r="N1692" s="32" t="str">
        <f aca="false">IF(F1692="","",IF(H1692&lt;&gt;"","Kapandı",IF('Vade Sapması'!$D$3&gt;G1692,"Açık · vadesi geçti","Açık · vadesi gelmedi")))</f>
        <v/>
      </c>
      <c r="O1692" s="30" t="str">
        <f aca="false">IF(F1692="","",IF(AND(H1692="",'Vade Sapması'!$D$3&gt;G1692),'Vade Sapması'!$D$3-G1692,0))</f>
        <v/>
      </c>
      <c r="P1692" s="33" t="str">
        <f aca="false">IF(F1692="","",F1692*J1692)</f>
        <v/>
      </c>
      <c r="Q1692" s="33" t="str">
        <f aca="false">IF(F1692="","",F1692*L1692)</f>
        <v/>
      </c>
      <c r="R1692" s="33" t="str">
        <f aca="false">IF(F1692="","",IF(H1692="",F1692,0))</f>
        <v/>
      </c>
      <c r="S1692" s="32" t="str">
        <f aca="false">IF(F1692="","",IF(N(O1692)=0,"",IF(O1692&lt;=30,"1-30",IF(O1692&lt;=60,"31-60",IF(O1692&lt;=90,"61-90","90+")))))</f>
        <v/>
      </c>
      <c r="T1692" s="32" t="str">
        <f aca="false">IF(F1692="","",IF(E1692="","Diğer",E1692))</f>
        <v/>
      </c>
      <c r="U1692" s="32" t="str">
        <f aca="false">IF(OR(F1692="",C1692=""),"",IF(COUNTIF($C$2:C1692,C1692)=1,MAX($U$1:U1691)+1,""))</f>
        <v/>
      </c>
    </row>
    <row r="1693" customFormat="false" ht="15" hidden="false" customHeight="false" outlineLevel="0" collapsed="false">
      <c r="A1693" s="34"/>
      <c r="B1693" s="9"/>
      <c r="C1693" s="34"/>
      <c r="D1693" s="34"/>
      <c r="E1693" s="34"/>
      <c r="F1693" s="35"/>
      <c r="G1693" s="9"/>
      <c r="H1693" s="9"/>
      <c r="I1693" s="34"/>
      <c r="J1693" s="30" t="str">
        <f aca="false">IF(F1693="","",G1693-B1693)</f>
        <v/>
      </c>
      <c r="K1693" s="31" t="str">
        <f aca="false">IF(F1693="","",IF(H1693&lt;&gt;"",H1693,MAX('Vade Sapması'!$D$3,G1693)))</f>
        <v/>
      </c>
      <c r="L1693" s="30" t="str">
        <f aca="false">IF(F1693="","",K1693-B1693)</f>
        <v/>
      </c>
      <c r="M1693" s="30" t="str">
        <f aca="false">IF(F1693="","",L1693-J1693)</f>
        <v/>
      </c>
      <c r="N1693" s="32" t="str">
        <f aca="false">IF(F1693="","",IF(H1693&lt;&gt;"","Kapandı",IF('Vade Sapması'!$D$3&gt;G1693,"Açık · vadesi geçti","Açık · vadesi gelmedi")))</f>
        <v/>
      </c>
      <c r="O1693" s="30" t="str">
        <f aca="false">IF(F1693="","",IF(AND(H1693="",'Vade Sapması'!$D$3&gt;G1693),'Vade Sapması'!$D$3-G1693,0))</f>
        <v/>
      </c>
      <c r="P1693" s="33" t="str">
        <f aca="false">IF(F1693="","",F1693*J1693)</f>
        <v/>
      </c>
      <c r="Q1693" s="33" t="str">
        <f aca="false">IF(F1693="","",F1693*L1693)</f>
        <v/>
      </c>
      <c r="R1693" s="33" t="str">
        <f aca="false">IF(F1693="","",IF(H1693="",F1693,0))</f>
        <v/>
      </c>
      <c r="S1693" s="32" t="str">
        <f aca="false">IF(F1693="","",IF(N(O1693)=0,"",IF(O1693&lt;=30,"1-30",IF(O1693&lt;=60,"31-60",IF(O1693&lt;=90,"61-90","90+")))))</f>
        <v/>
      </c>
      <c r="T1693" s="32" t="str">
        <f aca="false">IF(F1693="","",IF(E1693="","Diğer",E1693))</f>
        <v/>
      </c>
      <c r="U1693" s="32" t="str">
        <f aca="false">IF(OR(F1693="",C1693=""),"",IF(COUNTIF($C$2:C1693,C1693)=1,MAX($U$1:U1692)+1,""))</f>
        <v/>
      </c>
    </row>
    <row r="1694" customFormat="false" ht="15" hidden="false" customHeight="false" outlineLevel="0" collapsed="false">
      <c r="A1694" s="34"/>
      <c r="B1694" s="9"/>
      <c r="C1694" s="34"/>
      <c r="D1694" s="34"/>
      <c r="E1694" s="34"/>
      <c r="F1694" s="35"/>
      <c r="G1694" s="9"/>
      <c r="H1694" s="9"/>
      <c r="I1694" s="34"/>
      <c r="J1694" s="30" t="str">
        <f aca="false">IF(F1694="","",G1694-B1694)</f>
        <v/>
      </c>
      <c r="K1694" s="31" t="str">
        <f aca="false">IF(F1694="","",IF(H1694&lt;&gt;"",H1694,MAX('Vade Sapması'!$D$3,G1694)))</f>
        <v/>
      </c>
      <c r="L1694" s="30" t="str">
        <f aca="false">IF(F1694="","",K1694-B1694)</f>
        <v/>
      </c>
      <c r="M1694" s="30" t="str">
        <f aca="false">IF(F1694="","",L1694-J1694)</f>
        <v/>
      </c>
      <c r="N1694" s="32" t="str">
        <f aca="false">IF(F1694="","",IF(H1694&lt;&gt;"","Kapandı",IF('Vade Sapması'!$D$3&gt;G1694,"Açık · vadesi geçti","Açık · vadesi gelmedi")))</f>
        <v/>
      </c>
      <c r="O1694" s="30" t="str">
        <f aca="false">IF(F1694="","",IF(AND(H1694="",'Vade Sapması'!$D$3&gt;G1694),'Vade Sapması'!$D$3-G1694,0))</f>
        <v/>
      </c>
      <c r="P1694" s="33" t="str">
        <f aca="false">IF(F1694="","",F1694*J1694)</f>
        <v/>
      </c>
      <c r="Q1694" s="33" t="str">
        <f aca="false">IF(F1694="","",F1694*L1694)</f>
        <v/>
      </c>
      <c r="R1694" s="33" t="str">
        <f aca="false">IF(F1694="","",IF(H1694="",F1694,0))</f>
        <v/>
      </c>
      <c r="S1694" s="32" t="str">
        <f aca="false">IF(F1694="","",IF(N(O1694)=0,"",IF(O1694&lt;=30,"1-30",IF(O1694&lt;=60,"31-60",IF(O1694&lt;=90,"61-90","90+")))))</f>
        <v/>
      </c>
      <c r="T1694" s="32" t="str">
        <f aca="false">IF(F1694="","",IF(E1694="","Diğer",E1694))</f>
        <v/>
      </c>
      <c r="U1694" s="32" t="str">
        <f aca="false">IF(OR(F1694="",C1694=""),"",IF(COUNTIF($C$2:C1694,C1694)=1,MAX($U$1:U1693)+1,""))</f>
        <v/>
      </c>
    </row>
    <row r="1695" customFormat="false" ht="15" hidden="false" customHeight="false" outlineLevel="0" collapsed="false">
      <c r="A1695" s="34"/>
      <c r="B1695" s="9"/>
      <c r="C1695" s="34"/>
      <c r="D1695" s="34"/>
      <c r="E1695" s="34"/>
      <c r="F1695" s="35"/>
      <c r="G1695" s="9"/>
      <c r="H1695" s="9"/>
      <c r="I1695" s="34"/>
      <c r="J1695" s="30" t="str">
        <f aca="false">IF(F1695="","",G1695-B1695)</f>
        <v/>
      </c>
      <c r="K1695" s="31" t="str">
        <f aca="false">IF(F1695="","",IF(H1695&lt;&gt;"",H1695,MAX('Vade Sapması'!$D$3,G1695)))</f>
        <v/>
      </c>
      <c r="L1695" s="30" t="str">
        <f aca="false">IF(F1695="","",K1695-B1695)</f>
        <v/>
      </c>
      <c r="M1695" s="30" t="str">
        <f aca="false">IF(F1695="","",L1695-J1695)</f>
        <v/>
      </c>
      <c r="N1695" s="32" t="str">
        <f aca="false">IF(F1695="","",IF(H1695&lt;&gt;"","Kapandı",IF('Vade Sapması'!$D$3&gt;G1695,"Açık · vadesi geçti","Açık · vadesi gelmedi")))</f>
        <v/>
      </c>
      <c r="O1695" s="30" t="str">
        <f aca="false">IF(F1695="","",IF(AND(H1695="",'Vade Sapması'!$D$3&gt;G1695),'Vade Sapması'!$D$3-G1695,0))</f>
        <v/>
      </c>
      <c r="P1695" s="33" t="str">
        <f aca="false">IF(F1695="","",F1695*J1695)</f>
        <v/>
      </c>
      <c r="Q1695" s="33" t="str">
        <f aca="false">IF(F1695="","",F1695*L1695)</f>
        <v/>
      </c>
      <c r="R1695" s="33" t="str">
        <f aca="false">IF(F1695="","",IF(H1695="",F1695,0))</f>
        <v/>
      </c>
      <c r="S1695" s="32" t="str">
        <f aca="false">IF(F1695="","",IF(N(O1695)=0,"",IF(O1695&lt;=30,"1-30",IF(O1695&lt;=60,"31-60",IF(O1695&lt;=90,"61-90","90+")))))</f>
        <v/>
      </c>
      <c r="T1695" s="32" t="str">
        <f aca="false">IF(F1695="","",IF(E1695="","Diğer",E1695))</f>
        <v/>
      </c>
      <c r="U1695" s="32" t="str">
        <f aca="false">IF(OR(F1695="",C1695=""),"",IF(COUNTIF($C$2:C1695,C1695)=1,MAX($U$1:U1694)+1,""))</f>
        <v/>
      </c>
    </row>
    <row r="1696" customFormat="false" ht="15" hidden="false" customHeight="false" outlineLevel="0" collapsed="false">
      <c r="A1696" s="34"/>
      <c r="B1696" s="9"/>
      <c r="C1696" s="34"/>
      <c r="D1696" s="34"/>
      <c r="E1696" s="34"/>
      <c r="F1696" s="35"/>
      <c r="G1696" s="9"/>
      <c r="H1696" s="9"/>
      <c r="I1696" s="34"/>
      <c r="J1696" s="30" t="str">
        <f aca="false">IF(F1696="","",G1696-B1696)</f>
        <v/>
      </c>
      <c r="K1696" s="31" t="str">
        <f aca="false">IF(F1696="","",IF(H1696&lt;&gt;"",H1696,MAX('Vade Sapması'!$D$3,G1696)))</f>
        <v/>
      </c>
      <c r="L1696" s="30" t="str">
        <f aca="false">IF(F1696="","",K1696-B1696)</f>
        <v/>
      </c>
      <c r="M1696" s="30" t="str">
        <f aca="false">IF(F1696="","",L1696-J1696)</f>
        <v/>
      </c>
      <c r="N1696" s="32" t="str">
        <f aca="false">IF(F1696="","",IF(H1696&lt;&gt;"","Kapandı",IF('Vade Sapması'!$D$3&gt;G1696,"Açık · vadesi geçti","Açık · vadesi gelmedi")))</f>
        <v/>
      </c>
      <c r="O1696" s="30" t="str">
        <f aca="false">IF(F1696="","",IF(AND(H1696="",'Vade Sapması'!$D$3&gt;G1696),'Vade Sapması'!$D$3-G1696,0))</f>
        <v/>
      </c>
      <c r="P1696" s="33" t="str">
        <f aca="false">IF(F1696="","",F1696*J1696)</f>
        <v/>
      </c>
      <c r="Q1696" s="33" t="str">
        <f aca="false">IF(F1696="","",F1696*L1696)</f>
        <v/>
      </c>
      <c r="R1696" s="33" t="str">
        <f aca="false">IF(F1696="","",IF(H1696="",F1696,0))</f>
        <v/>
      </c>
      <c r="S1696" s="32" t="str">
        <f aca="false">IF(F1696="","",IF(N(O1696)=0,"",IF(O1696&lt;=30,"1-30",IF(O1696&lt;=60,"31-60",IF(O1696&lt;=90,"61-90","90+")))))</f>
        <v/>
      </c>
      <c r="T1696" s="32" t="str">
        <f aca="false">IF(F1696="","",IF(E1696="","Diğer",E1696))</f>
        <v/>
      </c>
      <c r="U1696" s="32" t="str">
        <f aca="false">IF(OR(F1696="",C1696=""),"",IF(COUNTIF($C$2:C1696,C1696)=1,MAX($U$1:U1695)+1,""))</f>
        <v/>
      </c>
    </row>
    <row r="1697" customFormat="false" ht="15" hidden="false" customHeight="false" outlineLevel="0" collapsed="false">
      <c r="A1697" s="34"/>
      <c r="B1697" s="9"/>
      <c r="C1697" s="34"/>
      <c r="D1697" s="34"/>
      <c r="E1697" s="34"/>
      <c r="F1697" s="35"/>
      <c r="G1697" s="9"/>
      <c r="H1697" s="9"/>
      <c r="I1697" s="34"/>
      <c r="J1697" s="30" t="str">
        <f aca="false">IF(F1697="","",G1697-B1697)</f>
        <v/>
      </c>
      <c r="K1697" s="31" t="str">
        <f aca="false">IF(F1697="","",IF(H1697&lt;&gt;"",H1697,MAX('Vade Sapması'!$D$3,G1697)))</f>
        <v/>
      </c>
      <c r="L1697" s="30" t="str">
        <f aca="false">IF(F1697="","",K1697-B1697)</f>
        <v/>
      </c>
      <c r="M1697" s="30" t="str">
        <f aca="false">IF(F1697="","",L1697-J1697)</f>
        <v/>
      </c>
      <c r="N1697" s="32" t="str">
        <f aca="false">IF(F1697="","",IF(H1697&lt;&gt;"","Kapandı",IF('Vade Sapması'!$D$3&gt;G1697,"Açık · vadesi geçti","Açık · vadesi gelmedi")))</f>
        <v/>
      </c>
      <c r="O1697" s="30" t="str">
        <f aca="false">IF(F1697="","",IF(AND(H1697="",'Vade Sapması'!$D$3&gt;G1697),'Vade Sapması'!$D$3-G1697,0))</f>
        <v/>
      </c>
      <c r="P1697" s="33" t="str">
        <f aca="false">IF(F1697="","",F1697*J1697)</f>
        <v/>
      </c>
      <c r="Q1697" s="33" t="str">
        <f aca="false">IF(F1697="","",F1697*L1697)</f>
        <v/>
      </c>
      <c r="R1697" s="33" t="str">
        <f aca="false">IF(F1697="","",IF(H1697="",F1697,0))</f>
        <v/>
      </c>
      <c r="S1697" s="32" t="str">
        <f aca="false">IF(F1697="","",IF(N(O1697)=0,"",IF(O1697&lt;=30,"1-30",IF(O1697&lt;=60,"31-60",IF(O1697&lt;=90,"61-90","90+")))))</f>
        <v/>
      </c>
      <c r="T1697" s="32" t="str">
        <f aca="false">IF(F1697="","",IF(E1697="","Diğer",E1697))</f>
        <v/>
      </c>
      <c r="U1697" s="32" t="str">
        <f aca="false">IF(OR(F1697="",C1697=""),"",IF(COUNTIF($C$2:C1697,C1697)=1,MAX($U$1:U1696)+1,""))</f>
        <v/>
      </c>
    </row>
    <row r="1698" customFormat="false" ht="15" hidden="false" customHeight="false" outlineLevel="0" collapsed="false">
      <c r="A1698" s="34"/>
      <c r="B1698" s="9"/>
      <c r="C1698" s="34"/>
      <c r="D1698" s="34"/>
      <c r="E1698" s="34"/>
      <c r="F1698" s="35"/>
      <c r="G1698" s="9"/>
      <c r="H1698" s="9"/>
      <c r="I1698" s="34"/>
      <c r="J1698" s="30" t="str">
        <f aca="false">IF(F1698="","",G1698-B1698)</f>
        <v/>
      </c>
      <c r="K1698" s="31" t="str">
        <f aca="false">IF(F1698="","",IF(H1698&lt;&gt;"",H1698,MAX('Vade Sapması'!$D$3,G1698)))</f>
        <v/>
      </c>
      <c r="L1698" s="30" t="str">
        <f aca="false">IF(F1698="","",K1698-B1698)</f>
        <v/>
      </c>
      <c r="M1698" s="30" t="str">
        <f aca="false">IF(F1698="","",L1698-J1698)</f>
        <v/>
      </c>
      <c r="N1698" s="32" t="str">
        <f aca="false">IF(F1698="","",IF(H1698&lt;&gt;"","Kapandı",IF('Vade Sapması'!$D$3&gt;G1698,"Açık · vadesi geçti","Açık · vadesi gelmedi")))</f>
        <v/>
      </c>
      <c r="O1698" s="30" t="str">
        <f aca="false">IF(F1698="","",IF(AND(H1698="",'Vade Sapması'!$D$3&gt;G1698),'Vade Sapması'!$D$3-G1698,0))</f>
        <v/>
      </c>
      <c r="P1698" s="33" t="str">
        <f aca="false">IF(F1698="","",F1698*J1698)</f>
        <v/>
      </c>
      <c r="Q1698" s="33" t="str">
        <f aca="false">IF(F1698="","",F1698*L1698)</f>
        <v/>
      </c>
      <c r="R1698" s="33" t="str">
        <f aca="false">IF(F1698="","",IF(H1698="",F1698,0))</f>
        <v/>
      </c>
      <c r="S1698" s="32" t="str">
        <f aca="false">IF(F1698="","",IF(N(O1698)=0,"",IF(O1698&lt;=30,"1-30",IF(O1698&lt;=60,"31-60",IF(O1698&lt;=90,"61-90","90+")))))</f>
        <v/>
      </c>
      <c r="T1698" s="32" t="str">
        <f aca="false">IF(F1698="","",IF(E1698="","Diğer",E1698))</f>
        <v/>
      </c>
      <c r="U1698" s="32" t="str">
        <f aca="false">IF(OR(F1698="",C1698=""),"",IF(COUNTIF($C$2:C1698,C1698)=1,MAX($U$1:U1697)+1,""))</f>
        <v/>
      </c>
    </row>
    <row r="1699" customFormat="false" ht="15" hidden="false" customHeight="false" outlineLevel="0" collapsed="false">
      <c r="A1699" s="34"/>
      <c r="B1699" s="9"/>
      <c r="C1699" s="34"/>
      <c r="D1699" s="34"/>
      <c r="E1699" s="34"/>
      <c r="F1699" s="35"/>
      <c r="G1699" s="9"/>
      <c r="H1699" s="9"/>
      <c r="I1699" s="34"/>
      <c r="J1699" s="30" t="str">
        <f aca="false">IF(F1699="","",G1699-B1699)</f>
        <v/>
      </c>
      <c r="K1699" s="31" t="str">
        <f aca="false">IF(F1699="","",IF(H1699&lt;&gt;"",H1699,MAX('Vade Sapması'!$D$3,G1699)))</f>
        <v/>
      </c>
      <c r="L1699" s="30" t="str">
        <f aca="false">IF(F1699="","",K1699-B1699)</f>
        <v/>
      </c>
      <c r="M1699" s="30" t="str">
        <f aca="false">IF(F1699="","",L1699-J1699)</f>
        <v/>
      </c>
      <c r="N1699" s="32" t="str">
        <f aca="false">IF(F1699="","",IF(H1699&lt;&gt;"","Kapandı",IF('Vade Sapması'!$D$3&gt;G1699,"Açık · vadesi geçti","Açık · vadesi gelmedi")))</f>
        <v/>
      </c>
      <c r="O1699" s="30" t="str">
        <f aca="false">IF(F1699="","",IF(AND(H1699="",'Vade Sapması'!$D$3&gt;G1699),'Vade Sapması'!$D$3-G1699,0))</f>
        <v/>
      </c>
      <c r="P1699" s="33" t="str">
        <f aca="false">IF(F1699="","",F1699*J1699)</f>
        <v/>
      </c>
      <c r="Q1699" s="33" t="str">
        <f aca="false">IF(F1699="","",F1699*L1699)</f>
        <v/>
      </c>
      <c r="R1699" s="33" t="str">
        <f aca="false">IF(F1699="","",IF(H1699="",F1699,0))</f>
        <v/>
      </c>
      <c r="S1699" s="32" t="str">
        <f aca="false">IF(F1699="","",IF(N(O1699)=0,"",IF(O1699&lt;=30,"1-30",IF(O1699&lt;=60,"31-60",IF(O1699&lt;=90,"61-90","90+")))))</f>
        <v/>
      </c>
      <c r="T1699" s="32" t="str">
        <f aca="false">IF(F1699="","",IF(E1699="","Diğer",E1699))</f>
        <v/>
      </c>
      <c r="U1699" s="32" t="str">
        <f aca="false">IF(OR(F1699="",C1699=""),"",IF(COUNTIF($C$2:C1699,C1699)=1,MAX($U$1:U1698)+1,""))</f>
        <v/>
      </c>
    </row>
    <row r="1700" customFormat="false" ht="15" hidden="false" customHeight="false" outlineLevel="0" collapsed="false">
      <c r="A1700" s="34"/>
      <c r="B1700" s="9"/>
      <c r="C1700" s="34"/>
      <c r="D1700" s="34"/>
      <c r="E1700" s="34"/>
      <c r="F1700" s="35"/>
      <c r="G1700" s="9"/>
      <c r="H1700" s="9"/>
      <c r="I1700" s="34"/>
      <c r="J1700" s="30" t="str">
        <f aca="false">IF(F1700="","",G1700-B1700)</f>
        <v/>
      </c>
      <c r="K1700" s="31" t="str">
        <f aca="false">IF(F1700="","",IF(H1700&lt;&gt;"",H1700,MAX('Vade Sapması'!$D$3,G1700)))</f>
        <v/>
      </c>
      <c r="L1700" s="30" t="str">
        <f aca="false">IF(F1700="","",K1700-B1700)</f>
        <v/>
      </c>
      <c r="M1700" s="30" t="str">
        <f aca="false">IF(F1700="","",L1700-J1700)</f>
        <v/>
      </c>
      <c r="N1700" s="32" t="str">
        <f aca="false">IF(F1700="","",IF(H1700&lt;&gt;"","Kapandı",IF('Vade Sapması'!$D$3&gt;G1700,"Açık · vadesi geçti","Açık · vadesi gelmedi")))</f>
        <v/>
      </c>
      <c r="O1700" s="30" t="str">
        <f aca="false">IF(F1700="","",IF(AND(H1700="",'Vade Sapması'!$D$3&gt;G1700),'Vade Sapması'!$D$3-G1700,0))</f>
        <v/>
      </c>
      <c r="P1700" s="33" t="str">
        <f aca="false">IF(F1700="","",F1700*J1700)</f>
        <v/>
      </c>
      <c r="Q1700" s="33" t="str">
        <f aca="false">IF(F1700="","",F1700*L1700)</f>
        <v/>
      </c>
      <c r="R1700" s="33" t="str">
        <f aca="false">IF(F1700="","",IF(H1700="",F1700,0))</f>
        <v/>
      </c>
      <c r="S1700" s="32" t="str">
        <f aca="false">IF(F1700="","",IF(N(O1700)=0,"",IF(O1700&lt;=30,"1-30",IF(O1700&lt;=60,"31-60",IF(O1700&lt;=90,"61-90","90+")))))</f>
        <v/>
      </c>
      <c r="T1700" s="32" t="str">
        <f aca="false">IF(F1700="","",IF(E1700="","Diğer",E1700))</f>
        <v/>
      </c>
      <c r="U1700" s="32" t="str">
        <f aca="false">IF(OR(F1700="",C1700=""),"",IF(COUNTIF($C$2:C1700,C1700)=1,MAX($U$1:U1699)+1,""))</f>
        <v/>
      </c>
    </row>
    <row r="1701" customFormat="false" ht="15" hidden="false" customHeight="false" outlineLevel="0" collapsed="false">
      <c r="A1701" s="34"/>
      <c r="B1701" s="9"/>
      <c r="C1701" s="34"/>
      <c r="D1701" s="34"/>
      <c r="E1701" s="34"/>
      <c r="F1701" s="35"/>
      <c r="G1701" s="9"/>
      <c r="H1701" s="9"/>
      <c r="I1701" s="34"/>
      <c r="J1701" s="30" t="str">
        <f aca="false">IF(F1701="","",G1701-B1701)</f>
        <v/>
      </c>
      <c r="K1701" s="31" t="str">
        <f aca="false">IF(F1701="","",IF(H1701&lt;&gt;"",H1701,MAX('Vade Sapması'!$D$3,G1701)))</f>
        <v/>
      </c>
      <c r="L1701" s="30" t="str">
        <f aca="false">IF(F1701="","",K1701-B1701)</f>
        <v/>
      </c>
      <c r="M1701" s="30" t="str">
        <f aca="false">IF(F1701="","",L1701-J1701)</f>
        <v/>
      </c>
      <c r="N1701" s="32" t="str">
        <f aca="false">IF(F1701="","",IF(H1701&lt;&gt;"","Kapandı",IF('Vade Sapması'!$D$3&gt;G1701,"Açık · vadesi geçti","Açık · vadesi gelmedi")))</f>
        <v/>
      </c>
      <c r="O1701" s="30" t="str">
        <f aca="false">IF(F1701="","",IF(AND(H1701="",'Vade Sapması'!$D$3&gt;G1701),'Vade Sapması'!$D$3-G1701,0))</f>
        <v/>
      </c>
      <c r="P1701" s="33" t="str">
        <f aca="false">IF(F1701="","",F1701*J1701)</f>
        <v/>
      </c>
      <c r="Q1701" s="33" t="str">
        <f aca="false">IF(F1701="","",F1701*L1701)</f>
        <v/>
      </c>
      <c r="R1701" s="33" t="str">
        <f aca="false">IF(F1701="","",IF(H1701="",F1701,0))</f>
        <v/>
      </c>
      <c r="S1701" s="32" t="str">
        <f aca="false">IF(F1701="","",IF(N(O1701)=0,"",IF(O1701&lt;=30,"1-30",IF(O1701&lt;=60,"31-60",IF(O1701&lt;=90,"61-90","90+")))))</f>
        <v/>
      </c>
      <c r="T1701" s="32" t="str">
        <f aca="false">IF(F1701="","",IF(E1701="","Diğer",E1701))</f>
        <v/>
      </c>
      <c r="U1701" s="32" t="str">
        <f aca="false">IF(OR(F1701="",C1701=""),"",IF(COUNTIF($C$2:C1701,C1701)=1,MAX($U$1:U1700)+1,""))</f>
        <v/>
      </c>
    </row>
    <row r="1702" customFormat="false" ht="15" hidden="false" customHeight="false" outlineLevel="0" collapsed="false">
      <c r="A1702" s="34"/>
      <c r="B1702" s="9"/>
      <c r="C1702" s="34"/>
      <c r="D1702" s="34"/>
      <c r="E1702" s="34"/>
      <c r="F1702" s="35"/>
      <c r="G1702" s="9"/>
      <c r="H1702" s="9"/>
      <c r="I1702" s="34"/>
      <c r="J1702" s="30" t="str">
        <f aca="false">IF(F1702="","",G1702-B1702)</f>
        <v/>
      </c>
      <c r="K1702" s="31" t="str">
        <f aca="false">IF(F1702="","",IF(H1702&lt;&gt;"",H1702,MAX('Vade Sapması'!$D$3,G1702)))</f>
        <v/>
      </c>
      <c r="L1702" s="30" t="str">
        <f aca="false">IF(F1702="","",K1702-B1702)</f>
        <v/>
      </c>
      <c r="M1702" s="30" t="str">
        <f aca="false">IF(F1702="","",L1702-J1702)</f>
        <v/>
      </c>
      <c r="N1702" s="32" t="str">
        <f aca="false">IF(F1702="","",IF(H1702&lt;&gt;"","Kapandı",IF('Vade Sapması'!$D$3&gt;G1702,"Açık · vadesi geçti","Açık · vadesi gelmedi")))</f>
        <v/>
      </c>
      <c r="O1702" s="30" t="str">
        <f aca="false">IF(F1702="","",IF(AND(H1702="",'Vade Sapması'!$D$3&gt;G1702),'Vade Sapması'!$D$3-G1702,0))</f>
        <v/>
      </c>
      <c r="P1702" s="33" t="str">
        <f aca="false">IF(F1702="","",F1702*J1702)</f>
        <v/>
      </c>
      <c r="Q1702" s="33" t="str">
        <f aca="false">IF(F1702="","",F1702*L1702)</f>
        <v/>
      </c>
      <c r="R1702" s="33" t="str">
        <f aca="false">IF(F1702="","",IF(H1702="",F1702,0))</f>
        <v/>
      </c>
      <c r="S1702" s="32" t="str">
        <f aca="false">IF(F1702="","",IF(N(O1702)=0,"",IF(O1702&lt;=30,"1-30",IF(O1702&lt;=60,"31-60",IF(O1702&lt;=90,"61-90","90+")))))</f>
        <v/>
      </c>
      <c r="T1702" s="32" t="str">
        <f aca="false">IF(F1702="","",IF(E1702="","Diğer",E1702))</f>
        <v/>
      </c>
      <c r="U1702" s="32" t="str">
        <f aca="false">IF(OR(F1702="",C1702=""),"",IF(COUNTIF($C$2:C1702,C1702)=1,MAX($U$1:U1701)+1,""))</f>
        <v/>
      </c>
    </row>
    <row r="1703" customFormat="false" ht="15" hidden="false" customHeight="false" outlineLevel="0" collapsed="false">
      <c r="A1703" s="34"/>
      <c r="B1703" s="9"/>
      <c r="C1703" s="34"/>
      <c r="D1703" s="34"/>
      <c r="E1703" s="34"/>
      <c r="F1703" s="35"/>
      <c r="G1703" s="9"/>
      <c r="H1703" s="9"/>
      <c r="I1703" s="34"/>
      <c r="J1703" s="30" t="str">
        <f aca="false">IF(F1703="","",G1703-B1703)</f>
        <v/>
      </c>
      <c r="K1703" s="31" t="str">
        <f aca="false">IF(F1703="","",IF(H1703&lt;&gt;"",H1703,MAX('Vade Sapması'!$D$3,G1703)))</f>
        <v/>
      </c>
      <c r="L1703" s="30" t="str">
        <f aca="false">IF(F1703="","",K1703-B1703)</f>
        <v/>
      </c>
      <c r="M1703" s="30" t="str">
        <f aca="false">IF(F1703="","",L1703-J1703)</f>
        <v/>
      </c>
      <c r="N1703" s="32" t="str">
        <f aca="false">IF(F1703="","",IF(H1703&lt;&gt;"","Kapandı",IF('Vade Sapması'!$D$3&gt;G1703,"Açık · vadesi geçti","Açık · vadesi gelmedi")))</f>
        <v/>
      </c>
      <c r="O1703" s="30" t="str">
        <f aca="false">IF(F1703="","",IF(AND(H1703="",'Vade Sapması'!$D$3&gt;G1703),'Vade Sapması'!$D$3-G1703,0))</f>
        <v/>
      </c>
      <c r="P1703" s="33" t="str">
        <f aca="false">IF(F1703="","",F1703*J1703)</f>
        <v/>
      </c>
      <c r="Q1703" s="33" t="str">
        <f aca="false">IF(F1703="","",F1703*L1703)</f>
        <v/>
      </c>
      <c r="R1703" s="33" t="str">
        <f aca="false">IF(F1703="","",IF(H1703="",F1703,0))</f>
        <v/>
      </c>
      <c r="S1703" s="32" t="str">
        <f aca="false">IF(F1703="","",IF(N(O1703)=0,"",IF(O1703&lt;=30,"1-30",IF(O1703&lt;=60,"31-60",IF(O1703&lt;=90,"61-90","90+")))))</f>
        <v/>
      </c>
      <c r="T1703" s="32" t="str">
        <f aca="false">IF(F1703="","",IF(E1703="","Diğer",E1703))</f>
        <v/>
      </c>
      <c r="U1703" s="32" t="str">
        <f aca="false">IF(OR(F1703="",C1703=""),"",IF(COUNTIF($C$2:C1703,C1703)=1,MAX($U$1:U1702)+1,""))</f>
        <v/>
      </c>
    </row>
    <row r="1704" customFormat="false" ht="15" hidden="false" customHeight="false" outlineLevel="0" collapsed="false">
      <c r="A1704" s="34"/>
      <c r="B1704" s="9"/>
      <c r="C1704" s="34"/>
      <c r="D1704" s="34"/>
      <c r="E1704" s="34"/>
      <c r="F1704" s="35"/>
      <c r="G1704" s="9"/>
      <c r="H1704" s="9"/>
      <c r="I1704" s="34"/>
      <c r="J1704" s="30" t="str">
        <f aca="false">IF(F1704="","",G1704-B1704)</f>
        <v/>
      </c>
      <c r="K1704" s="31" t="str">
        <f aca="false">IF(F1704="","",IF(H1704&lt;&gt;"",H1704,MAX('Vade Sapması'!$D$3,G1704)))</f>
        <v/>
      </c>
      <c r="L1704" s="30" t="str">
        <f aca="false">IF(F1704="","",K1704-B1704)</f>
        <v/>
      </c>
      <c r="M1704" s="30" t="str">
        <f aca="false">IF(F1704="","",L1704-J1704)</f>
        <v/>
      </c>
      <c r="N1704" s="32" t="str">
        <f aca="false">IF(F1704="","",IF(H1704&lt;&gt;"","Kapandı",IF('Vade Sapması'!$D$3&gt;G1704,"Açık · vadesi geçti","Açık · vadesi gelmedi")))</f>
        <v/>
      </c>
      <c r="O1704" s="30" t="str">
        <f aca="false">IF(F1704="","",IF(AND(H1704="",'Vade Sapması'!$D$3&gt;G1704),'Vade Sapması'!$D$3-G1704,0))</f>
        <v/>
      </c>
      <c r="P1704" s="33" t="str">
        <f aca="false">IF(F1704="","",F1704*J1704)</f>
        <v/>
      </c>
      <c r="Q1704" s="33" t="str">
        <f aca="false">IF(F1704="","",F1704*L1704)</f>
        <v/>
      </c>
      <c r="R1704" s="33" t="str">
        <f aca="false">IF(F1704="","",IF(H1704="",F1704,0))</f>
        <v/>
      </c>
      <c r="S1704" s="32" t="str">
        <f aca="false">IF(F1704="","",IF(N(O1704)=0,"",IF(O1704&lt;=30,"1-30",IF(O1704&lt;=60,"31-60",IF(O1704&lt;=90,"61-90","90+")))))</f>
        <v/>
      </c>
      <c r="T1704" s="32" t="str">
        <f aca="false">IF(F1704="","",IF(E1704="","Diğer",E1704))</f>
        <v/>
      </c>
      <c r="U1704" s="32" t="str">
        <f aca="false">IF(OR(F1704="",C1704=""),"",IF(COUNTIF($C$2:C1704,C1704)=1,MAX($U$1:U1703)+1,""))</f>
        <v/>
      </c>
    </row>
    <row r="1705" customFormat="false" ht="15" hidden="false" customHeight="false" outlineLevel="0" collapsed="false">
      <c r="A1705" s="34"/>
      <c r="B1705" s="9"/>
      <c r="C1705" s="34"/>
      <c r="D1705" s="34"/>
      <c r="E1705" s="34"/>
      <c r="F1705" s="35"/>
      <c r="G1705" s="9"/>
      <c r="H1705" s="9"/>
      <c r="I1705" s="34"/>
      <c r="J1705" s="30" t="str">
        <f aca="false">IF(F1705="","",G1705-B1705)</f>
        <v/>
      </c>
      <c r="K1705" s="31" t="str">
        <f aca="false">IF(F1705="","",IF(H1705&lt;&gt;"",H1705,MAX('Vade Sapması'!$D$3,G1705)))</f>
        <v/>
      </c>
      <c r="L1705" s="30" t="str">
        <f aca="false">IF(F1705="","",K1705-B1705)</f>
        <v/>
      </c>
      <c r="M1705" s="30" t="str">
        <f aca="false">IF(F1705="","",L1705-J1705)</f>
        <v/>
      </c>
      <c r="N1705" s="32" t="str">
        <f aca="false">IF(F1705="","",IF(H1705&lt;&gt;"","Kapandı",IF('Vade Sapması'!$D$3&gt;G1705,"Açık · vadesi geçti","Açık · vadesi gelmedi")))</f>
        <v/>
      </c>
      <c r="O1705" s="30" t="str">
        <f aca="false">IF(F1705="","",IF(AND(H1705="",'Vade Sapması'!$D$3&gt;G1705),'Vade Sapması'!$D$3-G1705,0))</f>
        <v/>
      </c>
      <c r="P1705" s="33" t="str">
        <f aca="false">IF(F1705="","",F1705*J1705)</f>
        <v/>
      </c>
      <c r="Q1705" s="33" t="str">
        <f aca="false">IF(F1705="","",F1705*L1705)</f>
        <v/>
      </c>
      <c r="R1705" s="33" t="str">
        <f aca="false">IF(F1705="","",IF(H1705="",F1705,0))</f>
        <v/>
      </c>
      <c r="S1705" s="32" t="str">
        <f aca="false">IF(F1705="","",IF(N(O1705)=0,"",IF(O1705&lt;=30,"1-30",IF(O1705&lt;=60,"31-60",IF(O1705&lt;=90,"61-90","90+")))))</f>
        <v/>
      </c>
      <c r="T1705" s="32" t="str">
        <f aca="false">IF(F1705="","",IF(E1705="","Diğer",E1705))</f>
        <v/>
      </c>
      <c r="U1705" s="32" t="str">
        <f aca="false">IF(OR(F1705="",C1705=""),"",IF(COUNTIF($C$2:C1705,C1705)=1,MAX($U$1:U1704)+1,""))</f>
        <v/>
      </c>
    </row>
    <row r="1706" customFormat="false" ht="15" hidden="false" customHeight="false" outlineLevel="0" collapsed="false">
      <c r="A1706" s="34"/>
      <c r="B1706" s="9"/>
      <c r="C1706" s="34"/>
      <c r="D1706" s="34"/>
      <c r="E1706" s="34"/>
      <c r="F1706" s="35"/>
      <c r="G1706" s="9"/>
      <c r="H1706" s="9"/>
      <c r="I1706" s="34"/>
      <c r="J1706" s="30" t="str">
        <f aca="false">IF(F1706="","",G1706-B1706)</f>
        <v/>
      </c>
      <c r="K1706" s="31" t="str">
        <f aca="false">IF(F1706="","",IF(H1706&lt;&gt;"",H1706,MAX('Vade Sapması'!$D$3,G1706)))</f>
        <v/>
      </c>
      <c r="L1706" s="30" t="str">
        <f aca="false">IF(F1706="","",K1706-B1706)</f>
        <v/>
      </c>
      <c r="M1706" s="30" t="str">
        <f aca="false">IF(F1706="","",L1706-J1706)</f>
        <v/>
      </c>
      <c r="N1706" s="32" t="str">
        <f aca="false">IF(F1706="","",IF(H1706&lt;&gt;"","Kapandı",IF('Vade Sapması'!$D$3&gt;G1706,"Açık · vadesi geçti","Açık · vadesi gelmedi")))</f>
        <v/>
      </c>
      <c r="O1706" s="30" t="str">
        <f aca="false">IF(F1706="","",IF(AND(H1706="",'Vade Sapması'!$D$3&gt;G1706),'Vade Sapması'!$D$3-G1706,0))</f>
        <v/>
      </c>
      <c r="P1706" s="33" t="str">
        <f aca="false">IF(F1706="","",F1706*J1706)</f>
        <v/>
      </c>
      <c r="Q1706" s="33" t="str">
        <f aca="false">IF(F1706="","",F1706*L1706)</f>
        <v/>
      </c>
      <c r="R1706" s="33" t="str">
        <f aca="false">IF(F1706="","",IF(H1706="",F1706,0))</f>
        <v/>
      </c>
      <c r="S1706" s="32" t="str">
        <f aca="false">IF(F1706="","",IF(N(O1706)=0,"",IF(O1706&lt;=30,"1-30",IF(O1706&lt;=60,"31-60",IF(O1706&lt;=90,"61-90","90+")))))</f>
        <v/>
      </c>
      <c r="T1706" s="32" t="str">
        <f aca="false">IF(F1706="","",IF(E1706="","Diğer",E1706))</f>
        <v/>
      </c>
      <c r="U1706" s="32" t="str">
        <f aca="false">IF(OR(F1706="",C1706=""),"",IF(COUNTIF($C$2:C1706,C1706)=1,MAX($U$1:U1705)+1,""))</f>
        <v/>
      </c>
    </row>
    <row r="1707" customFormat="false" ht="15" hidden="false" customHeight="false" outlineLevel="0" collapsed="false">
      <c r="A1707" s="34"/>
      <c r="B1707" s="9"/>
      <c r="C1707" s="34"/>
      <c r="D1707" s="34"/>
      <c r="E1707" s="34"/>
      <c r="F1707" s="35"/>
      <c r="G1707" s="9"/>
      <c r="H1707" s="9"/>
      <c r="I1707" s="34"/>
      <c r="J1707" s="30" t="str">
        <f aca="false">IF(F1707="","",G1707-B1707)</f>
        <v/>
      </c>
      <c r="K1707" s="31" t="str">
        <f aca="false">IF(F1707="","",IF(H1707&lt;&gt;"",H1707,MAX('Vade Sapması'!$D$3,G1707)))</f>
        <v/>
      </c>
      <c r="L1707" s="30" t="str">
        <f aca="false">IF(F1707="","",K1707-B1707)</f>
        <v/>
      </c>
      <c r="M1707" s="30" t="str">
        <f aca="false">IF(F1707="","",L1707-J1707)</f>
        <v/>
      </c>
      <c r="N1707" s="32" t="str">
        <f aca="false">IF(F1707="","",IF(H1707&lt;&gt;"","Kapandı",IF('Vade Sapması'!$D$3&gt;G1707,"Açık · vadesi geçti","Açık · vadesi gelmedi")))</f>
        <v/>
      </c>
      <c r="O1707" s="30" t="str">
        <f aca="false">IF(F1707="","",IF(AND(H1707="",'Vade Sapması'!$D$3&gt;G1707),'Vade Sapması'!$D$3-G1707,0))</f>
        <v/>
      </c>
      <c r="P1707" s="33" t="str">
        <f aca="false">IF(F1707="","",F1707*J1707)</f>
        <v/>
      </c>
      <c r="Q1707" s="33" t="str">
        <f aca="false">IF(F1707="","",F1707*L1707)</f>
        <v/>
      </c>
      <c r="R1707" s="33" t="str">
        <f aca="false">IF(F1707="","",IF(H1707="",F1707,0))</f>
        <v/>
      </c>
      <c r="S1707" s="32" t="str">
        <f aca="false">IF(F1707="","",IF(N(O1707)=0,"",IF(O1707&lt;=30,"1-30",IF(O1707&lt;=60,"31-60",IF(O1707&lt;=90,"61-90","90+")))))</f>
        <v/>
      </c>
      <c r="T1707" s="32" t="str">
        <f aca="false">IF(F1707="","",IF(E1707="","Diğer",E1707))</f>
        <v/>
      </c>
      <c r="U1707" s="32" t="str">
        <f aca="false">IF(OR(F1707="",C1707=""),"",IF(COUNTIF($C$2:C1707,C1707)=1,MAX($U$1:U1706)+1,""))</f>
        <v/>
      </c>
    </row>
    <row r="1708" customFormat="false" ht="15" hidden="false" customHeight="false" outlineLevel="0" collapsed="false">
      <c r="A1708" s="34"/>
      <c r="B1708" s="9"/>
      <c r="C1708" s="34"/>
      <c r="D1708" s="34"/>
      <c r="E1708" s="34"/>
      <c r="F1708" s="35"/>
      <c r="G1708" s="9"/>
      <c r="H1708" s="9"/>
      <c r="I1708" s="34"/>
      <c r="J1708" s="30" t="str">
        <f aca="false">IF(F1708="","",G1708-B1708)</f>
        <v/>
      </c>
      <c r="K1708" s="31" t="str">
        <f aca="false">IF(F1708="","",IF(H1708&lt;&gt;"",H1708,MAX('Vade Sapması'!$D$3,G1708)))</f>
        <v/>
      </c>
      <c r="L1708" s="30" t="str">
        <f aca="false">IF(F1708="","",K1708-B1708)</f>
        <v/>
      </c>
      <c r="M1708" s="30" t="str">
        <f aca="false">IF(F1708="","",L1708-J1708)</f>
        <v/>
      </c>
      <c r="N1708" s="32" t="str">
        <f aca="false">IF(F1708="","",IF(H1708&lt;&gt;"","Kapandı",IF('Vade Sapması'!$D$3&gt;G1708,"Açık · vadesi geçti","Açık · vadesi gelmedi")))</f>
        <v/>
      </c>
      <c r="O1708" s="30" t="str">
        <f aca="false">IF(F1708="","",IF(AND(H1708="",'Vade Sapması'!$D$3&gt;G1708),'Vade Sapması'!$D$3-G1708,0))</f>
        <v/>
      </c>
      <c r="P1708" s="33" t="str">
        <f aca="false">IF(F1708="","",F1708*J1708)</f>
        <v/>
      </c>
      <c r="Q1708" s="33" t="str">
        <f aca="false">IF(F1708="","",F1708*L1708)</f>
        <v/>
      </c>
      <c r="R1708" s="33" t="str">
        <f aca="false">IF(F1708="","",IF(H1708="",F1708,0))</f>
        <v/>
      </c>
      <c r="S1708" s="32" t="str">
        <f aca="false">IF(F1708="","",IF(N(O1708)=0,"",IF(O1708&lt;=30,"1-30",IF(O1708&lt;=60,"31-60",IF(O1708&lt;=90,"61-90","90+")))))</f>
        <v/>
      </c>
      <c r="T1708" s="32" t="str">
        <f aca="false">IF(F1708="","",IF(E1708="","Diğer",E1708))</f>
        <v/>
      </c>
      <c r="U1708" s="32" t="str">
        <f aca="false">IF(OR(F1708="",C1708=""),"",IF(COUNTIF($C$2:C1708,C1708)=1,MAX($U$1:U1707)+1,""))</f>
        <v/>
      </c>
    </row>
    <row r="1709" customFormat="false" ht="15" hidden="false" customHeight="false" outlineLevel="0" collapsed="false">
      <c r="A1709" s="34"/>
      <c r="B1709" s="9"/>
      <c r="C1709" s="34"/>
      <c r="D1709" s="34"/>
      <c r="E1709" s="34"/>
      <c r="F1709" s="35"/>
      <c r="G1709" s="9"/>
      <c r="H1709" s="9"/>
      <c r="I1709" s="34"/>
      <c r="J1709" s="30" t="str">
        <f aca="false">IF(F1709="","",G1709-B1709)</f>
        <v/>
      </c>
      <c r="K1709" s="31" t="str">
        <f aca="false">IF(F1709="","",IF(H1709&lt;&gt;"",H1709,MAX('Vade Sapması'!$D$3,G1709)))</f>
        <v/>
      </c>
      <c r="L1709" s="30" t="str">
        <f aca="false">IF(F1709="","",K1709-B1709)</f>
        <v/>
      </c>
      <c r="M1709" s="30" t="str">
        <f aca="false">IF(F1709="","",L1709-J1709)</f>
        <v/>
      </c>
      <c r="N1709" s="32" t="str">
        <f aca="false">IF(F1709="","",IF(H1709&lt;&gt;"","Kapandı",IF('Vade Sapması'!$D$3&gt;G1709,"Açık · vadesi geçti","Açık · vadesi gelmedi")))</f>
        <v/>
      </c>
      <c r="O1709" s="30" t="str">
        <f aca="false">IF(F1709="","",IF(AND(H1709="",'Vade Sapması'!$D$3&gt;G1709),'Vade Sapması'!$D$3-G1709,0))</f>
        <v/>
      </c>
      <c r="P1709" s="33" t="str">
        <f aca="false">IF(F1709="","",F1709*J1709)</f>
        <v/>
      </c>
      <c r="Q1709" s="33" t="str">
        <f aca="false">IF(F1709="","",F1709*L1709)</f>
        <v/>
      </c>
      <c r="R1709" s="33" t="str">
        <f aca="false">IF(F1709="","",IF(H1709="",F1709,0))</f>
        <v/>
      </c>
      <c r="S1709" s="32" t="str">
        <f aca="false">IF(F1709="","",IF(N(O1709)=0,"",IF(O1709&lt;=30,"1-30",IF(O1709&lt;=60,"31-60",IF(O1709&lt;=90,"61-90","90+")))))</f>
        <v/>
      </c>
      <c r="T1709" s="32" t="str">
        <f aca="false">IF(F1709="","",IF(E1709="","Diğer",E1709))</f>
        <v/>
      </c>
      <c r="U1709" s="32" t="str">
        <f aca="false">IF(OR(F1709="",C1709=""),"",IF(COUNTIF($C$2:C1709,C1709)=1,MAX($U$1:U1708)+1,""))</f>
        <v/>
      </c>
    </row>
    <row r="1710" customFormat="false" ht="15" hidden="false" customHeight="false" outlineLevel="0" collapsed="false">
      <c r="A1710" s="34"/>
      <c r="B1710" s="9"/>
      <c r="C1710" s="34"/>
      <c r="D1710" s="34"/>
      <c r="E1710" s="34"/>
      <c r="F1710" s="35"/>
      <c r="G1710" s="9"/>
      <c r="H1710" s="9"/>
      <c r="I1710" s="34"/>
      <c r="J1710" s="30" t="str">
        <f aca="false">IF(F1710="","",G1710-B1710)</f>
        <v/>
      </c>
      <c r="K1710" s="31" t="str">
        <f aca="false">IF(F1710="","",IF(H1710&lt;&gt;"",H1710,MAX('Vade Sapması'!$D$3,G1710)))</f>
        <v/>
      </c>
      <c r="L1710" s="30" t="str">
        <f aca="false">IF(F1710="","",K1710-B1710)</f>
        <v/>
      </c>
      <c r="M1710" s="30" t="str">
        <f aca="false">IF(F1710="","",L1710-J1710)</f>
        <v/>
      </c>
      <c r="N1710" s="32" t="str">
        <f aca="false">IF(F1710="","",IF(H1710&lt;&gt;"","Kapandı",IF('Vade Sapması'!$D$3&gt;G1710,"Açık · vadesi geçti","Açık · vadesi gelmedi")))</f>
        <v/>
      </c>
      <c r="O1710" s="30" t="str">
        <f aca="false">IF(F1710="","",IF(AND(H1710="",'Vade Sapması'!$D$3&gt;G1710),'Vade Sapması'!$D$3-G1710,0))</f>
        <v/>
      </c>
      <c r="P1710" s="33" t="str">
        <f aca="false">IF(F1710="","",F1710*J1710)</f>
        <v/>
      </c>
      <c r="Q1710" s="33" t="str">
        <f aca="false">IF(F1710="","",F1710*L1710)</f>
        <v/>
      </c>
      <c r="R1710" s="33" t="str">
        <f aca="false">IF(F1710="","",IF(H1710="",F1710,0))</f>
        <v/>
      </c>
      <c r="S1710" s="32" t="str">
        <f aca="false">IF(F1710="","",IF(N(O1710)=0,"",IF(O1710&lt;=30,"1-30",IF(O1710&lt;=60,"31-60",IF(O1710&lt;=90,"61-90","90+")))))</f>
        <v/>
      </c>
      <c r="T1710" s="32" t="str">
        <f aca="false">IF(F1710="","",IF(E1710="","Diğer",E1710))</f>
        <v/>
      </c>
      <c r="U1710" s="32" t="str">
        <f aca="false">IF(OR(F1710="",C1710=""),"",IF(COUNTIF($C$2:C1710,C1710)=1,MAX($U$1:U1709)+1,""))</f>
        <v/>
      </c>
    </row>
    <row r="1711" customFormat="false" ht="15" hidden="false" customHeight="false" outlineLevel="0" collapsed="false">
      <c r="A1711" s="34"/>
      <c r="B1711" s="9"/>
      <c r="C1711" s="34"/>
      <c r="D1711" s="34"/>
      <c r="E1711" s="34"/>
      <c r="F1711" s="35"/>
      <c r="G1711" s="9"/>
      <c r="H1711" s="9"/>
      <c r="I1711" s="34"/>
      <c r="J1711" s="30" t="str">
        <f aca="false">IF(F1711="","",G1711-B1711)</f>
        <v/>
      </c>
      <c r="K1711" s="31" t="str">
        <f aca="false">IF(F1711="","",IF(H1711&lt;&gt;"",H1711,MAX('Vade Sapması'!$D$3,G1711)))</f>
        <v/>
      </c>
      <c r="L1711" s="30" t="str">
        <f aca="false">IF(F1711="","",K1711-B1711)</f>
        <v/>
      </c>
      <c r="M1711" s="30" t="str">
        <f aca="false">IF(F1711="","",L1711-J1711)</f>
        <v/>
      </c>
      <c r="N1711" s="32" t="str">
        <f aca="false">IF(F1711="","",IF(H1711&lt;&gt;"","Kapandı",IF('Vade Sapması'!$D$3&gt;G1711,"Açık · vadesi geçti","Açık · vadesi gelmedi")))</f>
        <v/>
      </c>
      <c r="O1711" s="30" t="str">
        <f aca="false">IF(F1711="","",IF(AND(H1711="",'Vade Sapması'!$D$3&gt;G1711),'Vade Sapması'!$D$3-G1711,0))</f>
        <v/>
      </c>
      <c r="P1711" s="33" t="str">
        <f aca="false">IF(F1711="","",F1711*J1711)</f>
        <v/>
      </c>
      <c r="Q1711" s="33" t="str">
        <f aca="false">IF(F1711="","",F1711*L1711)</f>
        <v/>
      </c>
      <c r="R1711" s="33" t="str">
        <f aca="false">IF(F1711="","",IF(H1711="",F1711,0))</f>
        <v/>
      </c>
      <c r="S1711" s="32" t="str">
        <f aca="false">IF(F1711="","",IF(N(O1711)=0,"",IF(O1711&lt;=30,"1-30",IF(O1711&lt;=60,"31-60",IF(O1711&lt;=90,"61-90","90+")))))</f>
        <v/>
      </c>
      <c r="T1711" s="32" t="str">
        <f aca="false">IF(F1711="","",IF(E1711="","Diğer",E1711))</f>
        <v/>
      </c>
      <c r="U1711" s="32" t="str">
        <f aca="false">IF(OR(F1711="",C1711=""),"",IF(COUNTIF($C$2:C1711,C1711)=1,MAX($U$1:U1710)+1,""))</f>
        <v/>
      </c>
    </row>
    <row r="1712" customFormat="false" ht="15" hidden="false" customHeight="false" outlineLevel="0" collapsed="false">
      <c r="A1712" s="34"/>
      <c r="B1712" s="9"/>
      <c r="C1712" s="34"/>
      <c r="D1712" s="34"/>
      <c r="E1712" s="34"/>
      <c r="F1712" s="35"/>
      <c r="G1712" s="9"/>
      <c r="H1712" s="9"/>
      <c r="I1712" s="34"/>
      <c r="J1712" s="30" t="str">
        <f aca="false">IF(F1712="","",G1712-B1712)</f>
        <v/>
      </c>
      <c r="K1712" s="31" t="str">
        <f aca="false">IF(F1712="","",IF(H1712&lt;&gt;"",H1712,MAX('Vade Sapması'!$D$3,G1712)))</f>
        <v/>
      </c>
      <c r="L1712" s="30" t="str">
        <f aca="false">IF(F1712="","",K1712-B1712)</f>
        <v/>
      </c>
      <c r="M1712" s="30" t="str">
        <f aca="false">IF(F1712="","",L1712-J1712)</f>
        <v/>
      </c>
      <c r="N1712" s="32" t="str">
        <f aca="false">IF(F1712="","",IF(H1712&lt;&gt;"","Kapandı",IF('Vade Sapması'!$D$3&gt;G1712,"Açık · vadesi geçti","Açık · vadesi gelmedi")))</f>
        <v/>
      </c>
      <c r="O1712" s="30" t="str">
        <f aca="false">IF(F1712="","",IF(AND(H1712="",'Vade Sapması'!$D$3&gt;G1712),'Vade Sapması'!$D$3-G1712,0))</f>
        <v/>
      </c>
      <c r="P1712" s="33" t="str">
        <f aca="false">IF(F1712="","",F1712*J1712)</f>
        <v/>
      </c>
      <c r="Q1712" s="33" t="str">
        <f aca="false">IF(F1712="","",F1712*L1712)</f>
        <v/>
      </c>
      <c r="R1712" s="33" t="str">
        <f aca="false">IF(F1712="","",IF(H1712="",F1712,0))</f>
        <v/>
      </c>
      <c r="S1712" s="32" t="str">
        <f aca="false">IF(F1712="","",IF(N(O1712)=0,"",IF(O1712&lt;=30,"1-30",IF(O1712&lt;=60,"31-60",IF(O1712&lt;=90,"61-90","90+")))))</f>
        <v/>
      </c>
      <c r="T1712" s="32" t="str">
        <f aca="false">IF(F1712="","",IF(E1712="","Diğer",E1712))</f>
        <v/>
      </c>
      <c r="U1712" s="32" t="str">
        <f aca="false">IF(OR(F1712="",C1712=""),"",IF(COUNTIF($C$2:C1712,C1712)=1,MAX($U$1:U1711)+1,""))</f>
        <v/>
      </c>
    </row>
    <row r="1713" customFormat="false" ht="15" hidden="false" customHeight="false" outlineLevel="0" collapsed="false">
      <c r="A1713" s="34"/>
      <c r="B1713" s="9"/>
      <c r="C1713" s="34"/>
      <c r="D1713" s="34"/>
      <c r="E1713" s="34"/>
      <c r="F1713" s="35"/>
      <c r="G1713" s="9"/>
      <c r="H1713" s="9"/>
      <c r="I1713" s="34"/>
      <c r="J1713" s="30" t="str">
        <f aca="false">IF(F1713="","",G1713-B1713)</f>
        <v/>
      </c>
      <c r="K1713" s="31" t="str">
        <f aca="false">IF(F1713="","",IF(H1713&lt;&gt;"",H1713,MAX('Vade Sapması'!$D$3,G1713)))</f>
        <v/>
      </c>
      <c r="L1713" s="30" t="str">
        <f aca="false">IF(F1713="","",K1713-B1713)</f>
        <v/>
      </c>
      <c r="M1713" s="30" t="str">
        <f aca="false">IF(F1713="","",L1713-J1713)</f>
        <v/>
      </c>
      <c r="N1713" s="32" t="str">
        <f aca="false">IF(F1713="","",IF(H1713&lt;&gt;"","Kapandı",IF('Vade Sapması'!$D$3&gt;G1713,"Açık · vadesi geçti","Açık · vadesi gelmedi")))</f>
        <v/>
      </c>
      <c r="O1713" s="30" t="str">
        <f aca="false">IF(F1713="","",IF(AND(H1713="",'Vade Sapması'!$D$3&gt;G1713),'Vade Sapması'!$D$3-G1713,0))</f>
        <v/>
      </c>
      <c r="P1713" s="33" t="str">
        <f aca="false">IF(F1713="","",F1713*J1713)</f>
        <v/>
      </c>
      <c r="Q1713" s="33" t="str">
        <f aca="false">IF(F1713="","",F1713*L1713)</f>
        <v/>
      </c>
      <c r="R1713" s="33" t="str">
        <f aca="false">IF(F1713="","",IF(H1713="",F1713,0))</f>
        <v/>
      </c>
      <c r="S1713" s="32" t="str">
        <f aca="false">IF(F1713="","",IF(N(O1713)=0,"",IF(O1713&lt;=30,"1-30",IF(O1713&lt;=60,"31-60",IF(O1713&lt;=90,"61-90","90+")))))</f>
        <v/>
      </c>
      <c r="T1713" s="32" t="str">
        <f aca="false">IF(F1713="","",IF(E1713="","Diğer",E1713))</f>
        <v/>
      </c>
      <c r="U1713" s="32" t="str">
        <f aca="false">IF(OR(F1713="",C1713=""),"",IF(COUNTIF($C$2:C1713,C1713)=1,MAX($U$1:U1712)+1,""))</f>
        <v/>
      </c>
    </row>
    <row r="1714" customFormat="false" ht="15" hidden="false" customHeight="false" outlineLevel="0" collapsed="false">
      <c r="A1714" s="34"/>
      <c r="B1714" s="9"/>
      <c r="C1714" s="34"/>
      <c r="D1714" s="34"/>
      <c r="E1714" s="34"/>
      <c r="F1714" s="35"/>
      <c r="G1714" s="9"/>
      <c r="H1714" s="9"/>
      <c r="I1714" s="34"/>
      <c r="J1714" s="30" t="str">
        <f aca="false">IF(F1714="","",G1714-B1714)</f>
        <v/>
      </c>
      <c r="K1714" s="31" t="str">
        <f aca="false">IF(F1714="","",IF(H1714&lt;&gt;"",H1714,MAX('Vade Sapması'!$D$3,G1714)))</f>
        <v/>
      </c>
      <c r="L1714" s="30" t="str">
        <f aca="false">IF(F1714="","",K1714-B1714)</f>
        <v/>
      </c>
      <c r="M1714" s="30" t="str">
        <f aca="false">IF(F1714="","",L1714-J1714)</f>
        <v/>
      </c>
      <c r="N1714" s="32" t="str">
        <f aca="false">IF(F1714="","",IF(H1714&lt;&gt;"","Kapandı",IF('Vade Sapması'!$D$3&gt;G1714,"Açık · vadesi geçti","Açık · vadesi gelmedi")))</f>
        <v/>
      </c>
      <c r="O1714" s="30" t="str">
        <f aca="false">IF(F1714="","",IF(AND(H1714="",'Vade Sapması'!$D$3&gt;G1714),'Vade Sapması'!$D$3-G1714,0))</f>
        <v/>
      </c>
      <c r="P1714" s="33" t="str">
        <f aca="false">IF(F1714="","",F1714*J1714)</f>
        <v/>
      </c>
      <c r="Q1714" s="33" t="str">
        <f aca="false">IF(F1714="","",F1714*L1714)</f>
        <v/>
      </c>
      <c r="R1714" s="33" t="str">
        <f aca="false">IF(F1714="","",IF(H1714="",F1714,0))</f>
        <v/>
      </c>
      <c r="S1714" s="32" t="str">
        <f aca="false">IF(F1714="","",IF(N(O1714)=0,"",IF(O1714&lt;=30,"1-30",IF(O1714&lt;=60,"31-60",IF(O1714&lt;=90,"61-90","90+")))))</f>
        <v/>
      </c>
      <c r="T1714" s="32" t="str">
        <f aca="false">IF(F1714="","",IF(E1714="","Diğer",E1714))</f>
        <v/>
      </c>
      <c r="U1714" s="32" t="str">
        <f aca="false">IF(OR(F1714="",C1714=""),"",IF(COUNTIF($C$2:C1714,C1714)=1,MAX($U$1:U1713)+1,""))</f>
        <v/>
      </c>
    </row>
    <row r="1715" customFormat="false" ht="15" hidden="false" customHeight="false" outlineLevel="0" collapsed="false">
      <c r="A1715" s="34"/>
      <c r="B1715" s="9"/>
      <c r="C1715" s="34"/>
      <c r="D1715" s="34"/>
      <c r="E1715" s="34"/>
      <c r="F1715" s="35"/>
      <c r="G1715" s="9"/>
      <c r="H1715" s="9"/>
      <c r="I1715" s="34"/>
      <c r="J1715" s="30" t="str">
        <f aca="false">IF(F1715="","",G1715-B1715)</f>
        <v/>
      </c>
      <c r="K1715" s="31" t="str">
        <f aca="false">IF(F1715="","",IF(H1715&lt;&gt;"",H1715,MAX('Vade Sapması'!$D$3,G1715)))</f>
        <v/>
      </c>
      <c r="L1715" s="30" t="str">
        <f aca="false">IF(F1715="","",K1715-B1715)</f>
        <v/>
      </c>
      <c r="M1715" s="30" t="str">
        <f aca="false">IF(F1715="","",L1715-J1715)</f>
        <v/>
      </c>
      <c r="N1715" s="32" t="str">
        <f aca="false">IF(F1715="","",IF(H1715&lt;&gt;"","Kapandı",IF('Vade Sapması'!$D$3&gt;G1715,"Açık · vadesi geçti","Açık · vadesi gelmedi")))</f>
        <v/>
      </c>
      <c r="O1715" s="30" t="str">
        <f aca="false">IF(F1715="","",IF(AND(H1715="",'Vade Sapması'!$D$3&gt;G1715),'Vade Sapması'!$D$3-G1715,0))</f>
        <v/>
      </c>
      <c r="P1715" s="33" t="str">
        <f aca="false">IF(F1715="","",F1715*J1715)</f>
        <v/>
      </c>
      <c r="Q1715" s="33" t="str">
        <f aca="false">IF(F1715="","",F1715*L1715)</f>
        <v/>
      </c>
      <c r="R1715" s="33" t="str">
        <f aca="false">IF(F1715="","",IF(H1715="",F1715,0))</f>
        <v/>
      </c>
      <c r="S1715" s="32" t="str">
        <f aca="false">IF(F1715="","",IF(N(O1715)=0,"",IF(O1715&lt;=30,"1-30",IF(O1715&lt;=60,"31-60",IF(O1715&lt;=90,"61-90","90+")))))</f>
        <v/>
      </c>
      <c r="T1715" s="32" t="str">
        <f aca="false">IF(F1715="","",IF(E1715="","Diğer",E1715))</f>
        <v/>
      </c>
      <c r="U1715" s="32" t="str">
        <f aca="false">IF(OR(F1715="",C1715=""),"",IF(COUNTIF($C$2:C1715,C1715)=1,MAX($U$1:U1714)+1,""))</f>
        <v/>
      </c>
    </row>
    <row r="1716" customFormat="false" ht="15" hidden="false" customHeight="false" outlineLevel="0" collapsed="false">
      <c r="A1716" s="34"/>
      <c r="B1716" s="9"/>
      <c r="C1716" s="34"/>
      <c r="D1716" s="34"/>
      <c r="E1716" s="34"/>
      <c r="F1716" s="35"/>
      <c r="G1716" s="9"/>
      <c r="H1716" s="9"/>
      <c r="I1716" s="34"/>
      <c r="J1716" s="30" t="str">
        <f aca="false">IF(F1716="","",G1716-B1716)</f>
        <v/>
      </c>
      <c r="K1716" s="31" t="str">
        <f aca="false">IF(F1716="","",IF(H1716&lt;&gt;"",H1716,MAX('Vade Sapması'!$D$3,G1716)))</f>
        <v/>
      </c>
      <c r="L1716" s="30" t="str">
        <f aca="false">IF(F1716="","",K1716-B1716)</f>
        <v/>
      </c>
      <c r="M1716" s="30" t="str">
        <f aca="false">IF(F1716="","",L1716-J1716)</f>
        <v/>
      </c>
      <c r="N1716" s="32" t="str">
        <f aca="false">IF(F1716="","",IF(H1716&lt;&gt;"","Kapandı",IF('Vade Sapması'!$D$3&gt;G1716,"Açık · vadesi geçti","Açık · vadesi gelmedi")))</f>
        <v/>
      </c>
      <c r="O1716" s="30" t="str">
        <f aca="false">IF(F1716="","",IF(AND(H1716="",'Vade Sapması'!$D$3&gt;G1716),'Vade Sapması'!$D$3-G1716,0))</f>
        <v/>
      </c>
      <c r="P1716" s="33" t="str">
        <f aca="false">IF(F1716="","",F1716*J1716)</f>
        <v/>
      </c>
      <c r="Q1716" s="33" t="str">
        <f aca="false">IF(F1716="","",F1716*L1716)</f>
        <v/>
      </c>
      <c r="R1716" s="33" t="str">
        <f aca="false">IF(F1716="","",IF(H1716="",F1716,0))</f>
        <v/>
      </c>
      <c r="S1716" s="32" t="str">
        <f aca="false">IF(F1716="","",IF(N(O1716)=0,"",IF(O1716&lt;=30,"1-30",IF(O1716&lt;=60,"31-60",IF(O1716&lt;=90,"61-90","90+")))))</f>
        <v/>
      </c>
      <c r="T1716" s="32" t="str">
        <f aca="false">IF(F1716="","",IF(E1716="","Diğer",E1716))</f>
        <v/>
      </c>
      <c r="U1716" s="32" t="str">
        <f aca="false">IF(OR(F1716="",C1716=""),"",IF(COUNTIF($C$2:C1716,C1716)=1,MAX($U$1:U1715)+1,""))</f>
        <v/>
      </c>
    </row>
    <row r="1717" customFormat="false" ht="15" hidden="false" customHeight="false" outlineLevel="0" collapsed="false">
      <c r="A1717" s="34"/>
      <c r="B1717" s="9"/>
      <c r="C1717" s="34"/>
      <c r="D1717" s="34"/>
      <c r="E1717" s="34"/>
      <c r="F1717" s="35"/>
      <c r="G1717" s="9"/>
      <c r="H1717" s="9"/>
      <c r="I1717" s="34"/>
      <c r="J1717" s="30" t="str">
        <f aca="false">IF(F1717="","",G1717-B1717)</f>
        <v/>
      </c>
      <c r="K1717" s="31" t="str">
        <f aca="false">IF(F1717="","",IF(H1717&lt;&gt;"",H1717,MAX('Vade Sapması'!$D$3,G1717)))</f>
        <v/>
      </c>
      <c r="L1717" s="30" t="str">
        <f aca="false">IF(F1717="","",K1717-B1717)</f>
        <v/>
      </c>
      <c r="M1717" s="30" t="str">
        <f aca="false">IF(F1717="","",L1717-J1717)</f>
        <v/>
      </c>
      <c r="N1717" s="32" t="str">
        <f aca="false">IF(F1717="","",IF(H1717&lt;&gt;"","Kapandı",IF('Vade Sapması'!$D$3&gt;G1717,"Açık · vadesi geçti","Açık · vadesi gelmedi")))</f>
        <v/>
      </c>
      <c r="O1717" s="30" t="str">
        <f aca="false">IF(F1717="","",IF(AND(H1717="",'Vade Sapması'!$D$3&gt;G1717),'Vade Sapması'!$D$3-G1717,0))</f>
        <v/>
      </c>
      <c r="P1717" s="33" t="str">
        <f aca="false">IF(F1717="","",F1717*J1717)</f>
        <v/>
      </c>
      <c r="Q1717" s="33" t="str">
        <f aca="false">IF(F1717="","",F1717*L1717)</f>
        <v/>
      </c>
      <c r="R1717" s="33" t="str">
        <f aca="false">IF(F1717="","",IF(H1717="",F1717,0))</f>
        <v/>
      </c>
      <c r="S1717" s="32" t="str">
        <f aca="false">IF(F1717="","",IF(N(O1717)=0,"",IF(O1717&lt;=30,"1-30",IF(O1717&lt;=60,"31-60",IF(O1717&lt;=90,"61-90","90+")))))</f>
        <v/>
      </c>
      <c r="T1717" s="32" t="str">
        <f aca="false">IF(F1717="","",IF(E1717="","Diğer",E1717))</f>
        <v/>
      </c>
      <c r="U1717" s="32" t="str">
        <f aca="false">IF(OR(F1717="",C1717=""),"",IF(COUNTIF($C$2:C1717,C1717)=1,MAX($U$1:U1716)+1,""))</f>
        <v/>
      </c>
    </row>
    <row r="1718" customFormat="false" ht="15" hidden="false" customHeight="false" outlineLevel="0" collapsed="false">
      <c r="A1718" s="34"/>
      <c r="B1718" s="9"/>
      <c r="C1718" s="34"/>
      <c r="D1718" s="34"/>
      <c r="E1718" s="34"/>
      <c r="F1718" s="35"/>
      <c r="G1718" s="9"/>
      <c r="H1718" s="9"/>
      <c r="I1718" s="34"/>
      <c r="J1718" s="30" t="str">
        <f aca="false">IF(F1718="","",G1718-B1718)</f>
        <v/>
      </c>
      <c r="K1718" s="31" t="str">
        <f aca="false">IF(F1718="","",IF(H1718&lt;&gt;"",H1718,MAX('Vade Sapması'!$D$3,G1718)))</f>
        <v/>
      </c>
      <c r="L1718" s="30" t="str">
        <f aca="false">IF(F1718="","",K1718-B1718)</f>
        <v/>
      </c>
      <c r="M1718" s="30" t="str">
        <f aca="false">IF(F1718="","",L1718-J1718)</f>
        <v/>
      </c>
      <c r="N1718" s="32" t="str">
        <f aca="false">IF(F1718="","",IF(H1718&lt;&gt;"","Kapandı",IF('Vade Sapması'!$D$3&gt;G1718,"Açık · vadesi geçti","Açık · vadesi gelmedi")))</f>
        <v/>
      </c>
      <c r="O1718" s="30" t="str">
        <f aca="false">IF(F1718="","",IF(AND(H1718="",'Vade Sapması'!$D$3&gt;G1718),'Vade Sapması'!$D$3-G1718,0))</f>
        <v/>
      </c>
      <c r="P1718" s="33" t="str">
        <f aca="false">IF(F1718="","",F1718*J1718)</f>
        <v/>
      </c>
      <c r="Q1718" s="33" t="str">
        <f aca="false">IF(F1718="","",F1718*L1718)</f>
        <v/>
      </c>
      <c r="R1718" s="33" t="str">
        <f aca="false">IF(F1718="","",IF(H1718="",F1718,0))</f>
        <v/>
      </c>
      <c r="S1718" s="32" t="str">
        <f aca="false">IF(F1718="","",IF(N(O1718)=0,"",IF(O1718&lt;=30,"1-30",IF(O1718&lt;=60,"31-60",IF(O1718&lt;=90,"61-90","90+")))))</f>
        <v/>
      </c>
      <c r="T1718" s="32" t="str">
        <f aca="false">IF(F1718="","",IF(E1718="","Diğer",E1718))</f>
        <v/>
      </c>
      <c r="U1718" s="32" t="str">
        <f aca="false">IF(OR(F1718="",C1718=""),"",IF(COUNTIF($C$2:C1718,C1718)=1,MAX($U$1:U1717)+1,""))</f>
        <v/>
      </c>
    </row>
    <row r="1719" customFormat="false" ht="15" hidden="false" customHeight="false" outlineLevel="0" collapsed="false">
      <c r="A1719" s="34"/>
      <c r="B1719" s="9"/>
      <c r="C1719" s="34"/>
      <c r="D1719" s="34"/>
      <c r="E1719" s="34"/>
      <c r="F1719" s="35"/>
      <c r="G1719" s="9"/>
      <c r="H1719" s="9"/>
      <c r="I1719" s="34"/>
      <c r="J1719" s="30" t="str">
        <f aca="false">IF(F1719="","",G1719-B1719)</f>
        <v/>
      </c>
      <c r="K1719" s="31" t="str">
        <f aca="false">IF(F1719="","",IF(H1719&lt;&gt;"",H1719,MAX('Vade Sapması'!$D$3,G1719)))</f>
        <v/>
      </c>
      <c r="L1719" s="30" t="str">
        <f aca="false">IF(F1719="","",K1719-B1719)</f>
        <v/>
      </c>
      <c r="M1719" s="30" t="str">
        <f aca="false">IF(F1719="","",L1719-J1719)</f>
        <v/>
      </c>
      <c r="N1719" s="32" t="str">
        <f aca="false">IF(F1719="","",IF(H1719&lt;&gt;"","Kapandı",IF('Vade Sapması'!$D$3&gt;G1719,"Açık · vadesi geçti","Açık · vadesi gelmedi")))</f>
        <v/>
      </c>
      <c r="O1719" s="30" t="str">
        <f aca="false">IF(F1719="","",IF(AND(H1719="",'Vade Sapması'!$D$3&gt;G1719),'Vade Sapması'!$D$3-G1719,0))</f>
        <v/>
      </c>
      <c r="P1719" s="33" t="str">
        <f aca="false">IF(F1719="","",F1719*J1719)</f>
        <v/>
      </c>
      <c r="Q1719" s="33" t="str">
        <f aca="false">IF(F1719="","",F1719*L1719)</f>
        <v/>
      </c>
      <c r="R1719" s="33" t="str">
        <f aca="false">IF(F1719="","",IF(H1719="",F1719,0))</f>
        <v/>
      </c>
      <c r="S1719" s="32" t="str">
        <f aca="false">IF(F1719="","",IF(N(O1719)=0,"",IF(O1719&lt;=30,"1-30",IF(O1719&lt;=60,"31-60",IF(O1719&lt;=90,"61-90","90+")))))</f>
        <v/>
      </c>
      <c r="T1719" s="32" t="str">
        <f aca="false">IF(F1719="","",IF(E1719="","Diğer",E1719))</f>
        <v/>
      </c>
      <c r="U1719" s="32" t="str">
        <f aca="false">IF(OR(F1719="",C1719=""),"",IF(COUNTIF($C$2:C1719,C1719)=1,MAX($U$1:U1718)+1,""))</f>
        <v/>
      </c>
    </row>
    <row r="1720" customFormat="false" ht="15" hidden="false" customHeight="false" outlineLevel="0" collapsed="false">
      <c r="A1720" s="34"/>
      <c r="B1720" s="9"/>
      <c r="C1720" s="34"/>
      <c r="D1720" s="34"/>
      <c r="E1720" s="34"/>
      <c r="F1720" s="35"/>
      <c r="G1720" s="9"/>
      <c r="H1720" s="9"/>
      <c r="I1720" s="34"/>
      <c r="J1720" s="30" t="str">
        <f aca="false">IF(F1720="","",G1720-B1720)</f>
        <v/>
      </c>
      <c r="K1720" s="31" t="str">
        <f aca="false">IF(F1720="","",IF(H1720&lt;&gt;"",H1720,MAX('Vade Sapması'!$D$3,G1720)))</f>
        <v/>
      </c>
      <c r="L1720" s="30" t="str">
        <f aca="false">IF(F1720="","",K1720-B1720)</f>
        <v/>
      </c>
      <c r="M1720" s="30" t="str">
        <f aca="false">IF(F1720="","",L1720-J1720)</f>
        <v/>
      </c>
      <c r="N1720" s="32" t="str">
        <f aca="false">IF(F1720="","",IF(H1720&lt;&gt;"","Kapandı",IF('Vade Sapması'!$D$3&gt;G1720,"Açık · vadesi geçti","Açık · vadesi gelmedi")))</f>
        <v/>
      </c>
      <c r="O1720" s="30" t="str">
        <f aca="false">IF(F1720="","",IF(AND(H1720="",'Vade Sapması'!$D$3&gt;G1720),'Vade Sapması'!$D$3-G1720,0))</f>
        <v/>
      </c>
      <c r="P1720" s="33" t="str">
        <f aca="false">IF(F1720="","",F1720*J1720)</f>
        <v/>
      </c>
      <c r="Q1720" s="33" t="str">
        <f aca="false">IF(F1720="","",F1720*L1720)</f>
        <v/>
      </c>
      <c r="R1720" s="33" t="str">
        <f aca="false">IF(F1720="","",IF(H1720="",F1720,0))</f>
        <v/>
      </c>
      <c r="S1720" s="32" t="str">
        <f aca="false">IF(F1720="","",IF(N(O1720)=0,"",IF(O1720&lt;=30,"1-30",IF(O1720&lt;=60,"31-60",IF(O1720&lt;=90,"61-90","90+")))))</f>
        <v/>
      </c>
      <c r="T1720" s="32" t="str">
        <f aca="false">IF(F1720="","",IF(E1720="","Diğer",E1720))</f>
        <v/>
      </c>
      <c r="U1720" s="32" t="str">
        <f aca="false">IF(OR(F1720="",C1720=""),"",IF(COUNTIF($C$2:C1720,C1720)=1,MAX($U$1:U1719)+1,""))</f>
        <v/>
      </c>
    </row>
    <row r="1721" customFormat="false" ht="15" hidden="false" customHeight="false" outlineLevel="0" collapsed="false">
      <c r="A1721" s="34"/>
      <c r="B1721" s="9"/>
      <c r="C1721" s="34"/>
      <c r="D1721" s="34"/>
      <c r="E1721" s="34"/>
      <c r="F1721" s="35"/>
      <c r="G1721" s="9"/>
      <c r="H1721" s="9"/>
      <c r="I1721" s="34"/>
      <c r="J1721" s="30" t="str">
        <f aca="false">IF(F1721="","",G1721-B1721)</f>
        <v/>
      </c>
      <c r="K1721" s="31" t="str">
        <f aca="false">IF(F1721="","",IF(H1721&lt;&gt;"",H1721,MAX('Vade Sapması'!$D$3,G1721)))</f>
        <v/>
      </c>
      <c r="L1721" s="30" t="str">
        <f aca="false">IF(F1721="","",K1721-B1721)</f>
        <v/>
      </c>
      <c r="M1721" s="30" t="str">
        <f aca="false">IF(F1721="","",L1721-J1721)</f>
        <v/>
      </c>
      <c r="N1721" s="32" t="str">
        <f aca="false">IF(F1721="","",IF(H1721&lt;&gt;"","Kapandı",IF('Vade Sapması'!$D$3&gt;G1721,"Açık · vadesi geçti","Açık · vadesi gelmedi")))</f>
        <v/>
      </c>
      <c r="O1721" s="30" t="str">
        <f aca="false">IF(F1721="","",IF(AND(H1721="",'Vade Sapması'!$D$3&gt;G1721),'Vade Sapması'!$D$3-G1721,0))</f>
        <v/>
      </c>
      <c r="P1721" s="33" t="str">
        <f aca="false">IF(F1721="","",F1721*J1721)</f>
        <v/>
      </c>
      <c r="Q1721" s="33" t="str">
        <f aca="false">IF(F1721="","",F1721*L1721)</f>
        <v/>
      </c>
      <c r="R1721" s="33" t="str">
        <f aca="false">IF(F1721="","",IF(H1721="",F1721,0))</f>
        <v/>
      </c>
      <c r="S1721" s="32" t="str">
        <f aca="false">IF(F1721="","",IF(N(O1721)=0,"",IF(O1721&lt;=30,"1-30",IF(O1721&lt;=60,"31-60",IF(O1721&lt;=90,"61-90","90+")))))</f>
        <v/>
      </c>
      <c r="T1721" s="32" t="str">
        <f aca="false">IF(F1721="","",IF(E1721="","Diğer",E1721))</f>
        <v/>
      </c>
      <c r="U1721" s="32" t="str">
        <f aca="false">IF(OR(F1721="",C1721=""),"",IF(COUNTIF($C$2:C1721,C1721)=1,MAX($U$1:U1720)+1,""))</f>
        <v/>
      </c>
    </row>
    <row r="1722" customFormat="false" ht="15" hidden="false" customHeight="false" outlineLevel="0" collapsed="false">
      <c r="A1722" s="34"/>
      <c r="B1722" s="9"/>
      <c r="C1722" s="34"/>
      <c r="D1722" s="34"/>
      <c r="E1722" s="34"/>
      <c r="F1722" s="35"/>
      <c r="G1722" s="9"/>
      <c r="H1722" s="9"/>
      <c r="I1722" s="34"/>
      <c r="J1722" s="30" t="str">
        <f aca="false">IF(F1722="","",G1722-B1722)</f>
        <v/>
      </c>
      <c r="K1722" s="31" t="str">
        <f aca="false">IF(F1722="","",IF(H1722&lt;&gt;"",H1722,MAX('Vade Sapması'!$D$3,G1722)))</f>
        <v/>
      </c>
      <c r="L1722" s="30" t="str">
        <f aca="false">IF(F1722="","",K1722-B1722)</f>
        <v/>
      </c>
      <c r="M1722" s="30" t="str">
        <f aca="false">IF(F1722="","",L1722-J1722)</f>
        <v/>
      </c>
      <c r="N1722" s="32" t="str">
        <f aca="false">IF(F1722="","",IF(H1722&lt;&gt;"","Kapandı",IF('Vade Sapması'!$D$3&gt;G1722,"Açık · vadesi geçti","Açık · vadesi gelmedi")))</f>
        <v/>
      </c>
      <c r="O1722" s="30" t="str">
        <f aca="false">IF(F1722="","",IF(AND(H1722="",'Vade Sapması'!$D$3&gt;G1722),'Vade Sapması'!$D$3-G1722,0))</f>
        <v/>
      </c>
      <c r="P1722" s="33" t="str">
        <f aca="false">IF(F1722="","",F1722*J1722)</f>
        <v/>
      </c>
      <c r="Q1722" s="33" t="str">
        <f aca="false">IF(F1722="","",F1722*L1722)</f>
        <v/>
      </c>
      <c r="R1722" s="33" t="str">
        <f aca="false">IF(F1722="","",IF(H1722="",F1722,0))</f>
        <v/>
      </c>
      <c r="S1722" s="32" t="str">
        <f aca="false">IF(F1722="","",IF(N(O1722)=0,"",IF(O1722&lt;=30,"1-30",IF(O1722&lt;=60,"31-60",IF(O1722&lt;=90,"61-90","90+")))))</f>
        <v/>
      </c>
      <c r="T1722" s="32" t="str">
        <f aca="false">IF(F1722="","",IF(E1722="","Diğer",E1722))</f>
        <v/>
      </c>
      <c r="U1722" s="32" t="str">
        <f aca="false">IF(OR(F1722="",C1722=""),"",IF(COUNTIF($C$2:C1722,C1722)=1,MAX($U$1:U1721)+1,""))</f>
        <v/>
      </c>
    </row>
    <row r="1723" customFormat="false" ht="15" hidden="false" customHeight="false" outlineLevel="0" collapsed="false">
      <c r="A1723" s="34"/>
      <c r="B1723" s="9"/>
      <c r="C1723" s="34"/>
      <c r="D1723" s="34"/>
      <c r="E1723" s="34"/>
      <c r="F1723" s="35"/>
      <c r="G1723" s="9"/>
      <c r="H1723" s="9"/>
      <c r="I1723" s="34"/>
      <c r="J1723" s="30" t="str">
        <f aca="false">IF(F1723="","",G1723-B1723)</f>
        <v/>
      </c>
      <c r="K1723" s="31" t="str">
        <f aca="false">IF(F1723="","",IF(H1723&lt;&gt;"",H1723,MAX('Vade Sapması'!$D$3,G1723)))</f>
        <v/>
      </c>
      <c r="L1723" s="30" t="str">
        <f aca="false">IF(F1723="","",K1723-B1723)</f>
        <v/>
      </c>
      <c r="M1723" s="30" t="str">
        <f aca="false">IF(F1723="","",L1723-J1723)</f>
        <v/>
      </c>
      <c r="N1723" s="32" t="str">
        <f aca="false">IF(F1723="","",IF(H1723&lt;&gt;"","Kapandı",IF('Vade Sapması'!$D$3&gt;G1723,"Açık · vadesi geçti","Açık · vadesi gelmedi")))</f>
        <v/>
      </c>
      <c r="O1723" s="30" t="str">
        <f aca="false">IF(F1723="","",IF(AND(H1723="",'Vade Sapması'!$D$3&gt;G1723),'Vade Sapması'!$D$3-G1723,0))</f>
        <v/>
      </c>
      <c r="P1723" s="33" t="str">
        <f aca="false">IF(F1723="","",F1723*J1723)</f>
        <v/>
      </c>
      <c r="Q1723" s="33" t="str">
        <f aca="false">IF(F1723="","",F1723*L1723)</f>
        <v/>
      </c>
      <c r="R1723" s="33" t="str">
        <f aca="false">IF(F1723="","",IF(H1723="",F1723,0))</f>
        <v/>
      </c>
      <c r="S1723" s="32" t="str">
        <f aca="false">IF(F1723="","",IF(N(O1723)=0,"",IF(O1723&lt;=30,"1-30",IF(O1723&lt;=60,"31-60",IF(O1723&lt;=90,"61-90","90+")))))</f>
        <v/>
      </c>
      <c r="T1723" s="32" t="str">
        <f aca="false">IF(F1723="","",IF(E1723="","Diğer",E1723))</f>
        <v/>
      </c>
      <c r="U1723" s="32" t="str">
        <f aca="false">IF(OR(F1723="",C1723=""),"",IF(COUNTIF($C$2:C1723,C1723)=1,MAX($U$1:U1722)+1,""))</f>
        <v/>
      </c>
    </row>
    <row r="1724" customFormat="false" ht="15" hidden="false" customHeight="false" outlineLevel="0" collapsed="false">
      <c r="A1724" s="34"/>
      <c r="B1724" s="9"/>
      <c r="C1724" s="34"/>
      <c r="D1724" s="34"/>
      <c r="E1724" s="34"/>
      <c r="F1724" s="35"/>
      <c r="G1724" s="9"/>
      <c r="H1724" s="9"/>
      <c r="I1724" s="34"/>
      <c r="J1724" s="30" t="str">
        <f aca="false">IF(F1724="","",G1724-B1724)</f>
        <v/>
      </c>
      <c r="K1724" s="31" t="str">
        <f aca="false">IF(F1724="","",IF(H1724&lt;&gt;"",H1724,MAX('Vade Sapması'!$D$3,G1724)))</f>
        <v/>
      </c>
      <c r="L1724" s="30" t="str">
        <f aca="false">IF(F1724="","",K1724-B1724)</f>
        <v/>
      </c>
      <c r="M1724" s="30" t="str">
        <f aca="false">IF(F1724="","",L1724-J1724)</f>
        <v/>
      </c>
      <c r="N1724" s="32" t="str">
        <f aca="false">IF(F1724="","",IF(H1724&lt;&gt;"","Kapandı",IF('Vade Sapması'!$D$3&gt;G1724,"Açık · vadesi geçti","Açık · vadesi gelmedi")))</f>
        <v/>
      </c>
      <c r="O1724" s="30" t="str">
        <f aca="false">IF(F1724="","",IF(AND(H1724="",'Vade Sapması'!$D$3&gt;G1724),'Vade Sapması'!$D$3-G1724,0))</f>
        <v/>
      </c>
      <c r="P1724" s="33" t="str">
        <f aca="false">IF(F1724="","",F1724*J1724)</f>
        <v/>
      </c>
      <c r="Q1724" s="33" t="str">
        <f aca="false">IF(F1724="","",F1724*L1724)</f>
        <v/>
      </c>
      <c r="R1724" s="33" t="str">
        <f aca="false">IF(F1724="","",IF(H1724="",F1724,0))</f>
        <v/>
      </c>
      <c r="S1724" s="32" t="str">
        <f aca="false">IF(F1724="","",IF(N(O1724)=0,"",IF(O1724&lt;=30,"1-30",IF(O1724&lt;=60,"31-60",IF(O1724&lt;=90,"61-90","90+")))))</f>
        <v/>
      </c>
      <c r="T1724" s="32" t="str">
        <f aca="false">IF(F1724="","",IF(E1724="","Diğer",E1724))</f>
        <v/>
      </c>
      <c r="U1724" s="32" t="str">
        <f aca="false">IF(OR(F1724="",C1724=""),"",IF(COUNTIF($C$2:C1724,C1724)=1,MAX($U$1:U1723)+1,""))</f>
        <v/>
      </c>
    </row>
    <row r="1725" customFormat="false" ht="15" hidden="false" customHeight="false" outlineLevel="0" collapsed="false">
      <c r="A1725" s="34"/>
      <c r="B1725" s="9"/>
      <c r="C1725" s="34"/>
      <c r="D1725" s="34"/>
      <c r="E1725" s="34"/>
      <c r="F1725" s="35"/>
      <c r="G1725" s="9"/>
      <c r="H1725" s="9"/>
      <c r="I1725" s="34"/>
      <c r="J1725" s="30" t="str">
        <f aca="false">IF(F1725="","",G1725-B1725)</f>
        <v/>
      </c>
      <c r="K1725" s="31" t="str">
        <f aca="false">IF(F1725="","",IF(H1725&lt;&gt;"",H1725,MAX('Vade Sapması'!$D$3,G1725)))</f>
        <v/>
      </c>
      <c r="L1725" s="30" t="str">
        <f aca="false">IF(F1725="","",K1725-B1725)</f>
        <v/>
      </c>
      <c r="M1725" s="30" t="str">
        <f aca="false">IF(F1725="","",L1725-J1725)</f>
        <v/>
      </c>
      <c r="N1725" s="32" t="str">
        <f aca="false">IF(F1725="","",IF(H1725&lt;&gt;"","Kapandı",IF('Vade Sapması'!$D$3&gt;G1725,"Açık · vadesi geçti","Açık · vadesi gelmedi")))</f>
        <v/>
      </c>
      <c r="O1725" s="30" t="str">
        <f aca="false">IF(F1725="","",IF(AND(H1725="",'Vade Sapması'!$D$3&gt;G1725),'Vade Sapması'!$D$3-G1725,0))</f>
        <v/>
      </c>
      <c r="P1725" s="33" t="str">
        <f aca="false">IF(F1725="","",F1725*J1725)</f>
        <v/>
      </c>
      <c r="Q1725" s="33" t="str">
        <f aca="false">IF(F1725="","",F1725*L1725)</f>
        <v/>
      </c>
      <c r="R1725" s="33" t="str">
        <f aca="false">IF(F1725="","",IF(H1725="",F1725,0))</f>
        <v/>
      </c>
      <c r="S1725" s="32" t="str">
        <f aca="false">IF(F1725="","",IF(N(O1725)=0,"",IF(O1725&lt;=30,"1-30",IF(O1725&lt;=60,"31-60",IF(O1725&lt;=90,"61-90","90+")))))</f>
        <v/>
      </c>
      <c r="T1725" s="32" t="str">
        <f aca="false">IF(F1725="","",IF(E1725="","Diğer",E1725))</f>
        <v/>
      </c>
      <c r="U1725" s="32" t="str">
        <f aca="false">IF(OR(F1725="",C1725=""),"",IF(COUNTIF($C$2:C1725,C1725)=1,MAX($U$1:U1724)+1,""))</f>
        <v/>
      </c>
    </row>
    <row r="1726" customFormat="false" ht="15" hidden="false" customHeight="false" outlineLevel="0" collapsed="false">
      <c r="A1726" s="34"/>
      <c r="B1726" s="9"/>
      <c r="C1726" s="34"/>
      <c r="D1726" s="34"/>
      <c r="E1726" s="34"/>
      <c r="F1726" s="35"/>
      <c r="G1726" s="9"/>
      <c r="H1726" s="9"/>
      <c r="I1726" s="34"/>
      <c r="J1726" s="30" t="str">
        <f aca="false">IF(F1726="","",G1726-B1726)</f>
        <v/>
      </c>
      <c r="K1726" s="31" t="str">
        <f aca="false">IF(F1726="","",IF(H1726&lt;&gt;"",H1726,MAX('Vade Sapması'!$D$3,G1726)))</f>
        <v/>
      </c>
      <c r="L1726" s="30" t="str">
        <f aca="false">IF(F1726="","",K1726-B1726)</f>
        <v/>
      </c>
      <c r="M1726" s="30" t="str">
        <f aca="false">IF(F1726="","",L1726-J1726)</f>
        <v/>
      </c>
      <c r="N1726" s="32" t="str">
        <f aca="false">IF(F1726="","",IF(H1726&lt;&gt;"","Kapandı",IF('Vade Sapması'!$D$3&gt;G1726,"Açık · vadesi geçti","Açık · vadesi gelmedi")))</f>
        <v/>
      </c>
      <c r="O1726" s="30" t="str">
        <f aca="false">IF(F1726="","",IF(AND(H1726="",'Vade Sapması'!$D$3&gt;G1726),'Vade Sapması'!$D$3-G1726,0))</f>
        <v/>
      </c>
      <c r="P1726" s="33" t="str">
        <f aca="false">IF(F1726="","",F1726*J1726)</f>
        <v/>
      </c>
      <c r="Q1726" s="33" t="str">
        <f aca="false">IF(F1726="","",F1726*L1726)</f>
        <v/>
      </c>
      <c r="R1726" s="33" t="str">
        <f aca="false">IF(F1726="","",IF(H1726="",F1726,0))</f>
        <v/>
      </c>
      <c r="S1726" s="32" t="str">
        <f aca="false">IF(F1726="","",IF(N(O1726)=0,"",IF(O1726&lt;=30,"1-30",IF(O1726&lt;=60,"31-60",IF(O1726&lt;=90,"61-90","90+")))))</f>
        <v/>
      </c>
      <c r="T1726" s="32" t="str">
        <f aca="false">IF(F1726="","",IF(E1726="","Diğer",E1726))</f>
        <v/>
      </c>
      <c r="U1726" s="32" t="str">
        <f aca="false">IF(OR(F1726="",C1726=""),"",IF(COUNTIF($C$2:C1726,C1726)=1,MAX($U$1:U1725)+1,""))</f>
        <v/>
      </c>
    </row>
    <row r="1727" customFormat="false" ht="15" hidden="false" customHeight="false" outlineLevel="0" collapsed="false">
      <c r="A1727" s="34"/>
      <c r="B1727" s="9"/>
      <c r="C1727" s="34"/>
      <c r="D1727" s="34"/>
      <c r="E1727" s="34"/>
      <c r="F1727" s="35"/>
      <c r="G1727" s="9"/>
      <c r="H1727" s="9"/>
      <c r="I1727" s="34"/>
      <c r="J1727" s="30" t="str">
        <f aca="false">IF(F1727="","",G1727-B1727)</f>
        <v/>
      </c>
      <c r="K1727" s="31" t="str">
        <f aca="false">IF(F1727="","",IF(H1727&lt;&gt;"",H1727,MAX('Vade Sapması'!$D$3,G1727)))</f>
        <v/>
      </c>
      <c r="L1727" s="30" t="str">
        <f aca="false">IF(F1727="","",K1727-B1727)</f>
        <v/>
      </c>
      <c r="M1727" s="30" t="str">
        <f aca="false">IF(F1727="","",L1727-J1727)</f>
        <v/>
      </c>
      <c r="N1727" s="32" t="str">
        <f aca="false">IF(F1727="","",IF(H1727&lt;&gt;"","Kapandı",IF('Vade Sapması'!$D$3&gt;G1727,"Açık · vadesi geçti","Açık · vadesi gelmedi")))</f>
        <v/>
      </c>
      <c r="O1727" s="30" t="str">
        <f aca="false">IF(F1727="","",IF(AND(H1727="",'Vade Sapması'!$D$3&gt;G1727),'Vade Sapması'!$D$3-G1727,0))</f>
        <v/>
      </c>
      <c r="P1727" s="33" t="str">
        <f aca="false">IF(F1727="","",F1727*J1727)</f>
        <v/>
      </c>
      <c r="Q1727" s="33" t="str">
        <f aca="false">IF(F1727="","",F1727*L1727)</f>
        <v/>
      </c>
      <c r="R1727" s="33" t="str">
        <f aca="false">IF(F1727="","",IF(H1727="",F1727,0))</f>
        <v/>
      </c>
      <c r="S1727" s="32" t="str">
        <f aca="false">IF(F1727="","",IF(N(O1727)=0,"",IF(O1727&lt;=30,"1-30",IF(O1727&lt;=60,"31-60",IF(O1727&lt;=90,"61-90","90+")))))</f>
        <v/>
      </c>
      <c r="T1727" s="32" t="str">
        <f aca="false">IF(F1727="","",IF(E1727="","Diğer",E1727))</f>
        <v/>
      </c>
      <c r="U1727" s="32" t="str">
        <f aca="false">IF(OR(F1727="",C1727=""),"",IF(COUNTIF($C$2:C1727,C1727)=1,MAX($U$1:U1726)+1,""))</f>
        <v/>
      </c>
    </row>
    <row r="1728" customFormat="false" ht="15" hidden="false" customHeight="false" outlineLevel="0" collapsed="false">
      <c r="A1728" s="34"/>
      <c r="B1728" s="9"/>
      <c r="C1728" s="34"/>
      <c r="D1728" s="34"/>
      <c r="E1728" s="34"/>
      <c r="F1728" s="35"/>
      <c r="G1728" s="9"/>
      <c r="H1728" s="9"/>
      <c r="I1728" s="34"/>
      <c r="J1728" s="30" t="str">
        <f aca="false">IF(F1728="","",G1728-B1728)</f>
        <v/>
      </c>
      <c r="K1728" s="31" t="str">
        <f aca="false">IF(F1728="","",IF(H1728&lt;&gt;"",H1728,MAX('Vade Sapması'!$D$3,G1728)))</f>
        <v/>
      </c>
      <c r="L1728" s="30" t="str">
        <f aca="false">IF(F1728="","",K1728-B1728)</f>
        <v/>
      </c>
      <c r="M1728" s="30" t="str">
        <f aca="false">IF(F1728="","",L1728-J1728)</f>
        <v/>
      </c>
      <c r="N1728" s="32" t="str">
        <f aca="false">IF(F1728="","",IF(H1728&lt;&gt;"","Kapandı",IF('Vade Sapması'!$D$3&gt;G1728,"Açık · vadesi geçti","Açık · vadesi gelmedi")))</f>
        <v/>
      </c>
      <c r="O1728" s="30" t="str">
        <f aca="false">IF(F1728="","",IF(AND(H1728="",'Vade Sapması'!$D$3&gt;G1728),'Vade Sapması'!$D$3-G1728,0))</f>
        <v/>
      </c>
      <c r="P1728" s="33" t="str">
        <f aca="false">IF(F1728="","",F1728*J1728)</f>
        <v/>
      </c>
      <c r="Q1728" s="33" t="str">
        <f aca="false">IF(F1728="","",F1728*L1728)</f>
        <v/>
      </c>
      <c r="R1728" s="33" t="str">
        <f aca="false">IF(F1728="","",IF(H1728="",F1728,0))</f>
        <v/>
      </c>
      <c r="S1728" s="32" t="str">
        <f aca="false">IF(F1728="","",IF(N(O1728)=0,"",IF(O1728&lt;=30,"1-30",IF(O1728&lt;=60,"31-60",IF(O1728&lt;=90,"61-90","90+")))))</f>
        <v/>
      </c>
      <c r="T1728" s="32" t="str">
        <f aca="false">IF(F1728="","",IF(E1728="","Diğer",E1728))</f>
        <v/>
      </c>
      <c r="U1728" s="32" t="str">
        <f aca="false">IF(OR(F1728="",C1728=""),"",IF(COUNTIF($C$2:C1728,C1728)=1,MAX($U$1:U1727)+1,""))</f>
        <v/>
      </c>
    </row>
    <row r="1729" customFormat="false" ht="15" hidden="false" customHeight="false" outlineLevel="0" collapsed="false">
      <c r="A1729" s="34"/>
      <c r="B1729" s="9"/>
      <c r="C1729" s="34"/>
      <c r="D1729" s="34"/>
      <c r="E1729" s="34"/>
      <c r="F1729" s="35"/>
      <c r="G1729" s="9"/>
      <c r="H1729" s="9"/>
      <c r="I1729" s="34"/>
      <c r="J1729" s="30" t="str">
        <f aca="false">IF(F1729="","",G1729-B1729)</f>
        <v/>
      </c>
      <c r="K1729" s="31" t="str">
        <f aca="false">IF(F1729="","",IF(H1729&lt;&gt;"",H1729,MAX('Vade Sapması'!$D$3,G1729)))</f>
        <v/>
      </c>
      <c r="L1729" s="30" t="str">
        <f aca="false">IF(F1729="","",K1729-B1729)</f>
        <v/>
      </c>
      <c r="M1729" s="30" t="str">
        <f aca="false">IF(F1729="","",L1729-J1729)</f>
        <v/>
      </c>
      <c r="N1729" s="32" t="str">
        <f aca="false">IF(F1729="","",IF(H1729&lt;&gt;"","Kapandı",IF('Vade Sapması'!$D$3&gt;G1729,"Açık · vadesi geçti","Açık · vadesi gelmedi")))</f>
        <v/>
      </c>
      <c r="O1729" s="30" t="str">
        <f aca="false">IF(F1729="","",IF(AND(H1729="",'Vade Sapması'!$D$3&gt;G1729),'Vade Sapması'!$D$3-G1729,0))</f>
        <v/>
      </c>
      <c r="P1729" s="33" t="str">
        <f aca="false">IF(F1729="","",F1729*J1729)</f>
        <v/>
      </c>
      <c r="Q1729" s="33" t="str">
        <f aca="false">IF(F1729="","",F1729*L1729)</f>
        <v/>
      </c>
      <c r="R1729" s="33" t="str">
        <f aca="false">IF(F1729="","",IF(H1729="",F1729,0))</f>
        <v/>
      </c>
      <c r="S1729" s="32" t="str">
        <f aca="false">IF(F1729="","",IF(N(O1729)=0,"",IF(O1729&lt;=30,"1-30",IF(O1729&lt;=60,"31-60",IF(O1729&lt;=90,"61-90","90+")))))</f>
        <v/>
      </c>
      <c r="T1729" s="32" t="str">
        <f aca="false">IF(F1729="","",IF(E1729="","Diğer",E1729))</f>
        <v/>
      </c>
      <c r="U1729" s="32" t="str">
        <f aca="false">IF(OR(F1729="",C1729=""),"",IF(COUNTIF($C$2:C1729,C1729)=1,MAX($U$1:U1728)+1,""))</f>
        <v/>
      </c>
    </row>
    <row r="1730" customFormat="false" ht="15" hidden="false" customHeight="false" outlineLevel="0" collapsed="false">
      <c r="A1730" s="34"/>
      <c r="B1730" s="9"/>
      <c r="C1730" s="34"/>
      <c r="D1730" s="34"/>
      <c r="E1730" s="34"/>
      <c r="F1730" s="35"/>
      <c r="G1730" s="9"/>
      <c r="H1730" s="9"/>
      <c r="I1730" s="34"/>
      <c r="J1730" s="30" t="str">
        <f aca="false">IF(F1730="","",G1730-B1730)</f>
        <v/>
      </c>
      <c r="K1730" s="31" t="str">
        <f aca="false">IF(F1730="","",IF(H1730&lt;&gt;"",H1730,MAX('Vade Sapması'!$D$3,G1730)))</f>
        <v/>
      </c>
      <c r="L1730" s="30" t="str">
        <f aca="false">IF(F1730="","",K1730-B1730)</f>
        <v/>
      </c>
      <c r="M1730" s="30" t="str">
        <f aca="false">IF(F1730="","",L1730-J1730)</f>
        <v/>
      </c>
      <c r="N1730" s="32" t="str">
        <f aca="false">IF(F1730="","",IF(H1730&lt;&gt;"","Kapandı",IF('Vade Sapması'!$D$3&gt;G1730,"Açık · vadesi geçti","Açık · vadesi gelmedi")))</f>
        <v/>
      </c>
      <c r="O1730" s="30" t="str">
        <f aca="false">IF(F1730="","",IF(AND(H1730="",'Vade Sapması'!$D$3&gt;G1730),'Vade Sapması'!$D$3-G1730,0))</f>
        <v/>
      </c>
      <c r="P1730" s="33" t="str">
        <f aca="false">IF(F1730="","",F1730*J1730)</f>
        <v/>
      </c>
      <c r="Q1730" s="33" t="str">
        <f aca="false">IF(F1730="","",F1730*L1730)</f>
        <v/>
      </c>
      <c r="R1730" s="33" t="str">
        <f aca="false">IF(F1730="","",IF(H1730="",F1730,0))</f>
        <v/>
      </c>
      <c r="S1730" s="32" t="str">
        <f aca="false">IF(F1730="","",IF(N(O1730)=0,"",IF(O1730&lt;=30,"1-30",IF(O1730&lt;=60,"31-60",IF(O1730&lt;=90,"61-90","90+")))))</f>
        <v/>
      </c>
      <c r="T1730" s="32" t="str">
        <f aca="false">IF(F1730="","",IF(E1730="","Diğer",E1730))</f>
        <v/>
      </c>
      <c r="U1730" s="32" t="str">
        <f aca="false">IF(OR(F1730="",C1730=""),"",IF(COUNTIF($C$2:C1730,C1730)=1,MAX($U$1:U1729)+1,""))</f>
        <v/>
      </c>
    </row>
    <row r="1731" customFormat="false" ht="15" hidden="false" customHeight="false" outlineLevel="0" collapsed="false">
      <c r="A1731" s="34"/>
      <c r="B1731" s="9"/>
      <c r="C1731" s="34"/>
      <c r="D1731" s="34"/>
      <c r="E1731" s="34"/>
      <c r="F1731" s="35"/>
      <c r="G1731" s="9"/>
      <c r="H1731" s="9"/>
      <c r="I1731" s="34"/>
      <c r="J1731" s="30" t="str">
        <f aca="false">IF(F1731="","",G1731-B1731)</f>
        <v/>
      </c>
      <c r="K1731" s="31" t="str">
        <f aca="false">IF(F1731="","",IF(H1731&lt;&gt;"",H1731,MAX('Vade Sapması'!$D$3,G1731)))</f>
        <v/>
      </c>
      <c r="L1731" s="30" t="str">
        <f aca="false">IF(F1731="","",K1731-B1731)</f>
        <v/>
      </c>
      <c r="M1731" s="30" t="str">
        <f aca="false">IF(F1731="","",L1731-J1731)</f>
        <v/>
      </c>
      <c r="N1731" s="32" t="str">
        <f aca="false">IF(F1731="","",IF(H1731&lt;&gt;"","Kapandı",IF('Vade Sapması'!$D$3&gt;G1731,"Açık · vadesi geçti","Açık · vadesi gelmedi")))</f>
        <v/>
      </c>
      <c r="O1731" s="30" t="str">
        <f aca="false">IF(F1731="","",IF(AND(H1731="",'Vade Sapması'!$D$3&gt;G1731),'Vade Sapması'!$D$3-G1731,0))</f>
        <v/>
      </c>
      <c r="P1731" s="33" t="str">
        <f aca="false">IF(F1731="","",F1731*J1731)</f>
        <v/>
      </c>
      <c r="Q1731" s="33" t="str">
        <f aca="false">IF(F1731="","",F1731*L1731)</f>
        <v/>
      </c>
      <c r="R1731" s="33" t="str">
        <f aca="false">IF(F1731="","",IF(H1731="",F1731,0))</f>
        <v/>
      </c>
      <c r="S1731" s="32" t="str">
        <f aca="false">IF(F1731="","",IF(N(O1731)=0,"",IF(O1731&lt;=30,"1-30",IF(O1731&lt;=60,"31-60",IF(O1731&lt;=90,"61-90","90+")))))</f>
        <v/>
      </c>
      <c r="T1731" s="32" t="str">
        <f aca="false">IF(F1731="","",IF(E1731="","Diğer",E1731))</f>
        <v/>
      </c>
      <c r="U1731" s="32" t="str">
        <f aca="false">IF(OR(F1731="",C1731=""),"",IF(COUNTIF($C$2:C1731,C1731)=1,MAX($U$1:U1730)+1,""))</f>
        <v/>
      </c>
    </row>
    <row r="1732" customFormat="false" ht="15" hidden="false" customHeight="false" outlineLevel="0" collapsed="false">
      <c r="A1732" s="34"/>
      <c r="B1732" s="9"/>
      <c r="C1732" s="34"/>
      <c r="D1732" s="34"/>
      <c r="E1732" s="34"/>
      <c r="F1732" s="35"/>
      <c r="G1732" s="9"/>
      <c r="H1732" s="9"/>
      <c r="I1732" s="34"/>
      <c r="J1732" s="30" t="str">
        <f aca="false">IF(F1732="","",G1732-B1732)</f>
        <v/>
      </c>
      <c r="K1732" s="31" t="str">
        <f aca="false">IF(F1732="","",IF(H1732&lt;&gt;"",H1732,MAX('Vade Sapması'!$D$3,G1732)))</f>
        <v/>
      </c>
      <c r="L1732" s="30" t="str">
        <f aca="false">IF(F1732="","",K1732-B1732)</f>
        <v/>
      </c>
      <c r="M1732" s="30" t="str">
        <f aca="false">IF(F1732="","",L1732-J1732)</f>
        <v/>
      </c>
      <c r="N1732" s="32" t="str">
        <f aca="false">IF(F1732="","",IF(H1732&lt;&gt;"","Kapandı",IF('Vade Sapması'!$D$3&gt;G1732,"Açık · vadesi geçti","Açık · vadesi gelmedi")))</f>
        <v/>
      </c>
      <c r="O1732" s="30" t="str">
        <f aca="false">IF(F1732="","",IF(AND(H1732="",'Vade Sapması'!$D$3&gt;G1732),'Vade Sapması'!$D$3-G1732,0))</f>
        <v/>
      </c>
      <c r="P1732" s="33" t="str">
        <f aca="false">IF(F1732="","",F1732*J1732)</f>
        <v/>
      </c>
      <c r="Q1732" s="33" t="str">
        <f aca="false">IF(F1732="","",F1732*L1732)</f>
        <v/>
      </c>
      <c r="R1732" s="33" t="str">
        <f aca="false">IF(F1732="","",IF(H1732="",F1732,0))</f>
        <v/>
      </c>
      <c r="S1732" s="32" t="str">
        <f aca="false">IF(F1732="","",IF(N(O1732)=0,"",IF(O1732&lt;=30,"1-30",IF(O1732&lt;=60,"31-60",IF(O1732&lt;=90,"61-90","90+")))))</f>
        <v/>
      </c>
      <c r="T1732" s="32" t="str">
        <f aca="false">IF(F1732="","",IF(E1732="","Diğer",E1732))</f>
        <v/>
      </c>
      <c r="U1732" s="32" t="str">
        <f aca="false">IF(OR(F1732="",C1732=""),"",IF(COUNTIF($C$2:C1732,C1732)=1,MAX($U$1:U1731)+1,""))</f>
        <v/>
      </c>
    </row>
    <row r="1733" customFormat="false" ht="15" hidden="false" customHeight="false" outlineLevel="0" collapsed="false">
      <c r="A1733" s="34"/>
      <c r="B1733" s="9"/>
      <c r="C1733" s="34"/>
      <c r="D1733" s="34"/>
      <c r="E1733" s="34"/>
      <c r="F1733" s="35"/>
      <c r="G1733" s="9"/>
      <c r="H1733" s="9"/>
      <c r="I1733" s="34"/>
      <c r="J1733" s="30" t="str">
        <f aca="false">IF(F1733="","",G1733-B1733)</f>
        <v/>
      </c>
      <c r="K1733" s="31" t="str">
        <f aca="false">IF(F1733="","",IF(H1733&lt;&gt;"",H1733,MAX('Vade Sapması'!$D$3,G1733)))</f>
        <v/>
      </c>
      <c r="L1733" s="30" t="str">
        <f aca="false">IF(F1733="","",K1733-B1733)</f>
        <v/>
      </c>
      <c r="M1733" s="30" t="str">
        <f aca="false">IF(F1733="","",L1733-J1733)</f>
        <v/>
      </c>
      <c r="N1733" s="32" t="str">
        <f aca="false">IF(F1733="","",IF(H1733&lt;&gt;"","Kapandı",IF('Vade Sapması'!$D$3&gt;G1733,"Açık · vadesi geçti","Açık · vadesi gelmedi")))</f>
        <v/>
      </c>
      <c r="O1733" s="30" t="str">
        <f aca="false">IF(F1733="","",IF(AND(H1733="",'Vade Sapması'!$D$3&gt;G1733),'Vade Sapması'!$D$3-G1733,0))</f>
        <v/>
      </c>
      <c r="P1733" s="33" t="str">
        <f aca="false">IF(F1733="","",F1733*J1733)</f>
        <v/>
      </c>
      <c r="Q1733" s="33" t="str">
        <f aca="false">IF(F1733="","",F1733*L1733)</f>
        <v/>
      </c>
      <c r="R1733" s="33" t="str">
        <f aca="false">IF(F1733="","",IF(H1733="",F1733,0))</f>
        <v/>
      </c>
      <c r="S1733" s="32" t="str">
        <f aca="false">IF(F1733="","",IF(N(O1733)=0,"",IF(O1733&lt;=30,"1-30",IF(O1733&lt;=60,"31-60",IF(O1733&lt;=90,"61-90","90+")))))</f>
        <v/>
      </c>
      <c r="T1733" s="32" t="str">
        <f aca="false">IF(F1733="","",IF(E1733="","Diğer",E1733))</f>
        <v/>
      </c>
      <c r="U1733" s="32" t="str">
        <f aca="false">IF(OR(F1733="",C1733=""),"",IF(COUNTIF($C$2:C1733,C1733)=1,MAX($U$1:U1732)+1,""))</f>
        <v/>
      </c>
    </row>
    <row r="1734" customFormat="false" ht="15" hidden="false" customHeight="false" outlineLevel="0" collapsed="false">
      <c r="A1734" s="34"/>
      <c r="B1734" s="9"/>
      <c r="C1734" s="34"/>
      <c r="D1734" s="34"/>
      <c r="E1734" s="34"/>
      <c r="F1734" s="35"/>
      <c r="G1734" s="9"/>
      <c r="H1734" s="9"/>
      <c r="I1734" s="34"/>
      <c r="J1734" s="30" t="str">
        <f aca="false">IF(F1734="","",G1734-B1734)</f>
        <v/>
      </c>
      <c r="K1734" s="31" t="str">
        <f aca="false">IF(F1734="","",IF(H1734&lt;&gt;"",H1734,MAX('Vade Sapması'!$D$3,G1734)))</f>
        <v/>
      </c>
      <c r="L1734" s="30" t="str">
        <f aca="false">IF(F1734="","",K1734-B1734)</f>
        <v/>
      </c>
      <c r="M1734" s="30" t="str">
        <f aca="false">IF(F1734="","",L1734-J1734)</f>
        <v/>
      </c>
      <c r="N1734" s="32" t="str">
        <f aca="false">IF(F1734="","",IF(H1734&lt;&gt;"","Kapandı",IF('Vade Sapması'!$D$3&gt;G1734,"Açık · vadesi geçti","Açık · vadesi gelmedi")))</f>
        <v/>
      </c>
      <c r="O1734" s="30" t="str">
        <f aca="false">IF(F1734="","",IF(AND(H1734="",'Vade Sapması'!$D$3&gt;G1734),'Vade Sapması'!$D$3-G1734,0))</f>
        <v/>
      </c>
      <c r="P1734" s="33" t="str">
        <f aca="false">IF(F1734="","",F1734*J1734)</f>
        <v/>
      </c>
      <c r="Q1734" s="33" t="str">
        <f aca="false">IF(F1734="","",F1734*L1734)</f>
        <v/>
      </c>
      <c r="R1734" s="33" t="str">
        <f aca="false">IF(F1734="","",IF(H1734="",F1734,0))</f>
        <v/>
      </c>
      <c r="S1734" s="32" t="str">
        <f aca="false">IF(F1734="","",IF(N(O1734)=0,"",IF(O1734&lt;=30,"1-30",IF(O1734&lt;=60,"31-60",IF(O1734&lt;=90,"61-90","90+")))))</f>
        <v/>
      </c>
      <c r="T1734" s="32" t="str">
        <f aca="false">IF(F1734="","",IF(E1734="","Diğer",E1734))</f>
        <v/>
      </c>
      <c r="U1734" s="32" t="str">
        <f aca="false">IF(OR(F1734="",C1734=""),"",IF(COUNTIF($C$2:C1734,C1734)=1,MAX($U$1:U1733)+1,""))</f>
        <v/>
      </c>
    </row>
    <row r="1735" customFormat="false" ht="15" hidden="false" customHeight="false" outlineLevel="0" collapsed="false">
      <c r="A1735" s="34"/>
      <c r="B1735" s="9"/>
      <c r="C1735" s="34"/>
      <c r="D1735" s="34"/>
      <c r="E1735" s="34"/>
      <c r="F1735" s="35"/>
      <c r="G1735" s="9"/>
      <c r="H1735" s="9"/>
      <c r="I1735" s="34"/>
      <c r="J1735" s="30" t="str">
        <f aca="false">IF(F1735="","",G1735-B1735)</f>
        <v/>
      </c>
      <c r="K1735" s="31" t="str">
        <f aca="false">IF(F1735="","",IF(H1735&lt;&gt;"",H1735,MAX('Vade Sapması'!$D$3,G1735)))</f>
        <v/>
      </c>
      <c r="L1735" s="30" t="str">
        <f aca="false">IF(F1735="","",K1735-B1735)</f>
        <v/>
      </c>
      <c r="M1735" s="30" t="str">
        <f aca="false">IF(F1735="","",L1735-J1735)</f>
        <v/>
      </c>
      <c r="N1735" s="32" t="str">
        <f aca="false">IF(F1735="","",IF(H1735&lt;&gt;"","Kapandı",IF('Vade Sapması'!$D$3&gt;G1735,"Açık · vadesi geçti","Açık · vadesi gelmedi")))</f>
        <v/>
      </c>
      <c r="O1735" s="30" t="str">
        <f aca="false">IF(F1735="","",IF(AND(H1735="",'Vade Sapması'!$D$3&gt;G1735),'Vade Sapması'!$D$3-G1735,0))</f>
        <v/>
      </c>
      <c r="P1735" s="33" t="str">
        <f aca="false">IF(F1735="","",F1735*J1735)</f>
        <v/>
      </c>
      <c r="Q1735" s="33" t="str">
        <f aca="false">IF(F1735="","",F1735*L1735)</f>
        <v/>
      </c>
      <c r="R1735" s="33" t="str">
        <f aca="false">IF(F1735="","",IF(H1735="",F1735,0))</f>
        <v/>
      </c>
      <c r="S1735" s="32" t="str">
        <f aca="false">IF(F1735="","",IF(N(O1735)=0,"",IF(O1735&lt;=30,"1-30",IF(O1735&lt;=60,"31-60",IF(O1735&lt;=90,"61-90","90+")))))</f>
        <v/>
      </c>
      <c r="T1735" s="32" t="str">
        <f aca="false">IF(F1735="","",IF(E1735="","Diğer",E1735))</f>
        <v/>
      </c>
      <c r="U1735" s="32" t="str">
        <f aca="false">IF(OR(F1735="",C1735=""),"",IF(COUNTIF($C$2:C1735,C1735)=1,MAX($U$1:U1734)+1,""))</f>
        <v/>
      </c>
    </row>
    <row r="1736" customFormat="false" ht="15" hidden="false" customHeight="false" outlineLevel="0" collapsed="false">
      <c r="A1736" s="34"/>
      <c r="B1736" s="9"/>
      <c r="C1736" s="34"/>
      <c r="D1736" s="34"/>
      <c r="E1736" s="34"/>
      <c r="F1736" s="35"/>
      <c r="G1736" s="9"/>
      <c r="H1736" s="9"/>
      <c r="I1736" s="34"/>
      <c r="J1736" s="30" t="str">
        <f aca="false">IF(F1736="","",G1736-B1736)</f>
        <v/>
      </c>
      <c r="K1736" s="31" t="str">
        <f aca="false">IF(F1736="","",IF(H1736&lt;&gt;"",H1736,MAX('Vade Sapması'!$D$3,G1736)))</f>
        <v/>
      </c>
      <c r="L1736" s="30" t="str">
        <f aca="false">IF(F1736="","",K1736-B1736)</f>
        <v/>
      </c>
      <c r="M1736" s="30" t="str">
        <f aca="false">IF(F1736="","",L1736-J1736)</f>
        <v/>
      </c>
      <c r="N1736" s="32" t="str">
        <f aca="false">IF(F1736="","",IF(H1736&lt;&gt;"","Kapandı",IF('Vade Sapması'!$D$3&gt;G1736,"Açık · vadesi geçti","Açık · vadesi gelmedi")))</f>
        <v/>
      </c>
      <c r="O1736" s="30" t="str">
        <f aca="false">IF(F1736="","",IF(AND(H1736="",'Vade Sapması'!$D$3&gt;G1736),'Vade Sapması'!$D$3-G1736,0))</f>
        <v/>
      </c>
      <c r="P1736" s="33" t="str">
        <f aca="false">IF(F1736="","",F1736*J1736)</f>
        <v/>
      </c>
      <c r="Q1736" s="33" t="str">
        <f aca="false">IF(F1736="","",F1736*L1736)</f>
        <v/>
      </c>
      <c r="R1736" s="33" t="str">
        <f aca="false">IF(F1736="","",IF(H1736="",F1736,0))</f>
        <v/>
      </c>
      <c r="S1736" s="32" t="str">
        <f aca="false">IF(F1736="","",IF(N(O1736)=0,"",IF(O1736&lt;=30,"1-30",IF(O1736&lt;=60,"31-60",IF(O1736&lt;=90,"61-90","90+")))))</f>
        <v/>
      </c>
      <c r="T1736" s="32" t="str">
        <f aca="false">IF(F1736="","",IF(E1736="","Diğer",E1736))</f>
        <v/>
      </c>
      <c r="U1736" s="32" t="str">
        <f aca="false">IF(OR(F1736="",C1736=""),"",IF(COUNTIF($C$2:C1736,C1736)=1,MAX($U$1:U1735)+1,""))</f>
        <v/>
      </c>
    </row>
    <row r="1737" customFormat="false" ht="15" hidden="false" customHeight="false" outlineLevel="0" collapsed="false">
      <c r="A1737" s="34"/>
      <c r="B1737" s="9"/>
      <c r="C1737" s="34"/>
      <c r="D1737" s="34"/>
      <c r="E1737" s="34"/>
      <c r="F1737" s="35"/>
      <c r="G1737" s="9"/>
      <c r="H1737" s="9"/>
      <c r="I1737" s="34"/>
      <c r="J1737" s="30" t="str">
        <f aca="false">IF(F1737="","",G1737-B1737)</f>
        <v/>
      </c>
      <c r="K1737" s="31" t="str">
        <f aca="false">IF(F1737="","",IF(H1737&lt;&gt;"",H1737,MAX('Vade Sapması'!$D$3,G1737)))</f>
        <v/>
      </c>
      <c r="L1737" s="30" t="str">
        <f aca="false">IF(F1737="","",K1737-B1737)</f>
        <v/>
      </c>
      <c r="M1737" s="30" t="str">
        <f aca="false">IF(F1737="","",L1737-J1737)</f>
        <v/>
      </c>
      <c r="N1737" s="32" t="str">
        <f aca="false">IF(F1737="","",IF(H1737&lt;&gt;"","Kapandı",IF('Vade Sapması'!$D$3&gt;G1737,"Açık · vadesi geçti","Açık · vadesi gelmedi")))</f>
        <v/>
      </c>
      <c r="O1737" s="30" t="str">
        <f aca="false">IF(F1737="","",IF(AND(H1737="",'Vade Sapması'!$D$3&gt;G1737),'Vade Sapması'!$D$3-G1737,0))</f>
        <v/>
      </c>
      <c r="P1737" s="33" t="str">
        <f aca="false">IF(F1737="","",F1737*J1737)</f>
        <v/>
      </c>
      <c r="Q1737" s="33" t="str">
        <f aca="false">IF(F1737="","",F1737*L1737)</f>
        <v/>
      </c>
      <c r="R1737" s="33" t="str">
        <f aca="false">IF(F1737="","",IF(H1737="",F1737,0))</f>
        <v/>
      </c>
      <c r="S1737" s="32" t="str">
        <f aca="false">IF(F1737="","",IF(N(O1737)=0,"",IF(O1737&lt;=30,"1-30",IF(O1737&lt;=60,"31-60",IF(O1737&lt;=90,"61-90","90+")))))</f>
        <v/>
      </c>
      <c r="T1737" s="32" t="str">
        <f aca="false">IF(F1737="","",IF(E1737="","Diğer",E1737))</f>
        <v/>
      </c>
      <c r="U1737" s="32" t="str">
        <f aca="false">IF(OR(F1737="",C1737=""),"",IF(COUNTIF($C$2:C1737,C1737)=1,MAX($U$1:U1736)+1,""))</f>
        <v/>
      </c>
    </row>
    <row r="1738" customFormat="false" ht="15" hidden="false" customHeight="false" outlineLevel="0" collapsed="false">
      <c r="A1738" s="34"/>
      <c r="B1738" s="9"/>
      <c r="C1738" s="34"/>
      <c r="D1738" s="34"/>
      <c r="E1738" s="34"/>
      <c r="F1738" s="35"/>
      <c r="G1738" s="9"/>
      <c r="H1738" s="9"/>
      <c r="I1738" s="34"/>
      <c r="J1738" s="30" t="str">
        <f aca="false">IF(F1738="","",G1738-B1738)</f>
        <v/>
      </c>
      <c r="K1738" s="31" t="str">
        <f aca="false">IF(F1738="","",IF(H1738&lt;&gt;"",H1738,MAX('Vade Sapması'!$D$3,G1738)))</f>
        <v/>
      </c>
      <c r="L1738" s="30" t="str">
        <f aca="false">IF(F1738="","",K1738-B1738)</f>
        <v/>
      </c>
      <c r="M1738" s="30" t="str">
        <f aca="false">IF(F1738="","",L1738-J1738)</f>
        <v/>
      </c>
      <c r="N1738" s="32" t="str">
        <f aca="false">IF(F1738="","",IF(H1738&lt;&gt;"","Kapandı",IF('Vade Sapması'!$D$3&gt;G1738,"Açık · vadesi geçti","Açık · vadesi gelmedi")))</f>
        <v/>
      </c>
      <c r="O1738" s="30" t="str">
        <f aca="false">IF(F1738="","",IF(AND(H1738="",'Vade Sapması'!$D$3&gt;G1738),'Vade Sapması'!$D$3-G1738,0))</f>
        <v/>
      </c>
      <c r="P1738" s="33" t="str">
        <f aca="false">IF(F1738="","",F1738*J1738)</f>
        <v/>
      </c>
      <c r="Q1738" s="33" t="str">
        <f aca="false">IF(F1738="","",F1738*L1738)</f>
        <v/>
      </c>
      <c r="R1738" s="33" t="str">
        <f aca="false">IF(F1738="","",IF(H1738="",F1738,0))</f>
        <v/>
      </c>
      <c r="S1738" s="32" t="str">
        <f aca="false">IF(F1738="","",IF(N(O1738)=0,"",IF(O1738&lt;=30,"1-30",IF(O1738&lt;=60,"31-60",IF(O1738&lt;=90,"61-90","90+")))))</f>
        <v/>
      </c>
      <c r="T1738" s="32" t="str">
        <f aca="false">IF(F1738="","",IF(E1738="","Diğer",E1738))</f>
        <v/>
      </c>
      <c r="U1738" s="32" t="str">
        <f aca="false">IF(OR(F1738="",C1738=""),"",IF(COUNTIF($C$2:C1738,C1738)=1,MAX($U$1:U1737)+1,""))</f>
        <v/>
      </c>
    </row>
    <row r="1739" customFormat="false" ht="15" hidden="false" customHeight="false" outlineLevel="0" collapsed="false">
      <c r="A1739" s="34"/>
      <c r="B1739" s="9"/>
      <c r="C1739" s="34"/>
      <c r="D1739" s="34"/>
      <c r="E1739" s="34"/>
      <c r="F1739" s="35"/>
      <c r="G1739" s="9"/>
      <c r="H1739" s="9"/>
      <c r="I1739" s="34"/>
      <c r="J1739" s="30" t="str">
        <f aca="false">IF(F1739="","",G1739-B1739)</f>
        <v/>
      </c>
      <c r="K1739" s="31" t="str">
        <f aca="false">IF(F1739="","",IF(H1739&lt;&gt;"",H1739,MAX('Vade Sapması'!$D$3,G1739)))</f>
        <v/>
      </c>
      <c r="L1739" s="30" t="str">
        <f aca="false">IF(F1739="","",K1739-B1739)</f>
        <v/>
      </c>
      <c r="M1739" s="30" t="str">
        <f aca="false">IF(F1739="","",L1739-J1739)</f>
        <v/>
      </c>
      <c r="N1739" s="32" t="str">
        <f aca="false">IF(F1739="","",IF(H1739&lt;&gt;"","Kapandı",IF('Vade Sapması'!$D$3&gt;G1739,"Açık · vadesi geçti","Açık · vadesi gelmedi")))</f>
        <v/>
      </c>
      <c r="O1739" s="30" t="str">
        <f aca="false">IF(F1739="","",IF(AND(H1739="",'Vade Sapması'!$D$3&gt;G1739),'Vade Sapması'!$D$3-G1739,0))</f>
        <v/>
      </c>
      <c r="P1739" s="33" t="str">
        <f aca="false">IF(F1739="","",F1739*J1739)</f>
        <v/>
      </c>
      <c r="Q1739" s="33" t="str">
        <f aca="false">IF(F1739="","",F1739*L1739)</f>
        <v/>
      </c>
      <c r="R1739" s="33" t="str">
        <f aca="false">IF(F1739="","",IF(H1739="",F1739,0))</f>
        <v/>
      </c>
      <c r="S1739" s="32" t="str">
        <f aca="false">IF(F1739="","",IF(N(O1739)=0,"",IF(O1739&lt;=30,"1-30",IF(O1739&lt;=60,"31-60",IF(O1739&lt;=90,"61-90","90+")))))</f>
        <v/>
      </c>
      <c r="T1739" s="32" t="str">
        <f aca="false">IF(F1739="","",IF(E1739="","Diğer",E1739))</f>
        <v/>
      </c>
      <c r="U1739" s="32" t="str">
        <f aca="false">IF(OR(F1739="",C1739=""),"",IF(COUNTIF($C$2:C1739,C1739)=1,MAX($U$1:U1738)+1,""))</f>
        <v/>
      </c>
    </row>
    <row r="1740" customFormat="false" ht="15" hidden="false" customHeight="false" outlineLevel="0" collapsed="false">
      <c r="A1740" s="34"/>
      <c r="B1740" s="9"/>
      <c r="C1740" s="34"/>
      <c r="D1740" s="34"/>
      <c r="E1740" s="34"/>
      <c r="F1740" s="35"/>
      <c r="G1740" s="9"/>
      <c r="H1740" s="9"/>
      <c r="I1740" s="34"/>
      <c r="J1740" s="30" t="str">
        <f aca="false">IF(F1740="","",G1740-B1740)</f>
        <v/>
      </c>
      <c r="K1740" s="31" t="str">
        <f aca="false">IF(F1740="","",IF(H1740&lt;&gt;"",H1740,MAX('Vade Sapması'!$D$3,G1740)))</f>
        <v/>
      </c>
      <c r="L1740" s="30" t="str">
        <f aca="false">IF(F1740="","",K1740-B1740)</f>
        <v/>
      </c>
      <c r="M1740" s="30" t="str">
        <f aca="false">IF(F1740="","",L1740-J1740)</f>
        <v/>
      </c>
      <c r="N1740" s="32" t="str">
        <f aca="false">IF(F1740="","",IF(H1740&lt;&gt;"","Kapandı",IF('Vade Sapması'!$D$3&gt;G1740,"Açık · vadesi geçti","Açık · vadesi gelmedi")))</f>
        <v/>
      </c>
      <c r="O1740" s="30" t="str">
        <f aca="false">IF(F1740="","",IF(AND(H1740="",'Vade Sapması'!$D$3&gt;G1740),'Vade Sapması'!$D$3-G1740,0))</f>
        <v/>
      </c>
      <c r="P1740" s="33" t="str">
        <f aca="false">IF(F1740="","",F1740*J1740)</f>
        <v/>
      </c>
      <c r="Q1740" s="33" t="str">
        <f aca="false">IF(F1740="","",F1740*L1740)</f>
        <v/>
      </c>
      <c r="R1740" s="33" t="str">
        <f aca="false">IF(F1740="","",IF(H1740="",F1740,0))</f>
        <v/>
      </c>
      <c r="S1740" s="32" t="str">
        <f aca="false">IF(F1740="","",IF(N(O1740)=0,"",IF(O1740&lt;=30,"1-30",IF(O1740&lt;=60,"31-60",IF(O1740&lt;=90,"61-90","90+")))))</f>
        <v/>
      </c>
      <c r="T1740" s="32" t="str">
        <f aca="false">IF(F1740="","",IF(E1740="","Diğer",E1740))</f>
        <v/>
      </c>
      <c r="U1740" s="32" t="str">
        <f aca="false">IF(OR(F1740="",C1740=""),"",IF(COUNTIF($C$2:C1740,C1740)=1,MAX($U$1:U1739)+1,""))</f>
        <v/>
      </c>
    </row>
    <row r="1741" customFormat="false" ht="15" hidden="false" customHeight="false" outlineLevel="0" collapsed="false">
      <c r="A1741" s="34"/>
      <c r="B1741" s="9"/>
      <c r="C1741" s="34"/>
      <c r="D1741" s="34"/>
      <c r="E1741" s="34"/>
      <c r="F1741" s="35"/>
      <c r="G1741" s="9"/>
      <c r="H1741" s="9"/>
      <c r="I1741" s="34"/>
      <c r="J1741" s="30" t="str">
        <f aca="false">IF(F1741="","",G1741-B1741)</f>
        <v/>
      </c>
      <c r="K1741" s="31" t="str">
        <f aca="false">IF(F1741="","",IF(H1741&lt;&gt;"",H1741,MAX('Vade Sapması'!$D$3,G1741)))</f>
        <v/>
      </c>
      <c r="L1741" s="30" t="str">
        <f aca="false">IF(F1741="","",K1741-B1741)</f>
        <v/>
      </c>
      <c r="M1741" s="30" t="str">
        <f aca="false">IF(F1741="","",L1741-J1741)</f>
        <v/>
      </c>
      <c r="N1741" s="32" t="str">
        <f aca="false">IF(F1741="","",IF(H1741&lt;&gt;"","Kapandı",IF('Vade Sapması'!$D$3&gt;G1741,"Açık · vadesi geçti","Açık · vadesi gelmedi")))</f>
        <v/>
      </c>
      <c r="O1741" s="30" t="str">
        <f aca="false">IF(F1741="","",IF(AND(H1741="",'Vade Sapması'!$D$3&gt;G1741),'Vade Sapması'!$D$3-G1741,0))</f>
        <v/>
      </c>
      <c r="P1741" s="33" t="str">
        <f aca="false">IF(F1741="","",F1741*J1741)</f>
        <v/>
      </c>
      <c r="Q1741" s="33" t="str">
        <f aca="false">IF(F1741="","",F1741*L1741)</f>
        <v/>
      </c>
      <c r="R1741" s="33" t="str">
        <f aca="false">IF(F1741="","",IF(H1741="",F1741,0))</f>
        <v/>
      </c>
      <c r="S1741" s="32" t="str">
        <f aca="false">IF(F1741="","",IF(N(O1741)=0,"",IF(O1741&lt;=30,"1-30",IF(O1741&lt;=60,"31-60",IF(O1741&lt;=90,"61-90","90+")))))</f>
        <v/>
      </c>
      <c r="T1741" s="32" t="str">
        <f aca="false">IF(F1741="","",IF(E1741="","Diğer",E1741))</f>
        <v/>
      </c>
      <c r="U1741" s="32" t="str">
        <f aca="false">IF(OR(F1741="",C1741=""),"",IF(COUNTIF($C$2:C1741,C1741)=1,MAX($U$1:U1740)+1,""))</f>
        <v/>
      </c>
    </row>
    <row r="1742" customFormat="false" ht="15" hidden="false" customHeight="false" outlineLevel="0" collapsed="false">
      <c r="A1742" s="34"/>
      <c r="B1742" s="9"/>
      <c r="C1742" s="34"/>
      <c r="D1742" s="34"/>
      <c r="E1742" s="34"/>
      <c r="F1742" s="35"/>
      <c r="G1742" s="9"/>
      <c r="H1742" s="9"/>
      <c r="I1742" s="34"/>
      <c r="J1742" s="30" t="str">
        <f aca="false">IF(F1742="","",G1742-B1742)</f>
        <v/>
      </c>
      <c r="K1742" s="31" t="str">
        <f aca="false">IF(F1742="","",IF(H1742&lt;&gt;"",H1742,MAX('Vade Sapması'!$D$3,G1742)))</f>
        <v/>
      </c>
      <c r="L1742" s="30" t="str">
        <f aca="false">IF(F1742="","",K1742-B1742)</f>
        <v/>
      </c>
      <c r="M1742" s="30" t="str">
        <f aca="false">IF(F1742="","",L1742-J1742)</f>
        <v/>
      </c>
      <c r="N1742" s="32" t="str">
        <f aca="false">IF(F1742="","",IF(H1742&lt;&gt;"","Kapandı",IF('Vade Sapması'!$D$3&gt;G1742,"Açık · vadesi geçti","Açık · vadesi gelmedi")))</f>
        <v/>
      </c>
      <c r="O1742" s="30" t="str">
        <f aca="false">IF(F1742="","",IF(AND(H1742="",'Vade Sapması'!$D$3&gt;G1742),'Vade Sapması'!$D$3-G1742,0))</f>
        <v/>
      </c>
      <c r="P1742" s="33" t="str">
        <f aca="false">IF(F1742="","",F1742*J1742)</f>
        <v/>
      </c>
      <c r="Q1742" s="33" t="str">
        <f aca="false">IF(F1742="","",F1742*L1742)</f>
        <v/>
      </c>
      <c r="R1742" s="33" t="str">
        <f aca="false">IF(F1742="","",IF(H1742="",F1742,0))</f>
        <v/>
      </c>
      <c r="S1742" s="32" t="str">
        <f aca="false">IF(F1742="","",IF(N(O1742)=0,"",IF(O1742&lt;=30,"1-30",IF(O1742&lt;=60,"31-60",IF(O1742&lt;=90,"61-90","90+")))))</f>
        <v/>
      </c>
      <c r="T1742" s="32" t="str">
        <f aca="false">IF(F1742="","",IF(E1742="","Diğer",E1742))</f>
        <v/>
      </c>
      <c r="U1742" s="32" t="str">
        <f aca="false">IF(OR(F1742="",C1742=""),"",IF(COUNTIF($C$2:C1742,C1742)=1,MAX($U$1:U1741)+1,""))</f>
        <v/>
      </c>
    </row>
    <row r="1743" customFormat="false" ht="15" hidden="false" customHeight="false" outlineLevel="0" collapsed="false">
      <c r="A1743" s="34"/>
      <c r="B1743" s="9"/>
      <c r="C1743" s="34"/>
      <c r="D1743" s="34"/>
      <c r="E1743" s="34"/>
      <c r="F1743" s="35"/>
      <c r="G1743" s="9"/>
      <c r="H1743" s="9"/>
      <c r="I1743" s="34"/>
      <c r="J1743" s="30" t="str">
        <f aca="false">IF(F1743="","",G1743-B1743)</f>
        <v/>
      </c>
      <c r="K1743" s="31" t="str">
        <f aca="false">IF(F1743="","",IF(H1743&lt;&gt;"",H1743,MAX('Vade Sapması'!$D$3,G1743)))</f>
        <v/>
      </c>
      <c r="L1743" s="30" t="str">
        <f aca="false">IF(F1743="","",K1743-B1743)</f>
        <v/>
      </c>
      <c r="M1743" s="30" t="str">
        <f aca="false">IF(F1743="","",L1743-J1743)</f>
        <v/>
      </c>
      <c r="N1743" s="32" t="str">
        <f aca="false">IF(F1743="","",IF(H1743&lt;&gt;"","Kapandı",IF('Vade Sapması'!$D$3&gt;G1743,"Açık · vadesi geçti","Açık · vadesi gelmedi")))</f>
        <v/>
      </c>
      <c r="O1743" s="30" t="str">
        <f aca="false">IF(F1743="","",IF(AND(H1743="",'Vade Sapması'!$D$3&gt;G1743),'Vade Sapması'!$D$3-G1743,0))</f>
        <v/>
      </c>
      <c r="P1743" s="33" t="str">
        <f aca="false">IF(F1743="","",F1743*J1743)</f>
        <v/>
      </c>
      <c r="Q1743" s="33" t="str">
        <f aca="false">IF(F1743="","",F1743*L1743)</f>
        <v/>
      </c>
      <c r="R1743" s="33" t="str">
        <f aca="false">IF(F1743="","",IF(H1743="",F1743,0))</f>
        <v/>
      </c>
      <c r="S1743" s="32" t="str">
        <f aca="false">IF(F1743="","",IF(N(O1743)=0,"",IF(O1743&lt;=30,"1-30",IF(O1743&lt;=60,"31-60",IF(O1743&lt;=90,"61-90","90+")))))</f>
        <v/>
      </c>
      <c r="T1743" s="32" t="str">
        <f aca="false">IF(F1743="","",IF(E1743="","Diğer",E1743))</f>
        <v/>
      </c>
      <c r="U1743" s="32" t="str">
        <f aca="false">IF(OR(F1743="",C1743=""),"",IF(COUNTIF($C$2:C1743,C1743)=1,MAX($U$1:U1742)+1,""))</f>
        <v/>
      </c>
    </row>
    <row r="1744" customFormat="false" ht="15" hidden="false" customHeight="false" outlineLevel="0" collapsed="false">
      <c r="A1744" s="34"/>
      <c r="B1744" s="9"/>
      <c r="C1744" s="34"/>
      <c r="D1744" s="34"/>
      <c r="E1744" s="34"/>
      <c r="F1744" s="35"/>
      <c r="G1744" s="9"/>
      <c r="H1744" s="9"/>
      <c r="I1744" s="34"/>
      <c r="J1744" s="30" t="str">
        <f aca="false">IF(F1744="","",G1744-B1744)</f>
        <v/>
      </c>
      <c r="K1744" s="31" t="str">
        <f aca="false">IF(F1744="","",IF(H1744&lt;&gt;"",H1744,MAX('Vade Sapması'!$D$3,G1744)))</f>
        <v/>
      </c>
      <c r="L1744" s="30" t="str">
        <f aca="false">IF(F1744="","",K1744-B1744)</f>
        <v/>
      </c>
      <c r="M1744" s="30" t="str">
        <f aca="false">IF(F1744="","",L1744-J1744)</f>
        <v/>
      </c>
      <c r="N1744" s="32" t="str">
        <f aca="false">IF(F1744="","",IF(H1744&lt;&gt;"","Kapandı",IF('Vade Sapması'!$D$3&gt;G1744,"Açık · vadesi geçti","Açık · vadesi gelmedi")))</f>
        <v/>
      </c>
      <c r="O1744" s="30" t="str">
        <f aca="false">IF(F1744="","",IF(AND(H1744="",'Vade Sapması'!$D$3&gt;G1744),'Vade Sapması'!$D$3-G1744,0))</f>
        <v/>
      </c>
      <c r="P1744" s="33" t="str">
        <f aca="false">IF(F1744="","",F1744*J1744)</f>
        <v/>
      </c>
      <c r="Q1744" s="33" t="str">
        <f aca="false">IF(F1744="","",F1744*L1744)</f>
        <v/>
      </c>
      <c r="R1744" s="33" t="str">
        <f aca="false">IF(F1744="","",IF(H1744="",F1744,0))</f>
        <v/>
      </c>
      <c r="S1744" s="32" t="str">
        <f aca="false">IF(F1744="","",IF(N(O1744)=0,"",IF(O1744&lt;=30,"1-30",IF(O1744&lt;=60,"31-60",IF(O1744&lt;=90,"61-90","90+")))))</f>
        <v/>
      </c>
      <c r="T1744" s="32" t="str">
        <f aca="false">IF(F1744="","",IF(E1744="","Diğer",E1744))</f>
        <v/>
      </c>
      <c r="U1744" s="32" t="str">
        <f aca="false">IF(OR(F1744="",C1744=""),"",IF(COUNTIF($C$2:C1744,C1744)=1,MAX($U$1:U1743)+1,""))</f>
        <v/>
      </c>
    </row>
    <row r="1745" customFormat="false" ht="15" hidden="false" customHeight="false" outlineLevel="0" collapsed="false">
      <c r="A1745" s="34"/>
      <c r="B1745" s="9"/>
      <c r="C1745" s="34"/>
      <c r="D1745" s="34"/>
      <c r="E1745" s="34"/>
      <c r="F1745" s="35"/>
      <c r="G1745" s="9"/>
      <c r="H1745" s="9"/>
      <c r="I1745" s="34"/>
      <c r="J1745" s="30" t="str">
        <f aca="false">IF(F1745="","",G1745-B1745)</f>
        <v/>
      </c>
      <c r="K1745" s="31" t="str">
        <f aca="false">IF(F1745="","",IF(H1745&lt;&gt;"",H1745,MAX('Vade Sapması'!$D$3,G1745)))</f>
        <v/>
      </c>
      <c r="L1745" s="30" t="str">
        <f aca="false">IF(F1745="","",K1745-B1745)</f>
        <v/>
      </c>
      <c r="M1745" s="30" t="str">
        <f aca="false">IF(F1745="","",L1745-J1745)</f>
        <v/>
      </c>
      <c r="N1745" s="32" t="str">
        <f aca="false">IF(F1745="","",IF(H1745&lt;&gt;"","Kapandı",IF('Vade Sapması'!$D$3&gt;G1745,"Açık · vadesi geçti","Açık · vadesi gelmedi")))</f>
        <v/>
      </c>
      <c r="O1745" s="30" t="str">
        <f aca="false">IF(F1745="","",IF(AND(H1745="",'Vade Sapması'!$D$3&gt;G1745),'Vade Sapması'!$D$3-G1745,0))</f>
        <v/>
      </c>
      <c r="P1745" s="33" t="str">
        <f aca="false">IF(F1745="","",F1745*J1745)</f>
        <v/>
      </c>
      <c r="Q1745" s="33" t="str">
        <f aca="false">IF(F1745="","",F1745*L1745)</f>
        <v/>
      </c>
      <c r="R1745" s="33" t="str">
        <f aca="false">IF(F1745="","",IF(H1745="",F1745,0))</f>
        <v/>
      </c>
      <c r="S1745" s="32" t="str">
        <f aca="false">IF(F1745="","",IF(N(O1745)=0,"",IF(O1745&lt;=30,"1-30",IF(O1745&lt;=60,"31-60",IF(O1745&lt;=90,"61-90","90+")))))</f>
        <v/>
      </c>
      <c r="T1745" s="32" t="str">
        <f aca="false">IF(F1745="","",IF(E1745="","Diğer",E1745))</f>
        <v/>
      </c>
      <c r="U1745" s="32" t="str">
        <f aca="false">IF(OR(F1745="",C1745=""),"",IF(COUNTIF($C$2:C1745,C1745)=1,MAX($U$1:U1744)+1,""))</f>
        <v/>
      </c>
    </row>
    <row r="1746" customFormat="false" ht="15" hidden="false" customHeight="false" outlineLevel="0" collapsed="false">
      <c r="A1746" s="34"/>
      <c r="B1746" s="9"/>
      <c r="C1746" s="34"/>
      <c r="D1746" s="34"/>
      <c r="E1746" s="34"/>
      <c r="F1746" s="35"/>
      <c r="G1746" s="9"/>
      <c r="H1746" s="9"/>
      <c r="I1746" s="34"/>
      <c r="J1746" s="30" t="str">
        <f aca="false">IF(F1746="","",G1746-B1746)</f>
        <v/>
      </c>
      <c r="K1746" s="31" t="str">
        <f aca="false">IF(F1746="","",IF(H1746&lt;&gt;"",H1746,MAX('Vade Sapması'!$D$3,G1746)))</f>
        <v/>
      </c>
      <c r="L1746" s="30" t="str">
        <f aca="false">IF(F1746="","",K1746-B1746)</f>
        <v/>
      </c>
      <c r="M1746" s="30" t="str">
        <f aca="false">IF(F1746="","",L1746-J1746)</f>
        <v/>
      </c>
      <c r="N1746" s="32" t="str">
        <f aca="false">IF(F1746="","",IF(H1746&lt;&gt;"","Kapandı",IF('Vade Sapması'!$D$3&gt;G1746,"Açık · vadesi geçti","Açık · vadesi gelmedi")))</f>
        <v/>
      </c>
      <c r="O1746" s="30" t="str">
        <f aca="false">IF(F1746="","",IF(AND(H1746="",'Vade Sapması'!$D$3&gt;G1746),'Vade Sapması'!$D$3-G1746,0))</f>
        <v/>
      </c>
      <c r="P1746" s="33" t="str">
        <f aca="false">IF(F1746="","",F1746*J1746)</f>
        <v/>
      </c>
      <c r="Q1746" s="33" t="str">
        <f aca="false">IF(F1746="","",F1746*L1746)</f>
        <v/>
      </c>
      <c r="R1746" s="33" t="str">
        <f aca="false">IF(F1746="","",IF(H1746="",F1746,0))</f>
        <v/>
      </c>
      <c r="S1746" s="32" t="str">
        <f aca="false">IF(F1746="","",IF(N(O1746)=0,"",IF(O1746&lt;=30,"1-30",IF(O1746&lt;=60,"31-60",IF(O1746&lt;=90,"61-90","90+")))))</f>
        <v/>
      </c>
      <c r="T1746" s="32" t="str">
        <f aca="false">IF(F1746="","",IF(E1746="","Diğer",E1746))</f>
        <v/>
      </c>
      <c r="U1746" s="32" t="str">
        <f aca="false">IF(OR(F1746="",C1746=""),"",IF(COUNTIF($C$2:C1746,C1746)=1,MAX($U$1:U1745)+1,""))</f>
        <v/>
      </c>
    </row>
    <row r="1747" customFormat="false" ht="15" hidden="false" customHeight="false" outlineLevel="0" collapsed="false">
      <c r="A1747" s="34"/>
      <c r="B1747" s="9"/>
      <c r="C1747" s="34"/>
      <c r="D1747" s="34"/>
      <c r="E1747" s="34"/>
      <c r="F1747" s="35"/>
      <c r="G1747" s="9"/>
      <c r="H1747" s="9"/>
      <c r="I1747" s="34"/>
      <c r="J1747" s="30" t="str">
        <f aca="false">IF(F1747="","",G1747-B1747)</f>
        <v/>
      </c>
      <c r="K1747" s="31" t="str">
        <f aca="false">IF(F1747="","",IF(H1747&lt;&gt;"",H1747,MAX('Vade Sapması'!$D$3,G1747)))</f>
        <v/>
      </c>
      <c r="L1747" s="30" t="str">
        <f aca="false">IF(F1747="","",K1747-B1747)</f>
        <v/>
      </c>
      <c r="M1747" s="30" t="str">
        <f aca="false">IF(F1747="","",L1747-J1747)</f>
        <v/>
      </c>
      <c r="N1747" s="32" t="str">
        <f aca="false">IF(F1747="","",IF(H1747&lt;&gt;"","Kapandı",IF('Vade Sapması'!$D$3&gt;G1747,"Açık · vadesi geçti","Açık · vadesi gelmedi")))</f>
        <v/>
      </c>
      <c r="O1747" s="30" t="str">
        <f aca="false">IF(F1747="","",IF(AND(H1747="",'Vade Sapması'!$D$3&gt;G1747),'Vade Sapması'!$D$3-G1747,0))</f>
        <v/>
      </c>
      <c r="P1747" s="33" t="str">
        <f aca="false">IF(F1747="","",F1747*J1747)</f>
        <v/>
      </c>
      <c r="Q1747" s="33" t="str">
        <f aca="false">IF(F1747="","",F1747*L1747)</f>
        <v/>
      </c>
      <c r="R1747" s="33" t="str">
        <f aca="false">IF(F1747="","",IF(H1747="",F1747,0))</f>
        <v/>
      </c>
      <c r="S1747" s="32" t="str">
        <f aca="false">IF(F1747="","",IF(N(O1747)=0,"",IF(O1747&lt;=30,"1-30",IF(O1747&lt;=60,"31-60",IF(O1747&lt;=90,"61-90","90+")))))</f>
        <v/>
      </c>
      <c r="T1747" s="32" t="str">
        <f aca="false">IF(F1747="","",IF(E1747="","Diğer",E1747))</f>
        <v/>
      </c>
      <c r="U1747" s="32" t="str">
        <f aca="false">IF(OR(F1747="",C1747=""),"",IF(COUNTIF($C$2:C1747,C1747)=1,MAX($U$1:U1746)+1,""))</f>
        <v/>
      </c>
    </row>
    <row r="1748" customFormat="false" ht="15" hidden="false" customHeight="false" outlineLevel="0" collapsed="false">
      <c r="A1748" s="34"/>
      <c r="B1748" s="9"/>
      <c r="C1748" s="34"/>
      <c r="D1748" s="34"/>
      <c r="E1748" s="34"/>
      <c r="F1748" s="35"/>
      <c r="G1748" s="9"/>
      <c r="H1748" s="9"/>
      <c r="I1748" s="34"/>
      <c r="J1748" s="30" t="str">
        <f aca="false">IF(F1748="","",G1748-B1748)</f>
        <v/>
      </c>
      <c r="K1748" s="31" t="str">
        <f aca="false">IF(F1748="","",IF(H1748&lt;&gt;"",H1748,MAX('Vade Sapması'!$D$3,G1748)))</f>
        <v/>
      </c>
      <c r="L1748" s="30" t="str">
        <f aca="false">IF(F1748="","",K1748-B1748)</f>
        <v/>
      </c>
      <c r="M1748" s="30" t="str">
        <f aca="false">IF(F1748="","",L1748-J1748)</f>
        <v/>
      </c>
      <c r="N1748" s="32" t="str">
        <f aca="false">IF(F1748="","",IF(H1748&lt;&gt;"","Kapandı",IF('Vade Sapması'!$D$3&gt;G1748,"Açık · vadesi geçti","Açık · vadesi gelmedi")))</f>
        <v/>
      </c>
      <c r="O1748" s="30" t="str">
        <f aca="false">IF(F1748="","",IF(AND(H1748="",'Vade Sapması'!$D$3&gt;G1748),'Vade Sapması'!$D$3-G1748,0))</f>
        <v/>
      </c>
      <c r="P1748" s="33" t="str">
        <f aca="false">IF(F1748="","",F1748*J1748)</f>
        <v/>
      </c>
      <c r="Q1748" s="33" t="str">
        <f aca="false">IF(F1748="","",F1748*L1748)</f>
        <v/>
      </c>
      <c r="R1748" s="33" t="str">
        <f aca="false">IF(F1748="","",IF(H1748="",F1748,0))</f>
        <v/>
      </c>
      <c r="S1748" s="32" t="str">
        <f aca="false">IF(F1748="","",IF(N(O1748)=0,"",IF(O1748&lt;=30,"1-30",IF(O1748&lt;=60,"31-60",IF(O1748&lt;=90,"61-90","90+")))))</f>
        <v/>
      </c>
      <c r="T1748" s="32" t="str">
        <f aca="false">IF(F1748="","",IF(E1748="","Diğer",E1748))</f>
        <v/>
      </c>
      <c r="U1748" s="32" t="str">
        <f aca="false">IF(OR(F1748="",C1748=""),"",IF(COUNTIF($C$2:C1748,C1748)=1,MAX($U$1:U1747)+1,""))</f>
        <v/>
      </c>
    </row>
    <row r="1749" customFormat="false" ht="15" hidden="false" customHeight="false" outlineLevel="0" collapsed="false">
      <c r="A1749" s="34"/>
      <c r="B1749" s="9"/>
      <c r="C1749" s="34"/>
      <c r="D1749" s="34"/>
      <c r="E1749" s="34"/>
      <c r="F1749" s="35"/>
      <c r="G1749" s="9"/>
      <c r="H1749" s="9"/>
      <c r="I1749" s="34"/>
      <c r="J1749" s="30" t="str">
        <f aca="false">IF(F1749="","",G1749-B1749)</f>
        <v/>
      </c>
      <c r="K1749" s="31" t="str">
        <f aca="false">IF(F1749="","",IF(H1749&lt;&gt;"",H1749,MAX('Vade Sapması'!$D$3,G1749)))</f>
        <v/>
      </c>
      <c r="L1749" s="30" t="str">
        <f aca="false">IF(F1749="","",K1749-B1749)</f>
        <v/>
      </c>
      <c r="M1749" s="30" t="str">
        <f aca="false">IF(F1749="","",L1749-J1749)</f>
        <v/>
      </c>
      <c r="N1749" s="32" t="str">
        <f aca="false">IF(F1749="","",IF(H1749&lt;&gt;"","Kapandı",IF('Vade Sapması'!$D$3&gt;G1749,"Açık · vadesi geçti","Açık · vadesi gelmedi")))</f>
        <v/>
      </c>
      <c r="O1749" s="30" t="str">
        <f aca="false">IF(F1749="","",IF(AND(H1749="",'Vade Sapması'!$D$3&gt;G1749),'Vade Sapması'!$D$3-G1749,0))</f>
        <v/>
      </c>
      <c r="P1749" s="33" t="str">
        <f aca="false">IF(F1749="","",F1749*J1749)</f>
        <v/>
      </c>
      <c r="Q1749" s="33" t="str">
        <f aca="false">IF(F1749="","",F1749*L1749)</f>
        <v/>
      </c>
      <c r="R1749" s="33" t="str">
        <f aca="false">IF(F1749="","",IF(H1749="",F1749,0))</f>
        <v/>
      </c>
      <c r="S1749" s="32" t="str">
        <f aca="false">IF(F1749="","",IF(N(O1749)=0,"",IF(O1749&lt;=30,"1-30",IF(O1749&lt;=60,"31-60",IF(O1749&lt;=90,"61-90","90+")))))</f>
        <v/>
      </c>
      <c r="T1749" s="32" t="str">
        <f aca="false">IF(F1749="","",IF(E1749="","Diğer",E1749))</f>
        <v/>
      </c>
      <c r="U1749" s="32" t="str">
        <f aca="false">IF(OR(F1749="",C1749=""),"",IF(COUNTIF($C$2:C1749,C1749)=1,MAX($U$1:U1748)+1,""))</f>
        <v/>
      </c>
    </row>
    <row r="1750" customFormat="false" ht="15" hidden="false" customHeight="false" outlineLevel="0" collapsed="false">
      <c r="A1750" s="34"/>
      <c r="B1750" s="9"/>
      <c r="C1750" s="34"/>
      <c r="D1750" s="34"/>
      <c r="E1750" s="34"/>
      <c r="F1750" s="35"/>
      <c r="G1750" s="9"/>
      <c r="H1750" s="9"/>
      <c r="I1750" s="34"/>
      <c r="J1750" s="30" t="str">
        <f aca="false">IF(F1750="","",G1750-B1750)</f>
        <v/>
      </c>
      <c r="K1750" s="31" t="str">
        <f aca="false">IF(F1750="","",IF(H1750&lt;&gt;"",H1750,MAX('Vade Sapması'!$D$3,G1750)))</f>
        <v/>
      </c>
      <c r="L1750" s="30" t="str">
        <f aca="false">IF(F1750="","",K1750-B1750)</f>
        <v/>
      </c>
      <c r="M1750" s="30" t="str">
        <f aca="false">IF(F1750="","",L1750-J1750)</f>
        <v/>
      </c>
      <c r="N1750" s="32" t="str">
        <f aca="false">IF(F1750="","",IF(H1750&lt;&gt;"","Kapandı",IF('Vade Sapması'!$D$3&gt;G1750,"Açık · vadesi geçti","Açık · vadesi gelmedi")))</f>
        <v/>
      </c>
      <c r="O1750" s="30" t="str">
        <f aca="false">IF(F1750="","",IF(AND(H1750="",'Vade Sapması'!$D$3&gt;G1750),'Vade Sapması'!$D$3-G1750,0))</f>
        <v/>
      </c>
      <c r="P1750" s="33" t="str">
        <f aca="false">IF(F1750="","",F1750*J1750)</f>
        <v/>
      </c>
      <c r="Q1750" s="33" t="str">
        <f aca="false">IF(F1750="","",F1750*L1750)</f>
        <v/>
      </c>
      <c r="R1750" s="33" t="str">
        <f aca="false">IF(F1750="","",IF(H1750="",F1750,0))</f>
        <v/>
      </c>
      <c r="S1750" s="32" t="str">
        <f aca="false">IF(F1750="","",IF(N(O1750)=0,"",IF(O1750&lt;=30,"1-30",IF(O1750&lt;=60,"31-60",IF(O1750&lt;=90,"61-90","90+")))))</f>
        <v/>
      </c>
      <c r="T1750" s="32" t="str">
        <f aca="false">IF(F1750="","",IF(E1750="","Diğer",E1750))</f>
        <v/>
      </c>
      <c r="U1750" s="32" t="str">
        <f aca="false">IF(OR(F1750="",C1750=""),"",IF(COUNTIF($C$2:C1750,C1750)=1,MAX($U$1:U1749)+1,""))</f>
        <v/>
      </c>
    </row>
    <row r="1751" customFormat="false" ht="15" hidden="false" customHeight="false" outlineLevel="0" collapsed="false">
      <c r="A1751" s="34"/>
      <c r="B1751" s="9"/>
      <c r="C1751" s="34"/>
      <c r="D1751" s="34"/>
      <c r="E1751" s="34"/>
      <c r="F1751" s="35"/>
      <c r="G1751" s="9"/>
      <c r="H1751" s="9"/>
      <c r="I1751" s="34"/>
      <c r="J1751" s="30" t="str">
        <f aca="false">IF(F1751="","",G1751-B1751)</f>
        <v/>
      </c>
      <c r="K1751" s="31" t="str">
        <f aca="false">IF(F1751="","",IF(H1751&lt;&gt;"",H1751,MAX('Vade Sapması'!$D$3,G1751)))</f>
        <v/>
      </c>
      <c r="L1751" s="30" t="str">
        <f aca="false">IF(F1751="","",K1751-B1751)</f>
        <v/>
      </c>
      <c r="M1751" s="30" t="str">
        <f aca="false">IF(F1751="","",L1751-J1751)</f>
        <v/>
      </c>
      <c r="N1751" s="32" t="str">
        <f aca="false">IF(F1751="","",IF(H1751&lt;&gt;"","Kapandı",IF('Vade Sapması'!$D$3&gt;G1751,"Açık · vadesi geçti","Açık · vadesi gelmedi")))</f>
        <v/>
      </c>
      <c r="O1751" s="30" t="str">
        <f aca="false">IF(F1751="","",IF(AND(H1751="",'Vade Sapması'!$D$3&gt;G1751),'Vade Sapması'!$D$3-G1751,0))</f>
        <v/>
      </c>
      <c r="P1751" s="33" t="str">
        <f aca="false">IF(F1751="","",F1751*J1751)</f>
        <v/>
      </c>
      <c r="Q1751" s="33" t="str">
        <f aca="false">IF(F1751="","",F1751*L1751)</f>
        <v/>
      </c>
      <c r="R1751" s="33" t="str">
        <f aca="false">IF(F1751="","",IF(H1751="",F1751,0))</f>
        <v/>
      </c>
      <c r="S1751" s="32" t="str">
        <f aca="false">IF(F1751="","",IF(N(O1751)=0,"",IF(O1751&lt;=30,"1-30",IF(O1751&lt;=60,"31-60",IF(O1751&lt;=90,"61-90","90+")))))</f>
        <v/>
      </c>
      <c r="T1751" s="32" t="str">
        <f aca="false">IF(F1751="","",IF(E1751="","Diğer",E1751))</f>
        <v/>
      </c>
      <c r="U1751" s="32" t="str">
        <f aca="false">IF(OR(F1751="",C1751=""),"",IF(COUNTIF($C$2:C1751,C1751)=1,MAX($U$1:U1750)+1,""))</f>
        <v/>
      </c>
    </row>
    <row r="1752" customFormat="false" ht="15" hidden="false" customHeight="false" outlineLevel="0" collapsed="false">
      <c r="A1752" s="34"/>
      <c r="B1752" s="9"/>
      <c r="C1752" s="34"/>
      <c r="D1752" s="34"/>
      <c r="E1752" s="34"/>
      <c r="F1752" s="35"/>
      <c r="G1752" s="9"/>
      <c r="H1752" s="9"/>
      <c r="I1752" s="34"/>
      <c r="J1752" s="30" t="str">
        <f aca="false">IF(F1752="","",G1752-B1752)</f>
        <v/>
      </c>
      <c r="K1752" s="31" t="str">
        <f aca="false">IF(F1752="","",IF(H1752&lt;&gt;"",H1752,MAX('Vade Sapması'!$D$3,G1752)))</f>
        <v/>
      </c>
      <c r="L1752" s="30" t="str">
        <f aca="false">IF(F1752="","",K1752-B1752)</f>
        <v/>
      </c>
      <c r="M1752" s="30" t="str">
        <f aca="false">IF(F1752="","",L1752-J1752)</f>
        <v/>
      </c>
      <c r="N1752" s="32" t="str">
        <f aca="false">IF(F1752="","",IF(H1752&lt;&gt;"","Kapandı",IF('Vade Sapması'!$D$3&gt;G1752,"Açık · vadesi geçti","Açık · vadesi gelmedi")))</f>
        <v/>
      </c>
      <c r="O1752" s="30" t="str">
        <f aca="false">IF(F1752="","",IF(AND(H1752="",'Vade Sapması'!$D$3&gt;G1752),'Vade Sapması'!$D$3-G1752,0))</f>
        <v/>
      </c>
      <c r="P1752" s="33" t="str">
        <f aca="false">IF(F1752="","",F1752*J1752)</f>
        <v/>
      </c>
      <c r="Q1752" s="33" t="str">
        <f aca="false">IF(F1752="","",F1752*L1752)</f>
        <v/>
      </c>
      <c r="R1752" s="33" t="str">
        <f aca="false">IF(F1752="","",IF(H1752="",F1752,0))</f>
        <v/>
      </c>
      <c r="S1752" s="32" t="str">
        <f aca="false">IF(F1752="","",IF(N(O1752)=0,"",IF(O1752&lt;=30,"1-30",IF(O1752&lt;=60,"31-60",IF(O1752&lt;=90,"61-90","90+")))))</f>
        <v/>
      </c>
      <c r="T1752" s="32" t="str">
        <f aca="false">IF(F1752="","",IF(E1752="","Diğer",E1752))</f>
        <v/>
      </c>
      <c r="U1752" s="32" t="str">
        <f aca="false">IF(OR(F1752="",C1752=""),"",IF(COUNTIF($C$2:C1752,C1752)=1,MAX($U$1:U1751)+1,""))</f>
        <v/>
      </c>
    </row>
    <row r="1753" customFormat="false" ht="15" hidden="false" customHeight="false" outlineLevel="0" collapsed="false">
      <c r="A1753" s="34"/>
      <c r="B1753" s="9"/>
      <c r="C1753" s="34"/>
      <c r="D1753" s="34"/>
      <c r="E1753" s="34"/>
      <c r="F1753" s="35"/>
      <c r="G1753" s="9"/>
      <c r="H1753" s="9"/>
      <c r="I1753" s="34"/>
      <c r="J1753" s="30" t="str">
        <f aca="false">IF(F1753="","",G1753-B1753)</f>
        <v/>
      </c>
      <c r="K1753" s="31" t="str">
        <f aca="false">IF(F1753="","",IF(H1753&lt;&gt;"",H1753,MAX('Vade Sapması'!$D$3,G1753)))</f>
        <v/>
      </c>
      <c r="L1753" s="30" t="str">
        <f aca="false">IF(F1753="","",K1753-B1753)</f>
        <v/>
      </c>
      <c r="M1753" s="30" t="str">
        <f aca="false">IF(F1753="","",L1753-J1753)</f>
        <v/>
      </c>
      <c r="N1753" s="32" t="str">
        <f aca="false">IF(F1753="","",IF(H1753&lt;&gt;"","Kapandı",IF('Vade Sapması'!$D$3&gt;G1753,"Açık · vadesi geçti","Açık · vadesi gelmedi")))</f>
        <v/>
      </c>
      <c r="O1753" s="30" t="str">
        <f aca="false">IF(F1753="","",IF(AND(H1753="",'Vade Sapması'!$D$3&gt;G1753),'Vade Sapması'!$D$3-G1753,0))</f>
        <v/>
      </c>
      <c r="P1753" s="33" t="str">
        <f aca="false">IF(F1753="","",F1753*J1753)</f>
        <v/>
      </c>
      <c r="Q1753" s="33" t="str">
        <f aca="false">IF(F1753="","",F1753*L1753)</f>
        <v/>
      </c>
      <c r="R1753" s="33" t="str">
        <f aca="false">IF(F1753="","",IF(H1753="",F1753,0))</f>
        <v/>
      </c>
      <c r="S1753" s="32" t="str">
        <f aca="false">IF(F1753="","",IF(N(O1753)=0,"",IF(O1753&lt;=30,"1-30",IF(O1753&lt;=60,"31-60",IF(O1753&lt;=90,"61-90","90+")))))</f>
        <v/>
      </c>
      <c r="T1753" s="32" t="str">
        <f aca="false">IF(F1753="","",IF(E1753="","Diğer",E1753))</f>
        <v/>
      </c>
      <c r="U1753" s="32" t="str">
        <f aca="false">IF(OR(F1753="",C1753=""),"",IF(COUNTIF($C$2:C1753,C1753)=1,MAX($U$1:U1752)+1,""))</f>
        <v/>
      </c>
    </row>
    <row r="1754" customFormat="false" ht="15" hidden="false" customHeight="false" outlineLevel="0" collapsed="false">
      <c r="A1754" s="34"/>
      <c r="B1754" s="9"/>
      <c r="C1754" s="34"/>
      <c r="D1754" s="34"/>
      <c r="E1754" s="34"/>
      <c r="F1754" s="35"/>
      <c r="G1754" s="9"/>
      <c r="H1754" s="9"/>
      <c r="I1754" s="34"/>
      <c r="J1754" s="30" t="str">
        <f aca="false">IF(F1754="","",G1754-B1754)</f>
        <v/>
      </c>
      <c r="K1754" s="31" t="str">
        <f aca="false">IF(F1754="","",IF(H1754&lt;&gt;"",H1754,MAX('Vade Sapması'!$D$3,G1754)))</f>
        <v/>
      </c>
      <c r="L1754" s="30" t="str">
        <f aca="false">IF(F1754="","",K1754-B1754)</f>
        <v/>
      </c>
      <c r="M1754" s="30" t="str">
        <f aca="false">IF(F1754="","",L1754-J1754)</f>
        <v/>
      </c>
      <c r="N1754" s="32" t="str">
        <f aca="false">IF(F1754="","",IF(H1754&lt;&gt;"","Kapandı",IF('Vade Sapması'!$D$3&gt;G1754,"Açık · vadesi geçti","Açık · vadesi gelmedi")))</f>
        <v/>
      </c>
      <c r="O1754" s="30" t="str">
        <f aca="false">IF(F1754="","",IF(AND(H1754="",'Vade Sapması'!$D$3&gt;G1754),'Vade Sapması'!$D$3-G1754,0))</f>
        <v/>
      </c>
      <c r="P1754" s="33" t="str">
        <f aca="false">IF(F1754="","",F1754*J1754)</f>
        <v/>
      </c>
      <c r="Q1754" s="33" t="str">
        <f aca="false">IF(F1754="","",F1754*L1754)</f>
        <v/>
      </c>
      <c r="R1754" s="33" t="str">
        <f aca="false">IF(F1754="","",IF(H1754="",F1754,0))</f>
        <v/>
      </c>
      <c r="S1754" s="32" t="str">
        <f aca="false">IF(F1754="","",IF(N(O1754)=0,"",IF(O1754&lt;=30,"1-30",IF(O1754&lt;=60,"31-60",IF(O1754&lt;=90,"61-90","90+")))))</f>
        <v/>
      </c>
      <c r="T1754" s="32" t="str">
        <f aca="false">IF(F1754="","",IF(E1754="","Diğer",E1754))</f>
        <v/>
      </c>
      <c r="U1754" s="32" t="str">
        <f aca="false">IF(OR(F1754="",C1754=""),"",IF(COUNTIF($C$2:C1754,C1754)=1,MAX($U$1:U1753)+1,""))</f>
        <v/>
      </c>
    </row>
    <row r="1755" customFormat="false" ht="15" hidden="false" customHeight="false" outlineLevel="0" collapsed="false">
      <c r="A1755" s="34"/>
      <c r="B1755" s="9"/>
      <c r="C1755" s="34"/>
      <c r="D1755" s="34"/>
      <c r="E1755" s="34"/>
      <c r="F1755" s="35"/>
      <c r="G1755" s="9"/>
      <c r="H1755" s="9"/>
      <c r="I1755" s="34"/>
      <c r="J1755" s="30" t="str">
        <f aca="false">IF(F1755="","",G1755-B1755)</f>
        <v/>
      </c>
      <c r="K1755" s="31" t="str">
        <f aca="false">IF(F1755="","",IF(H1755&lt;&gt;"",H1755,MAX('Vade Sapması'!$D$3,G1755)))</f>
        <v/>
      </c>
      <c r="L1755" s="30" t="str">
        <f aca="false">IF(F1755="","",K1755-B1755)</f>
        <v/>
      </c>
      <c r="M1755" s="30" t="str">
        <f aca="false">IF(F1755="","",L1755-J1755)</f>
        <v/>
      </c>
      <c r="N1755" s="32" t="str">
        <f aca="false">IF(F1755="","",IF(H1755&lt;&gt;"","Kapandı",IF('Vade Sapması'!$D$3&gt;G1755,"Açık · vadesi geçti","Açık · vadesi gelmedi")))</f>
        <v/>
      </c>
      <c r="O1755" s="30" t="str">
        <f aca="false">IF(F1755="","",IF(AND(H1755="",'Vade Sapması'!$D$3&gt;G1755),'Vade Sapması'!$D$3-G1755,0))</f>
        <v/>
      </c>
      <c r="P1755" s="33" t="str">
        <f aca="false">IF(F1755="","",F1755*J1755)</f>
        <v/>
      </c>
      <c r="Q1755" s="33" t="str">
        <f aca="false">IF(F1755="","",F1755*L1755)</f>
        <v/>
      </c>
      <c r="R1755" s="33" t="str">
        <f aca="false">IF(F1755="","",IF(H1755="",F1755,0))</f>
        <v/>
      </c>
      <c r="S1755" s="32" t="str">
        <f aca="false">IF(F1755="","",IF(N(O1755)=0,"",IF(O1755&lt;=30,"1-30",IF(O1755&lt;=60,"31-60",IF(O1755&lt;=90,"61-90","90+")))))</f>
        <v/>
      </c>
      <c r="T1755" s="32" t="str">
        <f aca="false">IF(F1755="","",IF(E1755="","Diğer",E1755))</f>
        <v/>
      </c>
      <c r="U1755" s="32" t="str">
        <f aca="false">IF(OR(F1755="",C1755=""),"",IF(COUNTIF($C$2:C1755,C1755)=1,MAX($U$1:U1754)+1,""))</f>
        <v/>
      </c>
    </row>
    <row r="1756" customFormat="false" ht="15" hidden="false" customHeight="false" outlineLevel="0" collapsed="false">
      <c r="A1756" s="34"/>
      <c r="B1756" s="9"/>
      <c r="C1756" s="34"/>
      <c r="D1756" s="34"/>
      <c r="E1756" s="34"/>
      <c r="F1756" s="35"/>
      <c r="G1756" s="9"/>
      <c r="H1756" s="9"/>
      <c r="I1756" s="34"/>
      <c r="J1756" s="30" t="str">
        <f aca="false">IF(F1756="","",G1756-B1756)</f>
        <v/>
      </c>
      <c r="K1756" s="31" t="str">
        <f aca="false">IF(F1756="","",IF(H1756&lt;&gt;"",H1756,MAX('Vade Sapması'!$D$3,G1756)))</f>
        <v/>
      </c>
      <c r="L1756" s="30" t="str">
        <f aca="false">IF(F1756="","",K1756-B1756)</f>
        <v/>
      </c>
      <c r="M1756" s="30" t="str">
        <f aca="false">IF(F1756="","",L1756-J1756)</f>
        <v/>
      </c>
      <c r="N1756" s="32" t="str">
        <f aca="false">IF(F1756="","",IF(H1756&lt;&gt;"","Kapandı",IF('Vade Sapması'!$D$3&gt;G1756,"Açık · vadesi geçti","Açık · vadesi gelmedi")))</f>
        <v/>
      </c>
      <c r="O1756" s="30" t="str">
        <f aca="false">IF(F1756="","",IF(AND(H1756="",'Vade Sapması'!$D$3&gt;G1756),'Vade Sapması'!$D$3-G1756,0))</f>
        <v/>
      </c>
      <c r="P1756" s="33" t="str">
        <f aca="false">IF(F1756="","",F1756*J1756)</f>
        <v/>
      </c>
      <c r="Q1756" s="33" t="str">
        <f aca="false">IF(F1756="","",F1756*L1756)</f>
        <v/>
      </c>
      <c r="R1756" s="33" t="str">
        <f aca="false">IF(F1756="","",IF(H1756="",F1756,0))</f>
        <v/>
      </c>
      <c r="S1756" s="32" t="str">
        <f aca="false">IF(F1756="","",IF(N(O1756)=0,"",IF(O1756&lt;=30,"1-30",IF(O1756&lt;=60,"31-60",IF(O1756&lt;=90,"61-90","90+")))))</f>
        <v/>
      </c>
      <c r="T1756" s="32" t="str">
        <f aca="false">IF(F1756="","",IF(E1756="","Diğer",E1756))</f>
        <v/>
      </c>
      <c r="U1756" s="32" t="str">
        <f aca="false">IF(OR(F1756="",C1756=""),"",IF(COUNTIF($C$2:C1756,C1756)=1,MAX($U$1:U1755)+1,""))</f>
        <v/>
      </c>
    </row>
    <row r="1757" customFormat="false" ht="15" hidden="false" customHeight="false" outlineLevel="0" collapsed="false">
      <c r="A1757" s="34"/>
      <c r="B1757" s="9"/>
      <c r="C1757" s="34"/>
      <c r="D1757" s="34"/>
      <c r="E1757" s="34"/>
      <c r="F1757" s="35"/>
      <c r="G1757" s="9"/>
      <c r="H1757" s="9"/>
      <c r="I1757" s="34"/>
      <c r="J1757" s="30" t="str">
        <f aca="false">IF(F1757="","",G1757-B1757)</f>
        <v/>
      </c>
      <c r="K1757" s="31" t="str">
        <f aca="false">IF(F1757="","",IF(H1757&lt;&gt;"",H1757,MAX('Vade Sapması'!$D$3,G1757)))</f>
        <v/>
      </c>
      <c r="L1757" s="30" t="str">
        <f aca="false">IF(F1757="","",K1757-B1757)</f>
        <v/>
      </c>
      <c r="M1757" s="30" t="str">
        <f aca="false">IF(F1757="","",L1757-J1757)</f>
        <v/>
      </c>
      <c r="N1757" s="32" t="str">
        <f aca="false">IF(F1757="","",IF(H1757&lt;&gt;"","Kapandı",IF('Vade Sapması'!$D$3&gt;G1757,"Açık · vadesi geçti","Açık · vadesi gelmedi")))</f>
        <v/>
      </c>
      <c r="O1757" s="30" t="str">
        <f aca="false">IF(F1757="","",IF(AND(H1757="",'Vade Sapması'!$D$3&gt;G1757),'Vade Sapması'!$D$3-G1757,0))</f>
        <v/>
      </c>
      <c r="P1757" s="33" t="str">
        <f aca="false">IF(F1757="","",F1757*J1757)</f>
        <v/>
      </c>
      <c r="Q1757" s="33" t="str">
        <f aca="false">IF(F1757="","",F1757*L1757)</f>
        <v/>
      </c>
      <c r="R1757" s="33" t="str">
        <f aca="false">IF(F1757="","",IF(H1757="",F1757,0))</f>
        <v/>
      </c>
      <c r="S1757" s="32" t="str">
        <f aca="false">IF(F1757="","",IF(N(O1757)=0,"",IF(O1757&lt;=30,"1-30",IF(O1757&lt;=60,"31-60",IF(O1757&lt;=90,"61-90","90+")))))</f>
        <v/>
      </c>
      <c r="T1757" s="32" t="str">
        <f aca="false">IF(F1757="","",IF(E1757="","Diğer",E1757))</f>
        <v/>
      </c>
      <c r="U1757" s="32" t="str">
        <f aca="false">IF(OR(F1757="",C1757=""),"",IF(COUNTIF($C$2:C1757,C1757)=1,MAX($U$1:U1756)+1,""))</f>
        <v/>
      </c>
    </row>
    <row r="1758" customFormat="false" ht="15" hidden="false" customHeight="false" outlineLevel="0" collapsed="false">
      <c r="A1758" s="34"/>
      <c r="B1758" s="9"/>
      <c r="C1758" s="34"/>
      <c r="D1758" s="34"/>
      <c r="E1758" s="34"/>
      <c r="F1758" s="35"/>
      <c r="G1758" s="9"/>
      <c r="H1758" s="9"/>
      <c r="I1758" s="34"/>
      <c r="J1758" s="30" t="str">
        <f aca="false">IF(F1758="","",G1758-B1758)</f>
        <v/>
      </c>
      <c r="K1758" s="31" t="str">
        <f aca="false">IF(F1758="","",IF(H1758&lt;&gt;"",H1758,MAX('Vade Sapması'!$D$3,G1758)))</f>
        <v/>
      </c>
      <c r="L1758" s="30" t="str">
        <f aca="false">IF(F1758="","",K1758-B1758)</f>
        <v/>
      </c>
      <c r="M1758" s="30" t="str">
        <f aca="false">IF(F1758="","",L1758-J1758)</f>
        <v/>
      </c>
      <c r="N1758" s="32" t="str">
        <f aca="false">IF(F1758="","",IF(H1758&lt;&gt;"","Kapandı",IF('Vade Sapması'!$D$3&gt;G1758,"Açık · vadesi geçti","Açık · vadesi gelmedi")))</f>
        <v/>
      </c>
      <c r="O1758" s="30" t="str">
        <f aca="false">IF(F1758="","",IF(AND(H1758="",'Vade Sapması'!$D$3&gt;G1758),'Vade Sapması'!$D$3-G1758,0))</f>
        <v/>
      </c>
      <c r="P1758" s="33" t="str">
        <f aca="false">IF(F1758="","",F1758*J1758)</f>
        <v/>
      </c>
      <c r="Q1758" s="33" t="str">
        <f aca="false">IF(F1758="","",F1758*L1758)</f>
        <v/>
      </c>
      <c r="R1758" s="33" t="str">
        <f aca="false">IF(F1758="","",IF(H1758="",F1758,0))</f>
        <v/>
      </c>
      <c r="S1758" s="32" t="str">
        <f aca="false">IF(F1758="","",IF(N(O1758)=0,"",IF(O1758&lt;=30,"1-30",IF(O1758&lt;=60,"31-60",IF(O1758&lt;=90,"61-90","90+")))))</f>
        <v/>
      </c>
      <c r="T1758" s="32" t="str">
        <f aca="false">IF(F1758="","",IF(E1758="","Diğer",E1758))</f>
        <v/>
      </c>
      <c r="U1758" s="32" t="str">
        <f aca="false">IF(OR(F1758="",C1758=""),"",IF(COUNTIF($C$2:C1758,C1758)=1,MAX($U$1:U1757)+1,""))</f>
        <v/>
      </c>
    </row>
    <row r="1759" customFormat="false" ht="15" hidden="false" customHeight="false" outlineLevel="0" collapsed="false">
      <c r="A1759" s="34"/>
      <c r="B1759" s="9"/>
      <c r="C1759" s="34"/>
      <c r="D1759" s="34"/>
      <c r="E1759" s="34"/>
      <c r="F1759" s="35"/>
      <c r="G1759" s="9"/>
      <c r="H1759" s="9"/>
      <c r="I1759" s="34"/>
      <c r="J1759" s="30" t="str">
        <f aca="false">IF(F1759="","",G1759-B1759)</f>
        <v/>
      </c>
      <c r="K1759" s="31" t="str">
        <f aca="false">IF(F1759="","",IF(H1759&lt;&gt;"",H1759,MAX('Vade Sapması'!$D$3,G1759)))</f>
        <v/>
      </c>
      <c r="L1759" s="30" t="str">
        <f aca="false">IF(F1759="","",K1759-B1759)</f>
        <v/>
      </c>
      <c r="M1759" s="30" t="str">
        <f aca="false">IF(F1759="","",L1759-J1759)</f>
        <v/>
      </c>
      <c r="N1759" s="32" t="str">
        <f aca="false">IF(F1759="","",IF(H1759&lt;&gt;"","Kapandı",IF('Vade Sapması'!$D$3&gt;G1759,"Açık · vadesi geçti","Açık · vadesi gelmedi")))</f>
        <v/>
      </c>
      <c r="O1759" s="30" t="str">
        <f aca="false">IF(F1759="","",IF(AND(H1759="",'Vade Sapması'!$D$3&gt;G1759),'Vade Sapması'!$D$3-G1759,0))</f>
        <v/>
      </c>
      <c r="P1759" s="33" t="str">
        <f aca="false">IF(F1759="","",F1759*J1759)</f>
        <v/>
      </c>
      <c r="Q1759" s="33" t="str">
        <f aca="false">IF(F1759="","",F1759*L1759)</f>
        <v/>
      </c>
      <c r="R1759" s="33" t="str">
        <f aca="false">IF(F1759="","",IF(H1759="",F1759,0))</f>
        <v/>
      </c>
      <c r="S1759" s="32" t="str">
        <f aca="false">IF(F1759="","",IF(N(O1759)=0,"",IF(O1759&lt;=30,"1-30",IF(O1759&lt;=60,"31-60",IF(O1759&lt;=90,"61-90","90+")))))</f>
        <v/>
      </c>
      <c r="T1759" s="32" t="str">
        <f aca="false">IF(F1759="","",IF(E1759="","Diğer",E1759))</f>
        <v/>
      </c>
      <c r="U1759" s="32" t="str">
        <f aca="false">IF(OR(F1759="",C1759=""),"",IF(COUNTIF($C$2:C1759,C1759)=1,MAX($U$1:U1758)+1,""))</f>
        <v/>
      </c>
    </row>
    <row r="1760" customFormat="false" ht="15" hidden="false" customHeight="false" outlineLevel="0" collapsed="false">
      <c r="A1760" s="34"/>
      <c r="B1760" s="9"/>
      <c r="C1760" s="34"/>
      <c r="D1760" s="34"/>
      <c r="E1760" s="34"/>
      <c r="F1760" s="35"/>
      <c r="G1760" s="9"/>
      <c r="H1760" s="9"/>
      <c r="I1760" s="34"/>
      <c r="J1760" s="30" t="str">
        <f aca="false">IF(F1760="","",G1760-B1760)</f>
        <v/>
      </c>
      <c r="K1760" s="31" t="str">
        <f aca="false">IF(F1760="","",IF(H1760&lt;&gt;"",H1760,MAX('Vade Sapması'!$D$3,G1760)))</f>
        <v/>
      </c>
      <c r="L1760" s="30" t="str">
        <f aca="false">IF(F1760="","",K1760-B1760)</f>
        <v/>
      </c>
      <c r="M1760" s="30" t="str">
        <f aca="false">IF(F1760="","",L1760-J1760)</f>
        <v/>
      </c>
      <c r="N1760" s="32" t="str">
        <f aca="false">IF(F1760="","",IF(H1760&lt;&gt;"","Kapandı",IF('Vade Sapması'!$D$3&gt;G1760,"Açık · vadesi geçti","Açık · vadesi gelmedi")))</f>
        <v/>
      </c>
      <c r="O1760" s="30" t="str">
        <f aca="false">IF(F1760="","",IF(AND(H1760="",'Vade Sapması'!$D$3&gt;G1760),'Vade Sapması'!$D$3-G1760,0))</f>
        <v/>
      </c>
      <c r="P1760" s="33" t="str">
        <f aca="false">IF(F1760="","",F1760*J1760)</f>
        <v/>
      </c>
      <c r="Q1760" s="33" t="str">
        <f aca="false">IF(F1760="","",F1760*L1760)</f>
        <v/>
      </c>
      <c r="R1760" s="33" t="str">
        <f aca="false">IF(F1760="","",IF(H1760="",F1760,0))</f>
        <v/>
      </c>
      <c r="S1760" s="32" t="str">
        <f aca="false">IF(F1760="","",IF(N(O1760)=0,"",IF(O1760&lt;=30,"1-30",IF(O1760&lt;=60,"31-60",IF(O1760&lt;=90,"61-90","90+")))))</f>
        <v/>
      </c>
      <c r="T1760" s="32" t="str">
        <f aca="false">IF(F1760="","",IF(E1760="","Diğer",E1760))</f>
        <v/>
      </c>
      <c r="U1760" s="32" t="str">
        <f aca="false">IF(OR(F1760="",C1760=""),"",IF(COUNTIF($C$2:C1760,C1760)=1,MAX($U$1:U1759)+1,""))</f>
        <v/>
      </c>
    </row>
    <row r="1761" customFormat="false" ht="15" hidden="false" customHeight="false" outlineLevel="0" collapsed="false">
      <c r="A1761" s="34"/>
      <c r="B1761" s="9"/>
      <c r="C1761" s="34"/>
      <c r="D1761" s="34"/>
      <c r="E1761" s="34"/>
      <c r="F1761" s="35"/>
      <c r="G1761" s="9"/>
      <c r="H1761" s="9"/>
      <c r="I1761" s="34"/>
      <c r="J1761" s="30" t="str">
        <f aca="false">IF(F1761="","",G1761-B1761)</f>
        <v/>
      </c>
      <c r="K1761" s="31" t="str">
        <f aca="false">IF(F1761="","",IF(H1761&lt;&gt;"",H1761,MAX('Vade Sapması'!$D$3,G1761)))</f>
        <v/>
      </c>
      <c r="L1761" s="30" t="str">
        <f aca="false">IF(F1761="","",K1761-B1761)</f>
        <v/>
      </c>
      <c r="M1761" s="30" t="str">
        <f aca="false">IF(F1761="","",L1761-J1761)</f>
        <v/>
      </c>
      <c r="N1761" s="32" t="str">
        <f aca="false">IF(F1761="","",IF(H1761&lt;&gt;"","Kapandı",IF('Vade Sapması'!$D$3&gt;G1761,"Açık · vadesi geçti","Açık · vadesi gelmedi")))</f>
        <v/>
      </c>
      <c r="O1761" s="30" t="str">
        <f aca="false">IF(F1761="","",IF(AND(H1761="",'Vade Sapması'!$D$3&gt;G1761),'Vade Sapması'!$D$3-G1761,0))</f>
        <v/>
      </c>
      <c r="P1761" s="33" t="str">
        <f aca="false">IF(F1761="","",F1761*J1761)</f>
        <v/>
      </c>
      <c r="Q1761" s="33" t="str">
        <f aca="false">IF(F1761="","",F1761*L1761)</f>
        <v/>
      </c>
      <c r="R1761" s="33" t="str">
        <f aca="false">IF(F1761="","",IF(H1761="",F1761,0))</f>
        <v/>
      </c>
      <c r="S1761" s="32" t="str">
        <f aca="false">IF(F1761="","",IF(N(O1761)=0,"",IF(O1761&lt;=30,"1-30",IF(O1761&lt;=60,"31-60",IF(O1761&lt;=90,"61-90","90+")))))</f>
        <v/>
      </c>
      <c r="T1761" s="32" t="str">
        <f aca="false">IF(F1761="","",IF(E1761="","Diğer",E1761))</f>
        <v/>
      </c>
      <c r="U1761" s="32" t="str">
        <f aca="false">IF(OR(F1761="",C1761=""),"",IF(COUNTIF($C$2:C1761,C1761)=1,MAX($U$1:U1760)+1,""))</f>
        <v/>
      </c>
    </row>
    <row r="1762" customFormat="false" ht="15" hidden="false" customHeight="false" outlineLevel="0" collapsed="false">
      <c r="A1762" s="34"/>
      <c r="B1762" s="9"/>
      <c r="C1762" s="34"/>
      <c r="D1762" s="34"/>
      <c r="E1762" s="34"/>
      <c r="F1762" s="35"/>
      <c r="G1762" s="9"/>
      <c r="H1762" s="9"/>
      <c r="I1762" s="34"/>
      <c r="J1762" s="30" t="str">
        <f aca="false">IF(F1762="","",G1762-B1762)</f>
        <v/>
      </c>
      <c r="K1762" s="31" t="str">
        <f aca="false">IF(F1762="","",IF(H1762&lt;&gt;"",H1762,MAX('Vade Sapması'!$D$3,G1762)))</f>
        <v/>
      </c>
      <c r="L1762" s="30" t="str">
        <f aca="false">IF(F1762="","",K1762-B1762)</f>
        <v/>
      </c>
      <c r="M1762" s="30" t="str">
        <f aca="false">IF(F1762="","",L1762-J1762)</f>
        <v/>
      </c>
      <c r="N1762" s="32" t="str">
        <f aca="false">IF(F1762="","",IF(H1762&lt;&gt;"","Kapandı",IF('Vade Sapması'!$D$3&gt;G1762,"Açık · vadesi geçti","Açık · vadesi gelmedi")))</f>
        <v/>
      </c>
      <c r="O1762" s="30" t="str">
        <f aca="false">IF(F1762="","",IF(AND(H1762="",'Vade Sapması'!$D$3&gt;G1762),'Vade Sapması'!$D$3-G1762,0))</f>
        <v/>
      </c>
      <c r="P1762" s="33" t="str">
        <f aca="false">IF(F1762="","",F1762*J1762)</f>
        <v/>
      </c>
      <c r="Q1762" s="33" t="str">
        <f aca="false">IF(F1762="","",F1762*L1762)</f>
        <v/>
      </c>
      <c r="R1762" s="33" t="str">
        <f aca="false">IF(F1762="","",IF(H1762="",F1762,0))</f>
        <v/>
      </c>
      <c r="S1762" s="32" t="str">
        <f aca="false">IF(F1762="","",IF(N(O1762)=0,"",IF(O1762&lt;=30,"1-30",IF(O1762&lt;=60,"31-60",IF(O1762&lt;=90,"61-90","90+")))))</f>
        <v/>
      </c>
      <c r="T1762" s="32" t="str">
        <f aca="false">IF(F1762="","",IF(E1762="","Diğer",E1762))</f>
        <v/>
      </c>
      <c r="U1762" s="32" t="str">
        <f aca="false">IF(OR(F1762="",C1762=""),"",IF(COUNTIF($C$2:C1762,C1762)=1,MAX($U$1:U1761)+1,""))</f>
        <v/>
      </c>
    </row>
    <row r="1763" customFormat="false" ht="15" hidden="false" customHeight="false" outlineLevel="0" collapsed="false">
      <c r="A1763" s="34"/>
      <c r="B1763" s="9"/>
      <c r="C1763" s="34"/>
      <c r="D1763" s="34"/>
      <c r="E1763" s="34"/>
      <c r="F1763" s="35"/>
      <c r="G1763" s="9"/>
      <c r="H1763" s="9"/>
      <c r="I1763" s="34"/>
      <c r="J1763" s="30" t="str">
        <f aca="false">IF(F1763="","",G1763-B1763)</f>
        <v/>
      </c>
      <c r="K1763" s="31" t="str">
        <f aca="false">IF(F1763="","",IF(H1763&lt;&gt;"",H1763,MAX('Vade Sapması'!$D$3,G1763)))</f>
        <v/>
      </c>
      <c r="L1763" s="30" t="str">
        <f aca="false">IF(F1763="","",K1763-B1763)</f>
        <v/>
      </c>
      <c r="M1763" s="30" t="str">
        <f aca="false">IF(F1763="","",L1763-J1763)</f>
        <v/>
      </c>
      <c r="N1763" s="32" t="str">
        <f aca="false">IF(F1763="","",IF(H1763&lt;&gt;"","Kapandı",IF('Vade Sapması'!$D$3&gt;G1763,"Açık · vadesi geçti","Açık · vadesi gelmedi")))</f>
        <v/>
      </c>
      <c r="O1763" s="30" t="str">
        <f aca="false">IF(F1763="","",IF(AND(H1763="",'Vade Sapması'!$D$3&gt;G1763),'Vade Sapması'!$D$3-G1763,0))</f>
        <v/>
      </c>
      <c r="P1763" s="33" t="str">
        <f aca="false">IF(F1763="","",F1763*J1763)</f>
        <v/>
      </c>
      <c r="Q1763" s="33" t="str">
        <f aca="false">IF(F1763="","",F1763*L1763)</f>
        <v/>
      </c>
      <c r="R1763" s="33" t="str">
        <f aca="false">IF(F1763="","",IF(H1763="",F1763,0))</f>
        <v/>
      </c>
      <c r="S1763" s="32" t="str">
        <f aca="false">IF(F1763="","",IF(N(O1763)=0,"",IF(O1763&lt;=30,"1-30",IF(O1763&lt;=60,"31-60",IF(O1763&lt;=90,"61-90","90+")))))</f>
        <v/>
      </c>
      <c r="T1763" s="32" t="str">
        <f aca="false">IF(F1763="","",IF(E1763="","Diğer",E1763))</f>
        <v/>
      </c>
      <c r="U1763" s="32" t="str">
        <f aca="false">IF(OR(F1763="",C1763=""),"",IF(COUNTIF($C$2:C1763,C1763)=1,MAX($U$1:U1762)+1,""))</f>
        <v/>
      </c>
    </row>
    <row r="1764" customFormat="false" ht="15" hidden="false" customHeight="false" outlineLevel="0" collapsed="false">
      <c r="A1764" s="34"/>
      <c r="B1764" s="9"/>
      <c r="C1764" s="34"/>
      <c r="D1764" s="34"/>
      <c r="E1764" s="34"/>
      <c r="F1764" s="35"/>
      <c r="G1764" s="9"/>
      <c r="H1764" s="9"/>
      <c r="I1764" s="34"/>
      <c r="J1764" s="30" t="str">
        <f aca="false">IF(F1764="","",G1764-B1764)</f>
        <v/>
      </c>
      <c r="K1764" s="31" t="str">
        <f aca="false">IF(F1764="","",IF(H1764&lt;&gt;"",H1764,MAX('Vade Sapması'!$D$3,G1764)))</f>
        <v/>
      </c>
      <c r="L1764" s="30" t="str">
        <f aca="false">IF(F1764="","",K1764-B1764)</f>
        <v/>
      </c>
      <c r="M1764" s="30" t="str">
        <f aca="false">IF(F1764="","",L1764-J1764)</f>
        <v/>
      </c>
      <c r="N1764" s="32" t="str">
        <f aca="false">IF(F1764="","",IF(H1764&lt;&gt;"","Kapandı",IF('Vade Sapması'!$D$3&gt;G1764,"Açık · vadesi geçti","Açık · vadesi gelmedi")))</f>
        <v/>
      </c>
      <c r="O1764" s="30" t="str">
        <f aca="false">IF(F1764="","",IF(AND(H1764="",'Vade Sapması'!$D$3&gt;G1764),'Vade Sapması'!$D$3-G1764,0))</f>
        <v/>
      </c>
      <c r="P1764" s="33" t="str">
        <f aca="false">IF(F1764="","",F1764*J1764)</f>
        <v/>
      </c>
      <c r="Q1764" s="33" t="str">
        <f aca="false">IF(F1764="","",F1764*L1764)</f>
        <v/>
      </c>
      <c r="R1764" s="33" t="str">
        <f aca="false">IF(F1764="","",IF(H1764="",F1764,0))</f>
        <v/>
      </c>
      <c r="S1764" s="32" t="str">
        <f aca="false">IF(F1764="","",IF(N(O1764)=0,"",IF(O1764&lt;=30,"1-30",IF(O1764&lt;=60,"31-60",IF(O1764&lt;=90,"61-90","90+")))))</f>
        <v/>
      </c>
      <c r="T1764" s="32" t="str">
        <f aca="false">IF(F1764="","",IF(E1764="","Diğer",E1764))</f>
        <v/>
      </c>
      <c r="U1764" s="32" t="str">
        <f aca="false">IF(OR(F1764="",C1764=""),"",IF(COUNTIF($C$2:C1764,C1764)=1,MAX($U$1:U1763)+1,""))</f>
        <v/>
      </c>
    </row>
    <row r="1765" customFormat="false" ht="15" hidden="false" customHeight="false" outlineLevel="0" collapsed="false">
      <c r="A1765" s="34"/>
      <c r="B1765" s="9"/>
      <c r="C1765" s="34"/>
      <c r="D1765" s="34"/>
      <c r="E1765" s="34"/>
      <c r="F1765" s="35"/>
      <c r="G1765" s="9"/>
      <c r="H1765" s="9"/>
      <c r="I1765" s="34"/>
      <c r="J1765" s="30" t="str">
        <f aca="false">IF(F1765="","",G1765-B1765)</f>
        <v/>
      </c>
      <c r="K1765" s="31" t="str">
        <f aca="false">IF(F1765="","",IF(H1765&lt;&gt;"",H1765,MAX('Vade Sapması'!$D$3,G1765)))</f>
        <v/>
      </c>
      <c r="L1765" s="30" t="str">
        <f aca="false">IF(F1765="","",K1765-B1765)</f>
        <v/>
      </c>
      <c r="M1765" s="30" t="str">
        <f aca="false">IF(F1765="","",L1765-J1765)</f>
        <v/>
      </c>
      <c r="N1765" s="32" t="str">
        <f aca="false">IF(F1765="","",IF(H1765&lt;&gt;"","Kapandı",IF('Vade Sapması'!$D$3&gt;G1765,"Açık · vadesi geçti","Açık · vadesi gelmedi")))</f>
        <v/>
      </c>
      <c r="O1765" s="30" t="str">
        <f aca="false">IF(F1765="","",IF(AND(H1765="",'Vade Sapması'!$D$3&gt;G1765),'Vade Sapması'!$D$3-G1765,0))</f>
        <v/>
      </c>
      <c r="P1765" s="33" t="str">
        <f aca="false">IF(F1765="","",F1765*J1765)</f>
        <v/>
      </c>
      <c r="Q1765" s="33" t="str">
        <f aca="false">IF(F1765="","",F1765*L1765)</f>
        <v/>
      </c>
      <c r="R1765" s="33" t="str">
        <f aca="false">IF(F1765="","",IF(H1765="",F1765,0))</f>
        <v/>
      </c>
      <c r="S1765" s="32" t="str">
        <f aca="false">IF(F1765="","",IF(N(O1765)=0,"",IF(O1765&lt;=30,"1-30",IF(O1765&lt;=60,"31-60",IF(O1765&lt;=90,"61-90","90+")))))</f>
        <v/>
      </c>
      <c r="T1765" s="32" t="str">
        <f aca="false">IF(F1765="","",IF(E1765="","Diğer",E1765))</f>
        <v/>
      </c>
      <c r="U1765" s="32" t="str">
        <f aca="false">IF(OR(F1765="",C1765=""),"",IF(COUNTIF($C$2:C1765,C1765)=1,MAX($U$1:U1764)+1,""))</f>
        <v/>
      </c>
    </row>
    <row r="1766" customFormat="false" ht="15" hidden="false" customHeight="false" outlineLevel="0" collapsed="false">
      <c r="A1766" s="34"/>
      <c r="B1766" s="9"/>
      <c r="C1766" s="34"/>
      <c r="D1766" s="34"/>
      <c r="E1766" s="34"/>
      <c r="F1766" s="35"/>
      <c r="G1766" s="9"/>
      <c r="H1766" s="9"/>
      <c r="I1766" s="34"/>
      <c r="J1766" s="30" t="str">
        <f aca="false">IF(F1766="","",G1766-B1766)</f>
        <v/>
      </c>
      <c r="K1766" s="31" t="str">
        <f aca="false">IF(F1766="","",IF(H1766&lt;&gt;"",H1766,MAX('Vade Sapması'!$D$3,G1766)))</f>
        <v/>
      </c>
      <c r="L1766" s="30" t="str">
        <f aca="false">IF(F1766="","",K1766-B1766)</f>
        <v/>
      </c>
      <c r="M1766" s="30" t="str">
        <f aca="false">IF(F1766="","",L1766-J1766)</f>
        <v/>
      </c>
      <c r="N1766" s="32" t="str">
        <f aca="false">IF(F1766="","",IF(H1766&lt;&gt;"","Kapandı",IF('Vade Sapması'!$D$3&gt;G1766,"Açık · vadesi geçti","Açık · vadesi gelmedi")))</f>
        <v/>
      </c>
      <c r="O1766" s="30" t="str">
        <f aca="false">IF(F1766="","",IF(AND(H1766="",'Vade Sapması'!$D$3&gt;G1766),'Vade Sapması'!$D$3-G1766,0))</f>
        <v/>
      </c>
      <c r="P1766" s="33" t="str">
        <f aca="false">IF(F1766="","",F1766*J1766)</f>
        <v/>
      </c>
      <c r="Q1766" s="33" t="str">
        <f aca="false">IF(F1766="","",F1766*L1766)</f>
        <v/>
      </c>
      <c r="R1766" s="33" t="str">
        <f aca="false">IF(F1766="","",IF(H1766="",F1766,0))</f>
        <v/>
      </c>
      <c r="S1766" s="32" t="str">
        <f aca="false">IF(F1766="","",IF(N(O1766)=0,"",IF(O1766&lt;=30,"1-30",IF(O1766&lt;=60,"31-60",IF(O1766&lt;=90,"61-90","90+")))))</f>
        <v/>
      </c>
      <c r="T1766" s="32" t="str">
        <f aca="false">IF(F1766="","",IF(E1766="","Diğer",E1766))</f>
        <v/>
      </c>
      <c r="U1766" s="32" t="str">
        <f aca="false">IF(OR(F1766="",C1766=""),"",IF(COUNTIF($C$2:C1766,C1766)=1,MAX($U$1:U1765)+1,""))</f>
        <v/>
      </c>
    </row>
    <row r="1767" customFormat="false" ht="15" hidden="false" customHeight="false" outlineLevel="0" collapsed="false">
      <c r="A1767" s="34"/>
      <c r="B1767" s="9"/>
      <c r="C1767" s="34"/>
      <c r="D1767" s="34"/>
      <c r="E1767" s="34"/>
      <c r="F1767" s="35"/>
      <c r="G1767" s="9"/>
      <c r="H1767" s="9"/>
      <c r="I1767" s="34"/>
      <c r="J1767" s="30" t="str">
        <f aca="false">IF(F1767="","",G1767-B1767)</f>
        <v/>
      </c>
      <c r="K1767" s="31" t="str">
        <f aca="false">IF(F1767="","",IF(H1767&lt;&gt;"",H1767,MAX('Vade Sapması'!$D$3,G1767)))</f>
        <v/>
      </c>
      <c r="L1767" s="30" t="str">
        <f aca="false">IF(F1767="","",K1767-B1767)</f>
        <v/>
      </c>
      <c r="M1767" s="30" t="str">
        <f aca="false">IF(F1767="","",L1767-J1767)</f>
        <v/>
      </c>
      <c r="N1767" s="32" t="str">
        <f aca="false">IF(F1767="","",IF(H1767&lt;&gt;"","Kapandı",IF('Vade Sapması'!$D$3&gt;G1767,"Açık · vadesi geçti","Açık · vadesi gelmedi")))</f>
        <v/>
      </c>
      <c r="O1767" s="30" t="str">
        <f aca="false">IF(F1767="","",IF(AND(H1767="",'Vade Sapması'!$D$3&gt;G1767),'Vade Sapması'!$D$3-G1767,0))</f>
        <v/>
      </c>
      <c r="P1767" s="33" t="str">
        <f aca="false">IF(F1767="","",F1767*J1767)</f>
        <v/>
      </c>
      <c r="Q1767" s="33" t="str">
        <f aca="false">IF(F1767="","",F1767*L1767)</f>
        <v/>
      </c>
      <c r="R1767" s="33" t="str">
        <f aca="false">IF(F1767="","",IF(H1767="",F1767,0))</f>
        <v/>
      </c>
      <c r="S1767" s="32" t="str">
        <f aca="false">IF(F1767="","",IF(N(O1767)=0,"",IF(O1767&lt;=30,"1-30",IF(O1767&lt;=60,"31-60",IF(O1767&lt;=90,"61-90","90+")))))</f>
        <v/>
      </c>
      <c r="T1767" s="32" t="str">
        <f aca="false">IF(F1767="","",IF(E1767="","Diğer",E1767))</f>
        <v/>
      </c>
      <c r="U1767" s="32" t="str">
        <f aca="false">IF(OR(F1767="",C1767=""),"",IF(COUNTIF($C$2:C1767,C1767)=1,MAX($U$1:U1766)+1,""))</f>
        <v/>
      </c>
    </row>
    <row r="1768" customFormat="false" ht="15" hidden="false" customHeight="false" outlineLevel="0" collapsed="false">
      <c r="A1768" s="34"/>
      <c r="B1768" s="9"/>
      <c r="C1768" s="34"/>
      <c r="D1768" s="34"/>
      <c r="E1768" s="34"/>
      <c r="F1768" s="35"/>
      <c r="G1768" s="9"/>
      <c r="H1768" s="9"/>
      <c r="I1768" s="34"/>
      <c r="J1768" s="30" t="str">
        <f aca="false">IF(F1768="","",G1768-B1768)</f>
        <v/>
      </c>
      <c r="K1768" s="31" t="str">
        <f aca="false">IF(F1768="","",IF(H1768&lt;&gt;"",H1768,MAX('Vade Sapması'!$D$3,G1768)))</f>
        <v/>
      </c>
      <c r="L1768" s="30" t="str">
        <f aca="false">IF(F1768="","",K1768-B1768)</f>
        <v/>
      </c>
      <c r="M1768" s="30" t="str">
        <f aca="false">IF(F1768="","",L1768-J1768)</f>
        <v/>
      </c>
      <c r="N1768" s="32" t="str">
        <f aca="false">IF(F1768="","",IF(H1768&lt;&gt;"","Kapandı",IF('Vade Sapması'!$D$3&gt;G1768,"Açık · vadesi geçti","Açık · vadesi gelmedi")))</f>
        <v/>
      </c>
      <c r="O1768" s="30" t="str">
        <f aca="false">IF(F1768="","",IF(AND(H1768="",'Vade Sapması'!$D$3&gt;G1768),'Vade Sapması'!$D$3-G1768,0))</f>
        <v/>
      </c>
      <c r="P1768" s="33" t="str">
        <f aca="false">IF(F1768="","",F1768*J1768)</f>
        <v/>
      </c>
      <c r="Q1768" s="33" t="str">
        <f aca="false">IF(F1768="","",F1768*L1768)</f>
        <v/>
      </c>
      <c r="R1768" s="33" t="str">
        <f aca="false">IF(F1768="","",IF(H1768="",F1768,0))</f>
        <v/>
      </c>
      <c r="S1768" s="32" t="str">
        <f aca="false">IF(F1768="","",IF(N(O1768)=0,"",IF(O1768&lt;=30,"1-30",IF(O1768&lt;=60,"31-60",IF(O1768&lt;=90,"61-90","90+")))))</f>
        <v/>
      </c>
      <c r="T1768" s="32" t="str">
        <f aca="false">IF(F1768="","",IF(E1768="","Diğer",E1768))</f>
        <v/>
      </c>
      <c r="U1768" s="32" t="str">
        <f aca="false">IF(OR(F1768="",C1768=""),"",IF(COUNTIF($C$2:C1768,C1768)=1,MAX($U$1:U1767)+1,""))</f>
        <v/>
      </c>
    </row>
    <row r="1769" customFormat="false" ht="15" hidden="false" customHeight="false" outlineLevel="0" collapsed="false">
      <c r="A1769" s="34"/>
      <c r="B1769" s="9"/>
      <c r="C1769" s="34"/>
      <c r="D1769" s="34"/>
      <c r="E1769" s="34"/>
      <c r="F1769" s="35"/>
      <c r="G1769" s="9"/>
      <c r="H1769" s="9"/>
      <c r="I1769" s="34"/>
      <c r="J1769" s="30" t="str">
        <f aca="false">IF(F1769="","",G1769-B1769)</f>
        <v/>
      </c>
      <c r="K1769" s="31" t="str">
        <f aca="false">IF(F1769="","",IF(H1769&lt;&gt;"",H1769,MAX('Vade Sapması'!$D$3,G1769)))</f>
        <v/>
      </c>
      <c r="L1769" s="30" t="str">
        <f aca="false">IF(F1769="","",K1769-B1769)</f>
        <v/>
      </c>
      <c r="M1769" s="30" t="str">
        <f aca="false">IF(F1769="","",L1769-J1769)</f>
        <v/>
      </c>
      <c r="N1769" s="32" t="str">
        <f aca="false">IF(F1769="","",IF(H1769&lt;&gt;"","Kapandı",IF('Vade Sapması'!$D$3&gt;G1769,"Açık · vadesi geçti","Açık · vadesi gelmedi")))</f>
        <v/>
      </c>
      <c r="O1769" s="30" t="str">
        <f aca="false">IF(F1769="","",IF(AND(H1769="",'Vade Sapması'!$D$3&gt;G1769),'Vade Sapması'!$D$3-G1769,0))</f>
        <v/>
      </c>
      <c r="P1769" s="33" t="str">
        <f aca="false">IF(F1769="","",F1769*J1769)</f>
        <v/>
      </c>
      <c r="Q1769" s="33" t="str">
        <f aca="false">IF(F1769="","",F1769*L1769)</f>
        <v/>
      </c>
      <c r="R1769" s="33" t="str">
        <f aca="false">IF(F1769="","",IF(H1769="",F1769,0))</f>
        <v/>
      </c>
      <c r="S1769" s="32" t="str">
        <f aca="false">IF(F1769="","",IF(N(O1769)=0,"",IF(O1769&lt;=30,"1-30",IF(O1769&lt;=60,"31-60",IF(O1769&lt;=90,"61-90","90+")))))</f>
        <v/>
      </c>
      <c r="T1769" s="32" t="str">
        <f aca="false">IF(F1769="","",IF(E1769="","Diğer",E1769))</f>
        <v/>
      </c>
      <c r="U1769" s="32" t="str">
        <f aca="false">IF(OR(F1769="",C1769=""),"",IF(COUNTIF($C$2:C1769,C1769)=1,MAX($U$1:U1768)+1,""))</f>
        <v/>
      </c>
    </row>
    <row r="1770" customFormat="false" ht="15" hidden="false" customHeight="false" outlineLevel="0" collapsed="false">
      <c r="A1770" s="34"/>
      <c r="B1770" s="9"/>
      <c r="C1770" s="34"/>
      <c r="D1770" s="34"/>
      <c r="E1770" s="34"/>
      <c r="F1770" s="35"/>
      <c r="G1770" s="9"/>
      <c r="H1770" s="9"/>
      <c r="I1770" s="34"/>
      <c r="J1770" s="30" t="str">
        <f aca="false">IF(F1770="","",G1770-B1770)</f>
        <v/>
      </c>
      <c r="K1770" s="31" t="str">
        <f aca="false">IF(F1770="","",IF(H1770&lt;&gt;"",H1770,MAX('Vade Sapması'!$D$3,G1770)))</f>
        <v/>
      </c>
      <c r="L1770" s="30" t="str">
        <f aca="false">IF(F1770="","",K1770-B1770)</f>
        <v/>
      </c>
      <c r="M1770" s="30" t="str">
        <f aca="false">IF(F1770="","",L1770-J1770)</f>
        <v/>
      </c>
      <c r="N1770" s="32" t="str">
        <f aca="false">IF(F1770="","",IF(H1770&lt;&gt;"","Kapandı",IF('Vade Sapması'!$D$3&gt;G1770,"Açık · vadesi geçti","Açık · vadesi gelmedi")))</f>
        <v/>
      </c>
      <c r="O1770" s="30" t="str">
        <f aca="false">IF(F1770="","",IF(AND(H1770="",'Vade Sapması'!$D$3&gt;G1770),'Vade Sapması'!$D$3-G1770,0))</f>
        <v/>
      </c>
      <c r="P1770" s="33" t="str">
        <f aca="false">IF(F1770="","",F1770*J1770)</f>
        <v/>
      </c>
      <c r="Q1770" s="33" t="str">
        <f aca="false">IF(F1770="","",F1770*L1770)</f>
        <v/>
      </c>
      <c r="R1770" s="33" t="str">
        <f aca="false">IF(F1770="","",IF(H1770="",F1770,0))</f>
        <v/>
      </c>
      <c r="S1770" s="32" t="str">
        <f aca="false">IF(F1770="","",IF(N(O1770)=0,"",IF(O1770&lt;=30,"1-30",IF(O1770&lt;=60,"31-60",IF(O1770&lt;=90,"61-90","90+")))))</f>
        <v/>
      </c>
      <c r="T1770" s="32" t="str">
        <f aca="false">IF(F1770="","",IF(E1770="","Diğer",E1770))</f>
        <v/>
      </c>
      <c r="U1770" s="32" t="str">
        <f aca="false">IF(OR(F1770="",C1770=""),"",IF(COUNTIF($C$2:C1770,C1770)=1,MAX($U$1:U1769)+1,""))</f>
        <v/>
      </c>
    </row>
    <row r="1771" customFormat="false" ht="15" hidden="false" customHeight="false" outlineLevel="0" collapsed="false">
      <c r="A1771" s="34"/>
      <c r="B1771" s="9"/>
      <c r="C1771" s="34"/>
      <c r="D1771" s="34"/>
      <c r="E1771" s="34"/>
      <c r="F1771" s="35"/>
      <c r="G1771" s="9"/>
      <c r="H1771" s="9"/>
      <c r="I1771" s="34"/>
      <c r="J1771" s="30" t="str">
        <f aca="false">IF(F1771="","",G1771-B1771)</f>
        <v/>
      </c>
      <c r="K1771" s="31" t="str">
        <f aca="false">IF(F1771="","",IF(H1771&lt;&gt;"",H1771,MAX('Vade Sapması'!$D$3,G1771)))</f>
        <v/>
      </c>
      <c r="L1771" s="30" t="str">
        <f aca="false">IF(F1771="","",K1771-B1771)</f>
        <v/>
      </c>
      <c r="M1771" s="30" t="str">
        <f aca="false">IF(F1771="","",L1771-J1771)</f>
        <v/>
      </c>
      <c r="N1771" s="32" t="str">
        <f aca="false">IF(F1771="","",IF(H1771&lt;&gt;"","Kapandı",IF('Vade Sapması'!$D$3&gt;G1771,"Açık · vadesi geçti","Açık · vadesi gelmedi")))</f>
        <v/>
      </c>
      <c r="O1771" s="30" t="str">
        <f aca="false">IF(F1771="","",IF(AND(H1771="",'Vade Sapması'!$D$3&gt;G1771),'Vade Sapması'!$D$3-G1771,0))</f>
        <v/>
      </c>
      <c r="P1771" s="33" t="str">
        <f aca="false">IF(F1771="","",F1771*J1771)</f>
        <v/>
      </c>
      <c r="Q1771" s="33" t="str">
        <f aca="false">IF(F1771="","",F1771*L1771)</f>
        <v/>
      </c>
      <c r="R1771" s="33" t="str">
        <f aca="false">IF(F1771="","",IF(H1771="",F1771,0))</f>
        <v/>
      </c>
      <c r="S1771" s="32" t="str">
        <f aca="false">IF(F1771="","",IF(N(O1771)=0,"",IF(O1771&lt;=30,"1-30",IF(O1771&lt;=60,"31-60",IF(O1771&lt;=90,"61-90","90+")))))</f>
        <v/>
      </c>
      <c r="T1771" s="32" t="str">
        <f aca="false">IF(F1771="","",IF(E1771="","Diğer",E1771))</f>
        <v/>
      </c>
      <c r="U1771" s="32" t="str">
        <f aca="false">IF(OR(F1771="",C1771=""),"",IF(COUNTIF($C$2:C1771,C1771)=1,MAX($U$1:U1770)+1,""))</f>
        <v/>
      </c>
    </row>
    <row r="1772" customFormat="false" ht="15" hidden="false" customHeight="false" outlineLevel="0" collapsed="false">
      <c r="A1772" s="34"/>
      <c r="B1772" s="9"/>
      <c r="C1772" s="34"/>
      <c r="D1772" s="34"/>
      <c r="E1772" s="34"/>
      <c r="F1772" s="35"/>
      <c r="G1772" s="9"/>
      <c r="H1772" s="9"/>
      <c r="I1772" s="34"/>
      <c r="J1772" s="30" t="str">
        <f aca="false">IF(F1772="","",G1772-B1772)</f>
        <v/>
      </c>
      <c r="K1772" s="31" t="str">
        <f aca="false">IF(F1772="","",IF(H1772&lt;&gt;"",H1772,MAX('Vade Sapması'!$D$3,G1772)))</f>
        <v/>
      </c>
      <c r="L1772" s="30" t="str">
        <f aca="false">IF(F1772="","",K1772-B1772)</f>
        <v/>
      </c>
      <c r="M1772" s="30" t="str">
        <f aca="false">IF(F1772="","",L1772-J1772)</f>
        <v/>
      </c>
      <c r="N1772" s="32" t="str">
        <f aca="false">IF(F1772="","",IF(H1772&lt;&gt;"","Kapandı",IF('Vade Sapması'!$D$3&gt;G1772,"Açık · vadesi geçti","Açık · vadesi gelmedi")))</f>
        <v/>
      </c>
      <c r="O1772" s="30" t="str">
        <f aca="false">IF(F1772="","",IF(AND(H1772="",'Vade Sapması'!$D$3&gt;G1772),'Vade Sapması'!$D$3-G1772,0))</f>
        <v/>
      </c>
      <c r="P1772" s="33" t="str">
        <f aca="false">IF(F1772="","",F1772*J1772)</f>
        <v/>
      </c>
      <c r="Q1772" s="33" t="str">
        <f aca="false">IF(F1772="","",F1772*L1772)</f>
        <v/>
      </c>
      <c r="R1772" s="33" t="str">
        <f aca="false">IF(F1772="","",IF(H1772="",F1772,0))</f>
        <v/>
      </c>
      <c r="S1772" s="32" t="str">
        <f aca="false">IF(F1772="","",IF(N(O1772)=0,"",IF(O1772&lt;=30,"1-30",IF(O1772&lt;=60,"31-60",IF(O1772&lt;=90,"61-90","90+")))))</f>
        <v/>
      </c>
      <c r="T1772" s="32" t="str">
        <f aca="false">IF(F1772="","",IF(E1772="","Diğer",E1772))</f>
        <v/>
      </c>
      <c r="U1772" s="32" t="str">
        <f aca="false">IF(OR(F1772="",C1772=""),"",IF(COUNTIF($C$2:C1772,C1772)=1,MAX($U$1:U1771)+1,""))</f>
        <v/>
      </c>
    </row>
    <row r="1773" customFormat="false" ht="15" hidden="false" customHeight="false" outlineLevel="0" collapsed="false">
      <c r="A1773" s="34"/>
      <c r="B1773" s="9"/>
      <c r="C1773" s="34"/>
      <c r="D1773" s="34"/>
      <c r="E1773" s="34"/>
      <c r="F1773" s="35"/>
      <c r="G1773" s="9"/>
      <c r="H1773" s="9"/>
      <c r="I1773" s="34"/>
      <c r="J1773" s="30" t="str">
        <f aca="false">IF(F1773="","",G1773-B1773)</f>
        <v/>
      </c>
      <c r="K1773" s="31" t="str">
        <f aca="false">IF(F1773="","",IF(H1773&lt;&gt;"",H1773,MAX('Vade Sapması'!$D$3,G1773)))</f>
        <v/>
      </c>
      <c r="L1773" s="30" t="str">
        <f aca="false">IF(F1773="","",K1773-B1773)</f>
        <v/>
      </c>
      <c r="M1773" s="30" t="str">
        <f aca="false">IF(F1773="","",L1773-J1773)</f>
        <v/>
      </c>
      <c r="N1773" s="32" t="str">
        <f aca="false">IF(F1773="","",IF(H1773&lt;&gt;"","Kapandı",IF('Vade Sapması'!$D$3&gt;G1773,"Açık · vadesi geçti","Açık · vadesi gelmedi")))</f>
        <v/>
      </c>
      <c r="O1773" s="30" t="str">
        <f aca="false">IF(F1773="","",IF(AND(H1773="",'Vade Sapması'!$D$3&gt;G1773),'Vade Sapması'!$D$3-G1773,0))</f>
        <v/>
      </c>
      <c r="P1773" s="33" t="str">
        <f aca="false">IF(F1773="","",F1773*J1773)</f>
        <v/>
      </c>
      <c r="Q1773" s="33" t="str">
        <f aca="false">IF(F1773="","",F1773*L1773)</f>
        <v/>
      </c>
      <c r="R1773" s="33" t="str">
        <f aca="false">IF(F1773="","",IF(H1773="",F1773,0))</f>
        <v/>
      </c>
      <c r="S1773" s="32" t="str">
        <f aca="false">IF(F1773="","",IF(N(O1773)=0,"",IF(O1773&lt;=30,"1-30",IF(O1773&lt;=60,"31-60",IF(O1773&lt;=90,"61-90","90+")))))</f>
        <v/>
      </c>
      <c r="T1773" s="32" t="str">
        <f aca="false">IF(F1773="","",IF(E1773="","Diğer",E1773))</f>
        <v/>
      </c>
      <c r="U1773" s="32" t="str">
        <f aca="false">IF(OR(F1773="",C1773=""),"",IF(COUNTIF($C$2:C1773,C1773)=1,MAX($U$1:U1772)+1,""))</f>
        <v/>
      </c>
    </row>
    <row r="1774" customFormat="false" ht="15" hidden="false" customHeight="false" outlineLevel="0" collapsed="false">
      <c r="A1774" s="34"/>
      <c r="B1774" s="9"/>
      <c r="C1774" s="34"/>
      <c r="D1774" s="34"/>
      <c r="E1774" s="34"/>
      <c r="F1774" s="35"/>
      <c r="G1774" s="9"/>
      <c r="H1774" s="9"/>
      <c r="I1774" s="34"/>
      <c r="J1774" s="30" t="str">
        <f aca="false">IF(F1774="","",G1774-B1774)</f>
        <v/>
      </c>
      <c r="K1774" s="31" t="str">
        <f aca="false">IF(F1774="","",IF(H1774&lt;&gt;"",H1774,MAX('Vade Sapması'!$D$3,G1774)))</f>
        <v/>
      </c>
      <c r="L1774" s="30" t="str">
        <f aca="false">IF(F1774="","",K1774-B1774)</f>
        <v/>
      </c>
      <c r="M1774" s="30" t="str">
        <f aca="false">IF(F1774="","",L1774-J1774)</f>
        <v/>
      </c>
      <c r="N1774" s="32" t="str">
        <f aca="false">IF(F1774="","",IF(H1774&lt;&gt;"","Kapandı",IF('Vade Sapması'!$D$3&gt;G1774,"Açık · vadesi geçti","Açık · vadesi gelmedi")))</f>
        <v/>
      </c>
      <c r="O1774" s="30" t="str">
        <f aca="false">IF(F1774="","",IF(AND(H1774="",'Vade Sapması'!$D$3&gt;G1774),'Vade Sapması'!$D$3-G1774,0))</f>
        <v/>
      </c>
      <c r="P1774" s="33" t="str">
        <f aca="false">IF(F1774="","",F1774*J1774)</f>
        <v/>
      </c>
      <c r="Q1774" s="33" t="str">
        <f aca="false">IF(F1774="","",F1774*L1774)</f>
        <v/>
      </c>
      <c r="R1774" s="33" t="str">
        <f aca="false">IF(F1774="","",IF(H1774="",F1774,0))</f>
        <v/>
      </c>
      <c r="S1774" s="32" t="str">
        <f aca="false">IF(F1774="","",IF(N(O1774)=0,"",IF(O1774&lt;=30,"1-30",IF(O1774&lt;=60,"31-60",IF(O1774&lt;=90,"61-90","90+")))))</f>
        <v/>
      </c>
      <c r="T1774" s="32" t="str">
        <f aca="false">IF(F1774="","",IF(E1774="","Diğer",E1774))</f>
        <v/>
      </c>
      <c r="U1774" s="32" t="str">
        <f aca="false">IF(OR(F1774="",C1774=""),"",IF(COUNTIF($C$2:C1774,C1774)=1,MAX($U$1:U1773)+1,""))</f>
        <v/>
      </c>
    </row>
    <row r="1775" customFormat="false" ht="15" hidden="false" customHeight="false" outlineLevel="0" collapsed="false">
      <c r="A1775" s="34"/>
      <c r="B1775" s="9"/>
      <c r="C1775" s="34"/>
      <c r="D1775" s="34"/>
      <c r="E1775" s="34"/>
      <c r="F1775" s="35"/>
      <c r="G1775" s="9"/>
      <c r="H1775" s="9"/>
      <c r="I1775" s="34"/>
      <c r="J1775" s="30" t="str">
        <f aca="false">IF(F1775="","",G1775-B1775)</f>
        <v/>
      </c>
      <c r="K1775" s="31" t="str">
        <f aca="false">IF(F1775="","",IF(H1775&lt;&gt;"",H1775,MAX('Vade Sapması'!$D$3,G1775)))</f>
        <v/>
      </c>
      <c r="L1775" s="30" t="str">
        <f aca="false">IF(F1775="","",K1775-B1775)</f>
        <v/>
      </c>
      <c r="M1775" s="30" t="str">
        <f aca="false">IF(F1775="","",L1775-J1775)</f>
        <v/>
      </c>
      <c r="N1775" s="32" t="str">
        <f aca="false">IF(F1775="","",IF(H1775&lt;&gt;"","Kapandı",IF('Vade Sapması'!$D$3&gt;G1775,"Açık · vadesi geçti","Açık · vadesi gelmedi")))</f>
        <v/>
      </c>
      <c r="O1775" s="30" t="str">
        <f aca="false">IF(F1775="","",IF(AND(H1775="",'Vade Sapması'!$D$3&gt;G1775),'Vade Sapması'!$D$3-G1775,0))</f>
        <v/>
      </c>
      <c r="P1775" s="33" t="str">
        <f aca="false">IF(F1775="","",F1775*J1775)</f>
        <v/>
      </c>
      <c r="Q1775" s="33" t="str">
        <f aca="false">IF(F1775="","",F1775*L1775)</f>
        <v/>
      </c>
      <c r="R1775" s="33" t="str">
        <f aca="false">IF(F1775="","",IF(H1775="",F1775,0))</f>
        <v/>
      </c>
      <c r="S1775" s="32" t="str">
        <f aca="false">IF(F1775="","",IF(N(O1775)=0,"",IF(O1775&lt;=30,"1-30",IF(O1775&lt;=60,"31-60",IF(O1775&lt;=90,"61-90","90+")))))</f>
        <v/>
      </c>
      <c r="T1775" s="32" t="str">
        <f aca="false">IF(F1775="","",IF(E1775="","Diğer",E1775))</f>
        <v/>
      </c>
      <c r="U1775" s="32" t="str">
        <f aca="false">IF(OR(F1775="",C1775=""),"",IF(COUNTIF($C$2:C1775,C1775)=1,MAX($U$1:U1774)+1,""))</f>
        <v/>
      </c>
    </row>
    <row r="1776" customFormat="false" ht="15" hidden="false" customHeight="false" outlineLevel="0" collapsed="false">
      <c r="A1776" s="34"/>
      <c r="B1776" s="9"/>
      <c r="C1776" s="34"/>
      <c r="D1776" s="34"/>
      <c r="E1776" s="34"/>
      <c r="F1776" s="35"/>
      <c r="G1776" s="9"/>
      <c r="H1776" s="9"/>
      <c r="I1776" s="34"/>
      <c r="J1776" s="30" t="str">
        <f aca="false">IF(F1776="","",G1776-B1776)</f>
        <v/>
      </c>
      <c r="K1776" s="31" t="str">
        <f aca="false">IF(F1776="","",IF(H1776&lt;&gt;"",H1776,MAX('Vade Sapması'!$D$3,G1776)))</f>
        <v/>
      </c>
      <c r="L1776" s="30" t="str">
        <f aca="false">IF(F1776="","",K1776-B1776)</f>
        <v/>
      </c>
      <c r="M1776" s="30" t="str">
        <f aca="false">IF(F1776="","",L1776-J1776)</f>
        <v/>
      </c>
      <c r="N1776" s="32" t="str">
        <f aca="false">IF(F1776="","",IF(H1776&lt;&gt;"","Kapandı",IF('Vade Sapması'!$D$3&gt;G1776,"Açık · vadesi geçti","Açık · vadesi gelmedi")))</f>
        <v/>
      </c>
      <c r="O1776" s="30" t="str">
        <f aca="false">IF(F1776="","",IF(AND(H1776="",'Vade Sapması'!$D$3&gt;G1776),'Vade Sapması'!$D$3-G1776,0))</f>
        <v/>
      </c>
      <c r="P1776" s="33" t="str">
        <f aca="false">IF(F1776="","",F1776*J1776)</f>
        <v/>
      </c>
      <c r="Q1776" s="33" t="str">
        <f aca="false">IF(F1776="","",F1776*L1776)</f>
        <v/>
      </c>
      <c r="R1776" s="33" t="str">
        <f aca="false">IF(F1776="","",IF(H1776="",F1776,0))</f>
        <v/>
      </c>
      <c r="S1776" s="32" t="str">
        <f aca="false">IF(F1776="","",IF(N(O1776)=0,"",IF(O1776&lt;=30,"1-30",IF(O1776&lt;=60,"31-60",IF(O1776&lt;=90,"61-90","90+")))))</f>
        <v/>
      </c>
      <c r="T1776" s="32" t="str">
        <f aca="false">IF(F1776="","",IF(E1776="","Diğer",E1776))</f>
        <v/>
      </c>
      <c r="U1776" s="32" t="str">
        <f aca="false">IF(OR(F1776="",C1776=""),"",IF(COUNTIF($C$2:C1776,C1776)=1,MAX($U$1:U1775)+1,""))</f>
        <v/>
      </c>
    </row>
    <row r="1777" customFormat="false" ht="15" hidden="false" customHeight="false" outlineLevel="0" collapsed="false">
      <c r="A1777" s="34"/>
      <c r="B1777" s="9"/>
      <c r="C1777" s="34"/>
      <c r="D1777" s="34"/>
      <c r="E1777" s="34"/>
      <c r="F1777" s="35"/>
      <c r="G1777" s="9"/>
      <c r="H1777" s="9"/>
      <c r="I1777" s="34"/>
      <c r="J1777" s="30" t="str">
        <f aca="false">IF(F1777="","",G1777-B1777)</f>
        <v/>
      </c>
      <c r="K1777" s="31" t="str">
        <f aca="false">IF(F1777="","",IF(H1777&lt;&gt;"",H1777,MAX('Vade Sapması'!$D$3,G1777)))</f>
        <v/>
      </c>
      <c r="L1777" s="30" t="str">
        <f aca="false">IF(F1777="","",K1777-B1777)</f>
        <v/>
      </c>
      <c r="M1777" s="30" t="str">
        <f aca="false">IF(F1777="","",L1777-J1777)</f>
        <v/>
      </c>
      <c r="N1777" s="32" t="str">
        <f aca="false">IF(F1777="","",IF(H1777&lt;&gt;"","Kapandı",IF('Vade Sapması'!$D$3&gt;G1777,"Açık · vadesi geçti","Açık · vadesi gelmedi")))</f>
        <v/>
      </c>
      <c r="O1777" s="30" t="str">
        <f aca="false">IF(F1777="","",IF(AND(H1777="",'Vade Sapması'!$D$3&gt;G1777),'Vade Sapması'!$D$3-G1777,0))</f>
        <v/>
      </c>
      <c r="P1777" s="33" t="str">
        <f aca="false">IF(F1777="","",F1777*J1777)</f>
        <v/>
      </c>
      <c r="Q1777" s="33" t="str">
        <f aca="false">IF(F1777="","",F1777*L1777)</f>
        <v/>
      </c>
      <c r="R1777" s="33" t="str">
        <f aca="false">IF(F1777="","",IF(H1777="",F1777,0))</f>
        <v/>
      </c>
      <c r="S1777" s="32" t="str">
        <f aca="false">IF(F1777="","",IF(N(O1777)=0,"",IF(O1777&lt;=30,"1-30",IF(O1777&lt;=60,"31-60",IF(O1777&lt;=90,"61-90","90+")))))</f>
        <v/>
      </c>
      <c r="T1777" s="32" t="str">
        <f aca="false">IF(F1777="","",IF(E1777="","Diğer",E1777))</f>
        <v/>
      </c>
      <c r="U1777" s="32" t="str">
        <f aca="false">IF(OR(F1777="",C1777=""),"",IF(COUNTIF($C$2:C1777,C1777)=1,MAX($U$1:U1776)+1,""))</f>
        <v/>
      </c>
    </row>
    <row r="1778" customFormat="false" ht="15" hidden="false" customHeight="false" outlineLevel="0" collapsed="false">
      <c r="A1778" s="34"/>
      <c r="B1778" s="9"/>
      <c r="C1778" s="34"/>
      <c r="D1778" s="34"/>
      <c r="E1778" s="34"/>
      <c r="F1778" s="35"/>
      <c r="G1778" s="9"/>
      <c r="H1778" s="9"/>
      <c r="I1778" s="34"/>
      <c r="J1778" s="30" t="str">
        <f aca="false">IF(F1778="","",G1778-B1778)</f>
        <v/>
      </c>
      <c r="K1778" s="31" t="str">
        <f aca="false">IF(F1778="","",IF(H1778&lt;&gt;"",H1778,MAX('Vade Sapması'!$D$3,G1778)))</f>
        <v/>
      </c>
      <c r="L1778" s="30" t="str">
        <f aca="false">IF(F1778="","",K1778-B1778)</f>
        <v/>
      </c>
      <c r="M1778" s="30" t="str">
        <f aca="false">IF(F1778="","",L1778-J1778)</f>
        <v/>
      </c>
      <c r="N1778" s="32" t="str">
        <f aca="false">IF(F1778="","",IF(H1778&lt;&gt;"","Kapandı",IF('Vade Sapması'!$D$3&gt;G1778,"Açık · vadesi geçti","Açık · vadesi gelmedi")))</f>
        <v/>
      </c>
      <c r="O1778" s="30" t="str">
        <f aca="false">IF(F1778="","",IF(AND(H1778="",'Vade Sapması'!$D$3&gt;G1778),'Vade Sapması'!$D$3-G1778,0))</f>
        <v/>
      </c>
      <c r="P1778" s="33" t="str">
        <f aca="false">IF(F1778="","",F1778*J1778)</f>
        <v/>
      </c>
      <c r="Q1778" s="33" t="str">
        <f aca="false">IF(F1778="","",F1778*L1778)</f>
        <v/>
      </c>
      <c r="R1778" s="33" t="str">
        <f aca="false">IF(F1778="","",IF(H1778="",F1778,0))</f>
        <v/>
      </c>
      <c r="S1778" s="32" t="str">
        <f aca="false">IF(F1778="","",IF(N(O1778)=0,"",IF(O1778&lt;=30,"1-30",IF(O1778&lt;=60,"31-60",IF(O1778&lt;=90,"61-90","90+")))))</f>
        <v/>
      </c>
      <c r="T1778" s="32" t="str">
        <f aca="false">IF(F1778="","",IF(E1778="","Diğer",E1778))</f>
        <v/>
      </c>
      <c r="U1778" s="32" t="str">
        <f aca="false">IF(OR(F1778="",C1778=""),"",IF(COUNTIF($C$2:C1778,C1778)=1,MAX($U$1:U1777)+1,""))</f>
        <v/>
      </c>
    </row>
    <row r="1779" customFormat="false" ht="15" hidden="false" customHeight="false" outlineLevel="0" collapsed="false">
      <c r="A1779" s="34"/>
      <c r="B1779" s="9"/>
      <c r="C1779" s="34"/>
      <c r="D1779" s="34"/>
      <c r="E1779" s="34"/>
      <c r="F1779" s="35"/>
      <c r="G1779" s="9"/>
      <c r="H1779" s="9"/>
      <c r="I1779" s="34"/>
      <c r="J1779" s="30" t="str">
        <f aca="false">IF(F1779="","",G1779-B1779)</f>
        <v/>
      </c>
      <c r="K1779" s="31" t="str">
        <f aca="false">IF(F1779="","",IF(H1779&lt;&gt;"",H1779,MAX('Vade Sapması'!$D$3,G1779)))</f>
        <v/>
      </c>
      <c r="L1779" s="30" t="str">
        <f aca="false">IF(F1779="","",K1779-B1779)</f>
        <v/>
      </c>
      <c r="M1779" s="30" t="str">
        <f aca="false">IF(F1779="","",L1779-J1779)</f>
        <v/>
      </c>
      <c r="N1779" s="32" t="str">
        <f aca="false">IF(F1779="","",IF(H1779&lt;&gt;"","Kapandı",IF('Vade Sapması'!$D$3&gt;G1779,"Açık · vadesi geçti","Açık · vadesi gelmedi")))</f>
        <v/>
      </c>
      <c r="O1779" s="30" t="str">
        <f aca="false">IF(F1779="","",IF(AND(H1779="",'Vade Sapması'!$D$3&gt;G1779),'Vade Sapması'!$D$3-G1779,0))</f>
        <v/>
      </c>
      <c r="P1779" s="33" t="str">
        <f aca="false">IF(F1779="","",F1779*J1779)</f>
        <v/>
      </c>
      <c r="Q1779" s="33" t="str">
        <f aca="false">IF(F1779="","",F1779*L1779)</f>
        <v/>
      </c>
      <c r="R1779" s="33" t="str">
        <f aca="false">IF(F1779="","",IF(H1779="",F1779,0))</f>
        <v/>
      </c>
      <c r="S1779" s="32" t="str">
        <f aca="false">IF(F1779="","",IF(N(O1779)=0,"",IF(O1779&lt;=30,"1-30",IF(O1779&lt;=60,"31-60",IF(O1779&lt;=90,"61-90","90+")))))</f>
        <v/>
      </c>
      <c r="T1779" s="32" t="str">
        <f aca="false">IF(F1779="","",IF(E1779="","Diğer",E1779))</f>
        <v/>
      </c>
      <c r="U1779" s="32" t="str">
        <f aca="false">IF(OR(F1779="",C1779=""),"",IF(COUNTIF($C$2:C1779,C1779)=1,MAX($U$1:U1778)+1,""))</f>
        <v/>
      </c>
    </row>
    <row r="1780" customFormat="false" ht="15" hidden="false" customHeight="false" outlineLevel="0" collapsed="false">
      <c r="A1780" s="34"/>
      <c r="B1780" s="9"/>
      <c r="C1780" s="34"/>
      <c r="D1780" s="34"/>
      <c r="E1780" s="34"/>
      <c r="F1780" s="35"/>
      <c r="G1780" s="9"/>
      <c r="H1780" s="9"/>
      <c r="I1780" s="34"/>
      <c r="J1780" s="30" t="str">
        <f aca="false">IF(F1780="","",G1780-B1780)</f>
        <v/>
      </c>
      <c r="K1780" s="31" t="str">
        <f aca="false">IF(F1780="","",IF(H1780&lt;&gt;"",H1780,MAX('Vade Sapması'!$D$3,G1780)))</f>
        <v/>
      </c>
      <c r="L1780" s="30" t="str">
        <f aca="false">IF(F1780="","",K1780-B1780)</f>
        <v/>
      </c>
      <c r="M1780" s="30" t="str">
        <f aca="false">IF(F1780="","",L1780-J1780)</f>
        <v/>
      </c>
      <c r="N1780" s="32" t="str">
        <f aca="false">IF(F1780="","",IF(H1780&lt;&gt;"","Kapandı",IF('Vade Sapması'!$D$3&gt;G1780,"Açık · vadesi geçti","Açık · vadesi gelmedi")))</f>
        <v/>
      </c>
      <c r="O1780" s="30" t="str">
        <f aca="false">IF(F1780="","",IF(AND(H1780="",'Vade Sapması'!$D$3&gt;G1780),'Vade Sapması'!$D$3-G1780,0))</f>
        <v/>
      </c>
      <c r="P1780" s="33" t="str">
        <f aca="false">IF(F1780="","",F1780*J1780)</f>
        <v/>
      </c>
      <c r="Q1780" s="33" t="str">
        <f aca="false">IF(F1780="","",F1780*L1780)</f>
        <v/>
      </c>
      <c r="R1780" s="33" t="str">
        <f aca="false">IF(F1780="","",IF(H1780="",F1780,0))</f>
        <v/>
      </c>
      <c r="S1780" s="32" t="str">
        <f aca="false">IF(F1780="","",IF(N(O1780)=0,"",IF(O1780&lt;=30,"1-30",IF(O1780&lt;=60,"31-60",IF(O1780&lt;=90,"61-90","90+")))))</f>
        <v/>
      </c>
      <c r="T1780" s="32" t="str">
        <f aca="false">IF(F1780="","",IF(E1780="","Diğer",E1780))</f>
        <v/>
      </c>
      <c r="U1780" s="32" t="str">
        <f aca="false">IF(OR(F1780="",C1780=""),"",IF(COUNTIF($C$2:C1780,C1780)=1,MAX($U$1:U1779)+1,""))</f>
        <v/>
      </c>
    </row>
    <row r="1781" customFormat="false" ht="15" hidden="false" customHeight="false" outlineLevel="0" collapsed="false">
      <c r="A1781" s="34"/>
      <c r="B1781" s="9"/>
      <c r="C1781" s="34"/>
      <c r="D1781" s="34"/>
      <c r="E1781" s="34"/>
      <c r="F1781" s="35"/>
      <c r="G1781" s="9"/>
      <c r="H1781" s="9"/>
      <c r="I1781" s="34"/>
      <c r="J1781" s="30" t="str">
        <f aca="false">IF(F1781="","",G1781-B1781)</f>
        <v/>
      </c>
      <c r="K1781" s="31" t="str">
        <f aca="false">IF(F1781="","",IF(H1781&lt;&gt;"",H1781,MAX('Vade Sapması'!$D$3,G1781)))</f>
        <v/>
      </c>
      <c r="L1781" s="30" t="str">
        <f aca="false">IF(F1781="","",K1781-B1781)</f>
        <v/>
      </c>
      <c r="M1781" s="30" t="str">
        <f aca="false">IF(F1781="","",L1781-J1781)</f>
        <v/>
      </c>
      <c r="N1781" s="32" t="str">
        <f aca="false">IF(F1781="","",IF(H1781&lt;&gt;"","Kapandı",IF('Vade Sapması'!$D$3&gt;G1781,"Açık · vadesi geçti","Açık · vadesi gelmedi")))</f>
        <v/>
      </c>
      <c r="O1781" s="30" t="str">
        <f aca="false">IF(F1781="","",IF(AND(H1781="",'Vade Sapması'!$D$3&gt;G1781),'Vade Sapması'!$D$3-G1781,0))</f>
        <v/>
      </c>
      <c r="P1781" s="33" t="str">
        <f aca="false">IF(F1781="","",F1781*J1781)</f>
        <v/>
      </c>
      <c r="Q1781" s="33" t="str">
        <f aca="false">IF(F1781="","",F1781*L1781)</f>
        <v/>
      </c>
      <c r="R1781" s="33" t="str">
        <f aca="false">IF(F1781="","",IF(H1781="",F1781,0))</f>
        <v/>
      </c>
      <c r="S1781" s="32" t="str">
        <f aca="false">IF(F1781="","",IF(N(O1781)=0,"",IF(O1781&lt;=30,"1-30",IF(O1781&lt;=60,"31-60",IF(O1781&lt;=90,"61-90","90+")))))</f>
        <v/>
      </c>
      <c r="T1781" s="32" t="str">
        <f aca="false">IF(F1781="","",IF(E1781="","Diğer",E1781))</f>
        <v/>
      </c>
      <c r="U1781" s="32" t="str">
        <f aca="false">IF(OR(F1781="",C1781=""),"",IF(COUNTIF($C$2:C1781,C1781)=1,MAX($U$1:U1780)+1,""))</f>
        <v/>
      </c>
    </row>
    <row r="1782" customFormat="false" ht="15" hidden="false" customHeight="false" outlineLevel="0" collapsed="false">
      <c r="A1782" s="34"/>
      <c r="B1782" s="9"/>
      <c r="C1782" s="34"/>
      <c r="D1782" s="34"/>
      <c r="E1782" s="34"/>
      <c r="F1782" s="35"/>
      <c r="G1782" s="9"/>
      <c r="H1782" s="9"/>
      <c r="I1782" s="34"/>
      <c r="J1782" s="30" t="str">
        <f aca="false">IF(F1782="","",G1782-B1782)</f>
        <v/>
      </c>
      <c r="K1782" s="31" t="str">
        <f aca="false">IF(F1782="","",IF(H1782&lt;&gt;"",H1782,MAX('Vade Sapması'!$D$3,G1782)))</f>
        <v/>
      </c>
      <c r="L1782" s="30" t="str">
        <f aca="false">IF(F1782="","",K1782-B1782)</f>
        <v/>
      </c>
      <c r="M1782" s="30" t="str">
        <f aca="false">IF(F1782="","",L1782-J1782)</f>
        <v/>
      </c>
      <c r="N1782" s="32" t="str">
        <f aca="false">IF(F1782="","",IF(H1782&lt;&gt;"","Kapandı",IF('Vade Sapması'!$D$3&gt;G1782,"Açık · vadesi geçti","Açık · vadesi gelmedi")))</f>
        <v/>
      </c>
      <c r="O1782" s="30" t="str">
        <f aca="false">IF(F1782="","",IF(AND(H1782="",'Vade Sapması'!$D$3&gt;G1782),'Vade Sapması'!$D$3-G1782,0))</f>
        <v/>
      </c>
      <c r="P1782" s="33" t="str">
        <f aca="false">IF(F1782="","",F1782*J1782)</f>
        <v/>
      </c>
      <c r="Q1782" s="33" t="str">
        <f aca="false">IF(F1782="","",F1782*L1782)</f>
        <v/>
      </c>
      <c r="R1782" s="33" t="str">
        <f aca="false">IF(F1782="","",IF(H1782="",F1782,0))</f>
        <v/>
      </c>
      <c r="S1782" s="32" t="str">
        <f aca="false">IF(F1782="","",IF(N(O1782)=0,"",IF(O1782&lt;=30,"1-30",IF(O1782&lt;=60,"31-60",IF(O1782&lt;=90,"61-90","90+")))))</f>
        <v/>
      </c>
      <c r="T1782" s="32" t="str">
        <f aca="false">IF(F1782="","",IF(E1782="","Diğer",E1782))</f>
        <v/>
      </c>
      <c r="U1782" s="32" t="str">
        <f aca="false">IF(OR(F1782="",C1782=""),"",IF(COUNTIF($C$2:C1782,C1782)=1,MAX($U$1:U1781)+1,""))</f>
        <v/>
      </c>
    </row>
    <row r="1783" customFormat="false" ht="15" hidden="false" customHeight="false" outlineLevel="0" collapsed="false">
      <c r="A1783" s="34"/>
      <c r="B1783" s="9"/>
      <c r="C1783" s="34"/>
      <c r="D1783" s="34"/>
      <c r="E1783" s="34"/>
      <c r="F1783" s="35"/>
      <c r="G1783" s="9"/>
      <c r="H1783" s="9"/>
      <c r="I1783" s="34"/>
      <c r="J1783" s="30" t="str">
        <f aca="false">IF(F1783="","",G1783-B1783)</f>
        <v/>
      </c>
      <c r="K1783" s="31" t="str">
        <f aca="false">IF(F1783="","",IF(H1783&lt;&gt;"",H1783,MAX('Vade Sapması'!$D$3,G1783)))</f>
        <v/>
      </c>
      <c r="L1783" s="30" t="str">
        <f aca="false">IF(F1783="","",K1783-B1783)</f>
        <v/>
      </c>
      <c r="M1783" s="30" t="str">
        <f aca="false">IF(F1783="","",L1783-J1783)</f>
        <v/>
      </c>
      <c r="N1783" s="32" t="str">
        <f aca="false">IF(F1783="","",IF(H1783&lt;&gt;"","Kapandı",IF('Vade Sapması'!$D$3&gt;G1783,"Açık · vadesi geçti","Açık · vadesi gelmedi")))</f>
        <v/>
      </c>
      <c r="O1783" s="30" t="str">
        <f aca="false">IF(F1783="","",IF(AND(H1783="",'Vade Sapması'!$D$3&gt;G1783),'Vade Sapması'!$D$3-G1783,0))</f>
        <v/>
      </c>
      <c r="P1783" s="33" t="str">
        <f aca="false">IF(F1783="","",F1783*J1783)</f>
        <v/>
      </c>
      <c r="Q1783" s="33" t="str">
        <f aca="false">IF(F1783="","",F1783*L1783)</f>
        <v/>
      </c>
      <c r="R1783" s="33" t="str">
        <f aca="false">IF(F1783="","",IF(H1783="",F1783,0))</f>
        <v/>
      </c>
      <c r="S1783" s="32" t="str">
        <f aca="false">IF(F1783="","",IF(N(O1783)=0,"",IF(O1783&lt;=30,"1-30",IF(O1783&lt;=60,"31-60",IF(O1783&lt;=90,"61-90","90+")))))</f>
        <v/>
      </c>
      <c r="T1783" s="32" t="str">
        <f aca="false">IF(F1783="","",IF(E1783="","Diğer",E1783))</f>
        <v/>
      </c>
      <c r="U1783" s="32" t="str">
        <f aca="false">IF(OR(F1783="",C1783=""),"",IF(COUNTIF($C$2:C1783,C1783)=1,MAX($U$1:U1782)+1,""))</f>
        <v/>
      </c>
    </row>
    <row r="1784" customFormat="false" ht="15" hidden="false" customHeight="false" outlineLevel="0" collapsed="false">
      <c r="A1784" s="34"/>
      <c r="B1784" s="9"/>
      <c r="C1784" s="34"/>
      <c r="D1784" s="34"/>
      <c r="E1784" s="34"/>
      <c r="F1784" s="35"/>
      <c r="G1784" s="9"/>
      <c r="H1784" s="9"/>
      <c r="I1784" s="34"/>
      <c r="J1784" s="30" t="str">
        <f aca="false">IF(F1784="","",G1784-B1784)</f>
        <v/>
      </c>
      <c r="K1784" s="31" t="str">
        <f aca="false">IF(F1784="","",IF(H1784&lt;&gt;"",H1784,MAX('Vade Sapması'!$D$3,G1784)))</f>
        <v/>
      </c>
      <c r="L1784" s="30" t="str">
        <f aca="false">IF(F1784="","",K1784-B1784)</f>
        <v/>
      </c>
      <c r="M1784" s="30" t="str">
        <f aca="false">IF(F1784="","",L1784-J1784)</f>
        <v/>
      </c>
      <c r="N1784" s="32" t="str">
        <f aca="false">IF(F1784="","",IF(H1784&lt;&gt;"","Kapandı",IF('Vade Sapması'!$D$3&gt;G1784,"Açık · vadesi geçti","Açık · vadesi gelmedi")))</f>
        <v/>
      </c>
      <c r="O1784" s="30" t="str">
        <f aca="false">IF(F1784="","",IF(AND(H1784="",'Vade Sapması'!$D$3&gt;G1784),'Vade Sapması'!$D$3-G1784,0))</f>
        <v/>
      </c>
      <c r="P1784" s="33" t="str">
        <f aca="false">IF(F1784="","",F1784*J1784)</f>
        <v/>
      </c>
      <c r="Q1784" s="33" t="str">
        <f aca="false">IF(F1784="","",F1784*L1784)</f>
        <v/>
      </c>
      <c r="R1784" s="33" t="str">
        <f aca="false">IF(F1784="","",IF(H1784="",F1784,0))</f>
        <v/>
      </c>
      <c r="S1784" s="32" t="str">
        <f aca="false">IF(F1784="","",IF(N(O1784)=0,"",IF(O1784&lt;=30,"1-30",IF(O1784&lt;=60,"31-60",IF(O1784&lt;=90,"61-90","90+")))))</f>
        <v/>
      </c>
      <c r="T1784" s="32" t="str">
        <f aca="false">IF(F1784="","",IF(E1784="","Diğer",E1784))</f>
        <v/>
      </c>
      <c r="U1784" s="32" t="str">
        <f aca="false">IF(OR(F1784="",C1784=""),"",IF(COUNTIF($C$2:C1784,C1784)=1,MAX($U$1:U1783)+1,""))</f>
        <v/>
      </c>
    </row>
    <row r="1785" customFormat="false" ht="15" hidden="false" customHeight="false" outlineLevel="0" collapsed="false">
      <c r="A1785" s="34"/>
      <c r="B1785" s="9"/>
      <c r="C1785" s="34"/>
      <c r="D1785" s="34"/>
      <c r="E1785" s="34"/>
      <c r="F1785" s="35"/>
      <c r="G1785" s="9"/>
      <c r="H1785" s="9"/>
      <c r="I1785" s="34"/>
      <c r="J1785" s="30" t="str">
        <f aca="false">IF(F1785="","",G1785-B1785)</f>
        <v/>
      </c>
      <c r="K1785" s="31" t="str">
        <f aca="false">IF(F1785="","",IF(H1785&lt;&gt;"",H1785,MAX('Vade Sapması'!$D$3,G1785)))</f>
        <v/>
      </c>
      <c r="L1785" s="30" t="str">
        <f aca="false">IF(F1785="","",K1785-B1785)</f>
        <v/>
      </c>
      <c r="M1785" s="30" t="str">
        <f aca="false">IF(F1785="","",L1785-J1785)</f>
        <v/>
      </c>
      <c r="N1785" s="32" t="str">
        <f aca="false">IF(F1785="","",IF(H1785&lt;&gt;"","Kapandı",IF('Vade Sapması'!$D$3&gt;G1785,"Açık · vadesi geçti","Açık · vadesi gelmedi")))</f>
        <v/>
      </c>
      <c r="O1785" s="30" t="str">
        <f aca="false">IF(F1785="","",IF(AND(H1785="",'Vade Sapması'!$D$3&gt;G1785),'Vade Sapması'!$D$3-G1785,0))</f>
        <v/>
      </c>
      <c r="P1785" s="33" t="str">
        <f aca="false">IF(F1785="","",F1785*J1785)</f>
        <v/>
      </c>
      <c r="Q1785" s="33" t="str">
        <f aca="false">IF(F1785="","",F1785*L1785)</f>
        <v/>
      </c>
      <c r="R1785" s="33" t="str">
        <f aca="false">IF(F1785="","",IF(H1785="",F1785,0))</f>
        <v/>
      </c>
      <c r="S1785" s="32" t="str">
        <f aca="false">IF(F1785="","",IF(N(O1785)=0,"",IF(O1785&lt;=30,"1-30",IF(O1785&lt;=60,"31-60",IF(O1785&lt;=90,"61-90","90+")))))</f>
        <v/>
      </c>
      <c r="T1785" s="32" t="str">
        <f aca="false">IF(F1785="","",IF(E1785="","Diğer",E1785))</f>
        <v/>
      </c>
      <c r="U1785" s="32" t="str">
        <f aca="false">IF(OR(F1785="",C1785=""),"",IF(COUNTIF($C$2:C1785,C1785)=1,MAX($U$1:U1784)+1,""))</f>
        <v/>
      </c>
    </row>
    <row r="1786" customFormat="false" ht="15" hidden="false" customHeight="false" outlineLevel="0" collapsed="false">
      <c r="A1786" s="34"/>
      <c r="B1786" s="9"/>
      <c r="C1786" s="34"/>
      <c r="D1786" s="34"/>
      <c r="E1786" s="34"/>
      <c r="F1786" s="35"/>
      <c r="G1786" s="9"/>
      <c r="H1786" s="9"/>
      <c r="I1786" s="34"/>
      <c r="J1786" s="30" t="str">
        <f aca="false">IF(F1786="","",G1786-B1786)</f>
        <v/>
      </c>
      <c r="K1786" s="31" t="str">
        <f aca="false">IF(F1786="","",IF(H1786&lt;&gt;"",H1786,MAX('Vade Sapması'!$D$3,G1786)))</f>
        <v/>
      </c>
      <c r="L1786" s="30" t="str">
        <f aca="false">IF(F1786="","",K1786-B1786)</f>
        <v/>
      </c>
      <c r="M1786" s="30" t="str">
        <f aca="false">IF(F1786="","",L1786-J1786)</f>
        <v/>
      </c>
      <c r="N1786" s="32" t="str">
        <f aca="false">IF(F1786="","",IF(H1786&lt;&gt;"","Kapandı",IF('Vade Sapması'!$D$3&gt;G1786,"Açık · vadesi geçti","Açık · vadesi gelmedi")))</f>
        <v/>
      </c>
      <c r="O1786" s="30" t="str">
        <f aca="false">IF(F1786="","",IF(AND(H1786="",'Vade Sapması'!$D$3&gt;G1786),'Vade Sapması'!$D$3-G1786,0))</f>
        <v/>
      </c>
      <c r="P1786" s="33" t="str">
        <f aca="false">IF(F1786="","",F1786*J1786)</f>
        <v/>
      </c>
      <c r="Q1786" s="33" t="str">
        <f aca="false">IF(F1786="","",F1786*L1786)</f>
        <v/>
      </c>
      <c r="R1786" s="33" t="str">
        <f aca="false">IF(F1786="","",IF(H1786="",F1786,0))</f>
        <v/>
      </c>
      <c r="S1786" s="32" t="str">
        <f aca="false">IF(F1786="","",IF(N(O1786)=0,"",IF(O1786&lt;=30,"1-30",IF(O1786&lt;=60,"31-60",IF(O1786&lt;=90,"61-90","90+")))))</f>
        <v/>
      </c>
      <c r="T1786" s="32" t="str">
        <f aca="false">IF(F1786="","",IF(E1786="","Diğer",E1786))</f>
        <v/>
      </c>
      <c r="U1786" s="32" t="str">
        <f aca="false">IF(OR(F1786="",C1786=""),"",IF(COUNTIF($C$2:C1786,C1786)=1,MAX($U$1:U1785)+1,""))</f>
        <v/>
      </c>
    </row>
    <row r="1787" customFormat="false" ht="15" hidden="false" customHeight="false" outlineLevel="0" collapsed="false">
      <c r="A1787" s="34"/>
      <c r="B1787" s="9"/>
      <c r="C1787" s="34"/>
      <c r="D1787" s="34"/>
      <c r="E1787" s="34"/>
      <c r="F1787" s="35"/>
      <c r="G1787" s="9"/>
      <c r="H1787" s="9"/>
      <c r="I1787" s="34"/>
      <c r="J1787" s="30" t="str">
        <f aca="false">IF(F1787="","",G1787-B1787)</f>
        <v/>
      </c>
      <c r="K1787" s="31" t="str">
        <f aca="false">IF(F1787="","",IF(H1787&lt;&gt;"",H1787,MAX('Vade Sapması'!$D$3,G1787)))</f>
        <v/>
      </c>
      <c r="L1787" s="30" t="str">
        <f aca="false">IF(F1787="","",K1787-B1787)</f>
        <v/>
      </c>
      <c r="M1787" s="30" t="str">
        <f aca="false">IF(F1787="","",L1787-J1787)</f>
        <v/>
      </c>
      <c r="N1787" s="32" t="str">
        <f aca="false">IF(F1787="","",IF(H1787&lt;&gt;"","Kapandı",IF('Vade Sapması'!$D$3&gt;G1787,"Açık · vadesi geçti","Açık · vadesi gelmedi")))</f>
        <v/>
      </c>
      <c r="O1787" s="30" t="str">
        <f aca="false">IF(F1787="","",IF(AND(H1787="",'Vade Sapması'!$D$3&gt;G1787),'Vade Sapması'!$D$3-G1787,0))</f>
        <v/>
      </c>
      <c r="P1787" s="33" t="str">
        <f aca="false">IF(F1787="","",F1787*J1787)</f>
        <v/>
      </c>
      <c r="Q1787" s="33" t="str">
        <f aca="false">IF(F1787="","",F1787*L1787)</f>
        <v/>
      </c>
      <c r="R1787" s="33" t="str">
        <f aca="false">IF(F1787="","",IF(H1787="",F1787,0))</f>
        <v/>
      </c>
      <c r="S1787" s="32" t="str">
        <f aca="false">IF(F1787="","",IF(N(O1787)=0,"",IF(O1787&lt;=30,"1-30",IF(O1787&lt;=60,"31-60",IF(O1787&lt;=90,"61-90","90+")))))</f>
        <v/>
      </c>
      <c r="T1787" s="32" t="str">
        <f aca="false">IF(F1787="","",IF(E1787="","Diğer",E1787))</f>
        <v/>
      </c>
      <c r="U1787" s="32" t="str">
        <f aca="false">IF(OR(F1787="",C1787=""),"",IF(COUNTIF($C$2:C1787,C1787)=1,MAX($U$1:U1786)+1,""))</f>
        <v/>
      </c>
    </row>
    <row r="1788" customFormat="false" ht="15" hidden="false" customHeight="false" outlineLevel="0" collapsed="false">
      <c r="A1788" s="34"/>
      <c r="B1788" s="9"/>
      <c r="C1788" s="34"/>
      <c r="D1788" s="34"/>
      <c r="E1788" s="34"/>
      <c r="F1788" s="35"/>
      <c r="G1788" s="9"/>
      <c r="H1788" s="9"/>
      <c r="I1788" s="34"/>
      <c r="J1788" s="30" t="str">
        <f aca="false">IF(F1788="","",G1788-B1788)</f>
        <v/>
      </c>
      <c r="K1788" s="31" t="str">
        <f aca="false">IF(F1788="","",IF(H1788&lt;&gt;"",H1788,MAX('Vade Sapması'!$D$3,G1788)))</f>
        <v/>
      </c>
      <c r="L1788" s="30" t="str">
        <f aca="false">IF(F1788="","",K1788-B1788)</f>
        <v/>
      </c>
      <c r="M1788" s="30" t="str">
        <f aca="false">IF(F1788="","",L1788-J1788)</f>
        <v/>
      </c>
      <c r="N1788" s="32" t="str">
        <f aca="false">IF(F1788="","",IF(H1788&lt;&gt;"","Kapandı",IF('Vade Sapması'!$D$3&gt;G1788,"Açık · vadesi geçti","Açık · vadesi gelmedi")))</f>
        <v/>
      </c>
      <c r="O1788" s="30" t="str">
        <f aca="false">IF(F1788="","",IF(AND(H1788="",'Vade Sapması'!$D$3&gt;G1788),'Vade Sapması'!$D$3-G1788,0))</f>
        <v/>
      </c>
      <c r="P1788" s="33" t="str">
        <f aca="false">IF(F1788="","",F1788*J1788)</f>
        <v/>
      </c>
      <c r="Q1788" s="33" t="str">
        <f aca="false">IF(F1788="","",F1788*L1788)</f>
        <v/>
      </c>
      <c r="R1788" s="33" t="str">
        <f aca="false">IF(F1788="","",IF(H1788="",F1788,0))</f>
        <v/>
      </c>
      <c r="S1788" s="32" t="str">
        <f aca="false">IF(F1788="","",IF(N(O1788)=0,"",IF(O1788&lt;=30,"1-30",IF(O1788&lt;=60,"31-60",IF(O1788&lt;=90,"61-90","90+")))))</f>
        <v/>
      </c>
      <c r="T1788" s="32" t="str">
        <f aca="false">IF(F1788="","",IF(E1788="","Diğer",E1788))</f>
        <v/>
      </c>
      <c r="U1788" s="32" t="str">
        <f aca="false">IF(OR(F1788="",C1788=""),"",IF(COUNTIF($C$2:C1788,C1788)=1,MAX($U$1:U1787)+1,""))</f>
        <v/>
      </c>
    </row>
    <row r="1789" customFormat="false" ht="15" hidden="false" customHeight="false" outlineLevel="0" collapsed="false">
      <c r="A1789" s="34"/>
      <c r="B1789" s="9"/>
      <c r="C1789" s="34"/>
      <c r="D1789" s="34"/>
      <c r="E1789" s="34"/>
      <c r="F1789" s="35"/>
      <c r="G1789" s="9"/>
      <c r="H1789" s="9"/>
      <c r="I1789" s="34"/>
      <c r="J1789" s="30" t="str">
        <f aca="false">IF(F1789="","",G1789-B1789)</f>
        <v/>
      </c>
      <c r="K1789" s="31" t="str">
        <f aca="false">IF(F1789="","",IF(H1789&lt;&gt;"",H1789,MAX('Vade Sapması'!$D$3,G1789)))</f>
        <v/>
      </c>
      <c r="L1789" s="30" t="str">
        <f aca="false">IF(F1789="","",K1789-B1789)</f>
        <v/>
      </c>
      <c r="M1789" s="30" t="str">
        <f aca="false">IF(F1789="","",L1789-J1789)</f>
        <v/>
      </c>
      <c r="N1789" s="32" t="str">
        <f aca="false">IF(F1789="","",IF(H1789&lt;&gt;"","Kapandı",IF('Vade Sapması'!$D$3&gt;G1789,"Açık · vadesi geçti","Açık · vadesi gelmedi")))</f>
        <v/>
      </c>
      <c r="O1789" s="30" t="str">
        <f aca="false">IF(F1789="","",IF(AND(H1789="",'Vade Sapması'!$D$3&gt;G1789),'Vade Sapması'!$D$3-G1789,0))</f>
        <v/>
      </c>
      <c r="P1789" s="33" t="str">
        <f aca="false">IF(F1789="","",F1789*J1789)</f>
        <v/>
      </c>
      <c r="Q1789" s="33" t="str">
        <f aca="false">IF(F1789="","",F1789*L1789)</f>
        <v/>
      </c>
      <c r="R1789" s="33" t="str">
        <f aca="false">IF(F1789="","",IF(H1789="",F1789,0))</f>
        <v/>
      </c>
      <c r="S1789" s="32" t="str">
        <f aca="false">IF(F1789="","",IF(N(O1789)=0,"",IF(O1789&lt;=30,"1-30",IF(O1789&lt;=60,"31-60",IF(O1789&lt;=90,"61-90","90+")))))</f>
        <v/>
      </c>
      <c r="T1789" s="32" t="str">
        <f aca="false">IF(F1789="","",IF(E1789="","Diğer",E1789))</f>
        <v/>
      </c>
      <c r="U1789" s="32" t="str">
        <f aca="false">IF(OR(F1789="",C1789=""),"",IF(COUNTIF($C$2:C1789,C1789)=1,MAX($U$1:U1788)+1,""))</f>
        <v/>
      </c>
    </row>
    <row r="1790" customFormat="false" ht="15" hidden="false" customHeight="false" outlineLevel="0" collapsed="false">
      <c r="A1790" s="34"/>
      <c r="B1790" s="9"/>
      <c r="C1790" s="34"/>
      <c r="D1790" s="34"/>
      <c r="E1790" s="34"/>
      <c r="F1790" s="35"/>
      <c r="G1790" s="9"/>
      <c r="H1790" s="9"/>
      <c r="I1790" s="34"/>
      <c r="J1790" s="30" t="str">
        <f aca="false">IF(F1790="","",G1790-B1790)</f>
        <v/>
      </c>
      <c r="K1790" s="31" t="str">
        <f aca="false">IF(F1790="","",IF(H1790&lt;&gt;"",H1790,MAX('Vade Sapması'!$D$3,G1790)))</f>
        <v/>
      </c>
      <c r="L1790" s="30" t="str">
        <f aca="false">IF(F1790="","",K1790-B1790)</f>
        <v/>
      </c>
      <c r="M1790" s="30" t="str">
        <f aca="false">IF(F1790="","",L1790-J1790)</f>
        <v/>
      </c>
      <c r="N1790" s="32" t="str">
        <f aca="false">IF(F1790="","",IF(H1790&lt;&gt;"","Kapandı",IF('Vade Sapması'!$D$3&gt;G1790,"Açık · vadesi geçti","Açık · vadesi gelmedi")))</f>
        <v/>
      </c>
      <c r="O1790" s="30" t="str">
        <f aca="false">IF(F1790="","",IF(AND(H1790="",'Vade Sapması'!$D$3&gt;G1790),'Vade Sapması'!$D$3-G1790,0))</f>
        <v/>
      </c>
      <c r="P1790" s="33" t="str">
        <f aca="false">IF(F1790="","",F1790*J1790)</f>
        <v/>
      </c>
      <c r="Q1790" s="33" t="str">
        <f aca="false">IF(F1790="","",F1790*L1790)</f>
        <v/>
      </c>
      <c r="R1790" s="33" t="str">
        <f aca="false">IF(F1790="","",IF(H1790="",F1790,0))</f>
        <v/>
      </c>
      <c r="S1790" s="32" t="str">
        <f aca="false">IF(F1790="","",IF(N(O1790)=0,"",IF(O1790&lt;=30,"1-30",IF(O1790&lt;=60,"31-60",IF(O1790&lt;=90,"61-90","90+")))))</f>
        <v/>
      </c>
      <c r="T1790" s="32" t="str">
        <f aca="false">IF(F1790="","",IF(E1790="","Diğer",E1790))</f>
        <v/>
      </c>
      <c r="U1790" s="32" t="str">
        <f aca="false">IF(OR(F1790="",C1790=""),"",IF(COUNTIF($C$2:C1790,C1790)=1,MAX($U$1:U1789)+1,""))</f>
        <v/>
      </c>
    </row>
    <row r="1791" customFormat="false" ht="15" hidden="false" customHeight="false" outlineLevel="0" collapsed="false">
      <c r="A1791" s="34"/>
      <c r="B1791" s="9"/>
      <c r="C1791" s="34"/>
      <c r="D1791" s="34"/>
      <c r="E1791" s="34"/>
      <c r="F1791" s="35"/>
      <c r="G1791" s="9"/>
      <c r="H1791" s="9"/>
      <c r="I1791" s="34"/>
      <c r="J1791" s="30" t="str">
        <f aca="false">IF(F1791="","",G1791-B1791)</f>
        <v/>
      </c>
      <c r="K1791" s="31" t="str">
        <f aca="false">IF(F1791="","",IF(H1791&lt;&gt;"",H1791,MAX('Vade Sapması'!$D$3,G1791)))</f>
        <v/>
      </c>
      <c r="L1791" s="30" t="str">
        <f aca="false">IF(F1791="","",K1791-B1791)</f>
        <v/>
      </c>
      <c r="M1791" s="30" t="str">
        <f aca="false">IF(F1791="","",L1791-J1791)</f>
        <v/>
      </c>
      <c r="N1791" s="32" t="str">
        <f aca="false">IF(F1791="","",IF(H1791&lt;&gt;"","Kapandı",IF('Vade Sapması'!$D$3&gt;G1791,"Açık · vadesi geçti","Açık · vadesi gelmedi")))</f>
        <v/>
      </c>
      <c r="O1791" s="30" t="str">
        <f aca="false">IF(F1791="","",IF(AND(H1791="",'Vade Sapması'!$D$3&gt;G1791),'Vade Sapması'!$D$3-G1791,0))</f>
        <v/>
      </c>
      <c r="P1791" s="33" t="str">
        <f aca="false">IF(F1791="","",F1791*J1791)</f>
        <v/>
      </c>
      <c r="Q1791" s="33" t="str">
        <f aca="false">IF(F1791="","",F1791*L1791)</f>
        <v/>
      </c>
      <c r="R1791" s="33" t="str">
        <f aca="false">IF(F1791="","",IF(H1791="",F1791,0))</f>
        <v/>
      </c>
      <c r="S1791" s="32" t="str">
        <f aca="false">IF(F1791="","",IF(N(O1791)=0,"",IF(O1791&lt;=30,"1-30",IF(O1791&lt;=60,"31-60",IF(O1791&lt;=90,"61-90","90+")))))</f>
        <v/>
      </c>
      <c r="T1791" s="32" t="str">
        <f aca="false">IF(F1791="","",IF(E1791="","Diğer",E1791))</f>
        <v/>
      </c>
      <c r="U1791" s="32" t="str">
        <f aca="false">IF(OR(F1791="",C1791=""),"",IF(COUNTIF($C$2:C1791,C1791)=1,MAX($U$1:U1790)+1,""))</f>
        <v/>
      </c>
    </row>
    <row r="1792" customFormat="false" ht="15" hidden="false" customHeight="false" outlineLevel="0" collapsed="false">
      <c r="A1792" s="34"/>
      <c r="B1792" s="9"/>
      <c r="C1792" s="34"/>
      <c r="D1792" s="34"/>
      <c r="E1792" s="34"/>
      <c r="F1792" s="35"/>
      <c r="G1792" s="9"/>
      <c r="H1792" s="9"/>
      <c r="I1792" s="34"/>
      <c r="J1792" s="30" t="str">
        <f aca="false">IF(F1792="","",G1792-B1792)</f>
        <v/>
      </c>
      <c r="K1792" s="31" t="str">
        <f aca="false">IF(F1792="","",IF(H1792&lt;&gt;"",H1792,MAX('Vade Sapması'!$D$3,G1792)))</f>
        <v/>
      </c>
      <c r="L1792" s="30" t="str">
        <f aca="false">IF(F1792="","",K1792-B1792)</f>
        <v/>
      </c>
      <c r="M1792" s="30" t="str">
        <f aca="false">IF(F1792="","",L1792-J1792)</f>
        <v/>
      </c>
      <c r="N1792" s="32" t="str">
        <f aca="false">IF(F1792="","",IF(H1792&lt;&gt;"","Kapandı",IF('Vade Sapması'!$D$3&gt;G1792,"Açık · vadesi geçti","Açık · vadesi gelmedi")))</f>
        <v/>
      </c>
      <c r="O1792" s="30" t="str">
        <f aca="false">IF(F1792="","",IF(AND(H1792="",'Vade Sapması'!$D$3&gt;G1792),'Vade Sapması'!$D$3-G1792,0))</f>
        <v/>
      </c>
      <c r="P1792" s="33" t="str">
        <f aca="false">IF(F1792="","",F1792*J1792)</f>
        <v/>
      </c>
      <c r="Q1792" s="33" t="str">
        <f aca="false">IF(F1792="","",F1792*L1792)</f>
        <v/>
      </c>
      <c r="R1792" s="33" t="str">
        <f aca="false">IF(F1792="","",IF(H1792="",F1792,0))</f>
        <v/>
      </c>
      <c r="S1792" s="32" t="str">
        <f aca="false">IF(F1792="","",IF(N(O1792)=0,"",IF(O1792&lt;=30,"1-30",IF(O1792&lt;=60,"31-60",IF(O1792&lt;=90,"61-90","90+")))))</f>
        <v/>
      </c>
      <c r="T1792" s="32" t="str">
        <f aca="false">IF(F1792="","",IF(E1792="","Diğer",E1792))</f>
        <v/>
      </c>
      <c r="U1792" s="32" t="str">
        <f aca="false">IF(OR(F1792="",C1792=""),"",IF(COUNTIF($C$2:C1792,C1792)=1,MAX($U$1:U1791)+1,""))</f>
        <v/>
      </c>
    </row>
    <row r="1793" customFormat="false" ht="15" hidden="false" customHeight="false" outlineLevel="0" collapsed="false">
      <c r="A1793" s="34"/>
      <c r="B1793" s="9"/>
      <c r="C1793" s="34"/>
      <c r="D1793" s="34"/>
      <c r="E1793" s="34"/>
      <c r="F1793" s="35"/>
      <c r="G1793" s="9"/>
      <c r="H1793" s="9"/>
      <c r="I1793" s="34"/>
      <c r="J1793" s="30" t="str">
        <f aca="false">IF(F1793="","",G1793-B1793)</f>
        <v/>
      </c>
      <c r="K1793" s="31" t="str">
        <f aca="false">IF(F1793="","",IF(H1793&lt;&gt;"",H1793,MAX('Vade Sapması'!$D$3,G1793)))</f>
        <v/>
      </c>
      <c r="L1793" s="30" t="str">
        <f aca="false">IF(F1793="","",K1793-B1793)</f>
        <v/>
      </c>
      <c r="M1793" s="30" t="str">
        <f aca="false">IF(F1793="","",L1793-J1793)</f>
        <v/>
      </c>
      <c r="N1793" s="32" t="str">
        <f aca="false">IF(F1793="","",IF(H1793&lt;&gt;"","Kapandı",IF('Vade Sapması'!$D$3&gt;G1793,"Açık · vadesi geçti","Açık · vadesi gelmedi")))</f>
        <v/>
      </c>
      <c r="O1793" s="30" t="str">
        <f aca="false">IF(F1793="","",IF(AND(H1793="",'Vade Sapması'!$D$3&gt;G1793),'Vade Sapması'!$D$3-G1793,0))</f>
        <v/>
      </c>
      <c r="P1793" s="33" t="str">
        <f aca="false">IF(F1793="","",F1793*J1793)</f>
        <v/>
      </c>
      <c r="Q1793" s="33" t="str">
        <f aca="false">IF(F1793="","",F1793*L1793)</f>
        <v/>
      </c>
      <c r="R1793" s="33" t="str">
        <f aca="false">IF(F1793="","",IF(H1793="",F1793,0))</f>
        <v/>
      </c>
      <c r="S1793" s="32" t="str">
        <f aca="false">IF(F1793="","",IF(N(O1793)=0,"",IF(O1793&lt;=30,"1-30",IF(O1793&lt;=60,"31-60",IF(O1793&lt;=90,"61-90","90+")))))</f>
        <v/>
      </c>
      <c r="T1793" s="32" t="str">
        <f aca="false">IF(F1793="","",IF(E1793="","Diğer",E1793))</f>
        <v/>
      </c>
      <c r="U1793" s="32" t="str">
        <f aca="false">IF(OR(F1793="",C1793=""),"",IF(COUNTIF($C$2:C1793,C1793)=1,MAX($U$1:U1792)+1,""))</f>
        <v/>
      </c>
    </row>
    <row r="1794" customFormat="false" ht="15" hidden="false" customHeight="false" outlineLevel="0" collapsed="false">
      <c r="A1794" s="34"/>
      <c r="B1794" s="9"/>
      <c r="C1794" s="34"/>
      <c r="D1794" s="34"/>
      <c r="E1794" s="34"/>
      <c r="F1794" s="35"/>
      <c r="G1794" s="9"/>
      <c r="H1794" s="9"/>
      <c r="I1794" s="34"/>
      <c r="J1794" s="30" t="str">
        <f aca="false">IF(F1794="","",G1794-B1794)</f>
        <v/>
      </c>
      <c r="K1794" s="31" t="str">
        <f aca="false">IF(F1794="","",IF(H1794&lt;&gt;"",H1794,MAX('Vade Sapması'!$D$3,G1794)))</f>
        <v/>
      </c>
      <c r="L1794" s="30" t="str">
        <f aca="false">IF(F1794="","",K1794-B1794)</f>
        <v/>
      </c>
      <c r="M1794" s="30" t="str">
        <f aca="false">IF(F1794="","",L1794-J1794)</f>
        <v/>
      </c>
      <c r="N1794" s="32" t="str">
        <f aca="false">IF(F1794="","",IF(H1794&lt;&gt;"","Kapandı",IF('Vade Sapması'!$D$3&gt;G1794,"Açık · vadesi geçti","Açık · vadesi gelmedi")))</f>
        <v/>
      </c>
      <c r="O1794" s="30" t="str">
        <f aca="false">IF(F1794="","",IF(AND(H1794="",'Vade Sapması'!$D$3&gt;G1794),'Vade Sapması'!$D$3-G1794,0))</f>
        <v/>
      </c>
      <c r="P1794" s="33" t="str">
        <f aca="false">IF(F1794="","",F1794*J1794)</f>
        <v/>
      </c>
      <c r="Q1794" s="33" t="str">
        <f aca="false">IF(F1794="","",F1794*L1794)</f>
        <v/>
      </c>
      <c r="R1794" s="33" t="str">
        <f aca="false">IF(F1794="","",IF(H1794="",F1794,0))</f>
        <v/>
      </c>
      <c r="S1794" s="32" t="str">
        <f aca="false">IF(F1794="","",IF(N(O1794)=0,"",IF(O1794&lt;=30,"1-30",IF(O1794&lt;=60,"31-60",IF(O1794&lt;=90,"61-90","90+")))))</f>
        <v/>
      </c>
      <c r="T1794" s="32" t="str">
        <f aca="false">IF(F1794="","",IF(E1794="","Diğer",E1794))</f>
        <v/>
      </c>
      <c r="U1794" s="32" t="str">
        <f aca="false">IF(OR(F1794="",C1794=""),"",IF(COUNTIF($C$2:C1794,C1794)=1,MAX($U$1:U1793)+1,""))</f>
        <v/>
      </c>
    </row>
    <row r="1795" customFormat="false" ht="15" hidden="false" customHeight="false" outlineLevel="0" collapsed="false">
      <c r="A1795" s="34"/>
      <c r="B1795" s="9"/>
      <c r="C1795" s="34"/>
      <c r="D1795" s="34"/>
      <c r="E1795" s="34"/>
      <c r="F1795" s="35"/>
      <c r="G1795" s="9"/>
      <c r="H1795" s="9"/>
      <c r="I1795" s="34"/>
      <c r="J1795" s="30" t="str">
        <f aca="false">IF(F1795="","",G1795-B1795)</f>
        <v/>
      </c>
      <c r="K1795" s="31" t="str">
        <f aca="false">IF(F1795="","",IF(H1795&lt;&gt;"",H1795,MAX('Vade Sapması'!$D$3,G1795)))</f>
        <v/>
      </c>
      <c r="L1795" s="30" t="str">
        <f aca="false">IF(F1795="","",K1795-B1795)</f>
        <v/>
      </c>
      <c r="M1795" s="30" t="str">
        <f aca="false">IF(F1795="","",L1795-J1795)</f>
        <v/>
      </c>
      <c r="N1795" s="32" t="str">
        <f aca="false">IF(F1795="","",IF(H1795&lt;&gt;"","Kapandı",IF('Vade Sapması'!$D$3&gt;G1795,"Açık · vadesi geçti","Açık · vadesi gelmedi")))</f>
        <v/>
      </c>
      <c r="O1795" s="30" t="str">
        <f aca="false">IF(F1795="","",IF(AND(H1795="",'Vade Sapması'!$D$3&gt;G1795),'Vade Sapması'!$D$3-G1795,0))</f>
        <v/>
      </c>
      <c r="P1795" s="33" t="str">
        <f aca="false">IF(F1795="","",F1795*J1795)</f>
        <v/>
      </c>
      <c r="Q1795" s="33" t="str">
        <f aca="false">IF(F1795="","",F1795*L1795)</f>
        <v/>
      </c>
      <c r="R1795" s="33" t="str">
        <f aca="false">IF(F1795="","",IF(H1795="",F1795,0))</f>
        <v/>
      </c>
      <c r="S1795" s="32" t="str">
        <f aca="false">IF(F1795="","",IF(N(O1795)=0,"",IF(O1795&lt;=30,"1-30",IF(O1795&lt;=60,"31-60",IF(O1795&lt;=90,"61-90","90+")))))</f>
        <v/>
      </c>
      <c r="T1795" s="32" t="str">
        <f aca="false">IF(F1795="","",IF(E1795="","Diğer",E1795))</f>
        <v/>
      </c>
      <c r="U1795" s="32" t="str">
        <f aca="false">IF(OR(F1795="",C1795=""),"",IF(COUNTIF($C$2:C1795,C1795)=1,MAX($U$1:U1794)+1,""))</f>
        <v/>
      </c>
    </row>
    <row r="1796" customFormat="false" ht="15" hidden="false" customHeight="false" outlineLevel="0" collapsed="false">
      <c r="A1796" s="34"/>
      <c r="B1796" s="9"/>
      <c r="C1796" s="34"/>
      <c r="D1796" s="34"/>
      <c r="E1796" s="34"/>
      <c r="F1796" s="35"/>
      <c r="G1796" s="9"/>
      <c r="H1796" s="9"/>
      <c r="I1796" s="34"/>
      <c r="J1796" s="30" t="str">
        <f aca="false">IF(F1796="","",G1796-B1796)</f>
        <v/>
      </c>
      <c r="K1796" s="31" t="str">
        <f aca="false">IF(F1796="","",IF(H1796&lt;&gt;"",H1796,MAX('Vade Sapması'!$D$3,G1796)))</f>
        <v/>
      </c>
      <c r="L1796" s="30" t="str">
        <f aca="false">IF(F1796="","",K1796-B1796)</f>
        <v/>
      </c>
      <c r="M1796" s="30" t="str">
        <f aca="false">IF(F1796="","",L1796-J1796)</f>
        <v/>
      </c>
      <c r="N1796" s="32" t="str">
        <f aca="false">IF(F1796="","",IF(H1796&lt;&gt;"","Kapandı",IF('Vade Sapması'!$D$3&gt;G1796,"Açık · vadesi geçti","Açık · vadesi gelmedi")))</f>
        <v/>
      </c>
      <c r="O1796" s="30" t="str">
        <f aca="false">IF(F1796="","",IF(AND(H1796="",'Vade Sapması'!$D$3&gt;G1796),'Vade Sapması'!$D$3-G1796,0))</f>
        <v/>
      </c>
      <c r="P1796" s="33" t="str">
        <f aca="false">IF(F1796="","",F1796*J1796)</f>
        <v/>
      </c>
      <c r="Q1796" s="33" t="str">
        <f aca="false">IF(F1796="","",F1796*L1796)</f>
        <v/>
      </c>
      <c r="R1796" s="33" t="str">
        <f aca="false">IF(F1796="","",IF(H1796="",F1796,0))</f>
        <v/>
      </c>
      <c r="S1796" s="32" t="str">
        <f aca="false">IF(F1796="","",IF(N(O1796)=0,"",IF(O1796&lt;=30,"1-30",IF(O1796&lt;=60,"31-60",IF(O1796&lt;=90,"61-90","90+")))))</f>
        <v/>
      </c>
      <c r="T1796" s="32" t="str">
        <f aca="false">IF(F1796="","",IF(E1796="","Diğer",E1796))</f>
        <v/>
      </c>
      <c r="U1796" s="32" t="str">
        <f aca="false">IF(OR(F1796="",C1796=""),"",IF(COUNTIF($C$2:C1796,C1796)=1,MAX($U$1:U1795)+1,""))</f>
        <v/>
      </c>
    </row>
    <row r="1797" customFormat="false" ht="15" hidden="false" customHeight="false" outlineLevel="0" collapsed="false">
      <c r="A1797" s="34"/>
      <c r="B1797" s="9"/>
      <c r="C1797" s="34"/>
      <c r="D1797" s="34"/>
      <c r="E1797" s="34"/>
      <c r="F1797" s="35"/>
      <c r="G1797" s="9"/>
      <c r="H1797" s="9"/>
      <c r="I1797" s="34"/>
      <c r="J1797" s="30" t="str">
        <f aca="false">IF(F1797="","",G1797-B1797)</f>
        <v/>
      </c>
      <c r="K1797" s="31" t="str">
        <f aca="false">IF(F1797="","",IF(H1797&lt;&gt;"",H1797,MAX('Vade Sapması'!$D$3,G1797)))</f>
        <v/>
      </c>
      <c r="L1797" s="30" t="str">
        <f aca="false">IF(F1797="","",K1797-B1797)</f>
        <v/>
      </c>
      <c r="M1797" s="30" t="str">
        <f aca="false">IF(F1797="","",L1797-J1797)</f>
        <v/>
      </c>
      <c r="N1797" s="32" t="str">
        <f aca="false">IF(F1797="","",IF(H1797&lt;&gt;"","Kapandı",IF('Vade Sapması'!$D$3&gt;G1797,"Açık · vadesi geçti","Açık · vadesi gelmedi")))</f>
        <v/>
      </c>
      <c r="O1797" s="30" t="str">
        <f aca="false">IF(F1797="","",IF(AND(H1797="",'Vade Sapması'!$D$3&gt;G1797),'Vade Sapması'!$D$3-G1797,0))</f>
        <v/>
      </c>
      <c r="P1797" s="33" t="str">
        <f aca="false">IF(F1797="","",F1797*J1797)</f>
        <v/>
      </c>
      <c r="Q1797" s="33" t="str">
        <f aca="false">IF(F1797="","",F1797*L1797)</f>
        <v/>
      </c>
      <c r="R1797" s="33" t="str">
        <f aca="false">IF(F1797="","",IF(H1797="",F1797,0))</f>
        <v/>
      </c>
      <c r="S1797" s="32" t="str">
        <f aca="false">IF(F1797="","",IF(N(O1797)=0,"",IF(O1797&lt;=30,"1-30",IF(O1797&lt;=60,"31-60",IF(O1797&lt;=90,"61-90","90+")))))</f>
        <v/>
      </c>
      <c r="T1797" s="32" t="str">
        <f aca="false">IF(F1797="","",IF(E1797="","Diğer",E1797))</f>
        <v/>
      </c>
      <c r="U1797" s="32" t="str">
        <f aca="false">IF(OR(F1797="",C1797=""),"",IF(COUNTIF($C$2:C1797,C1797)=1,MAX($U$1:U1796)+1,""))</f>
        <v/>
      </c>
    </row>
    <row r="1798" customFormat="false" ht="15" hidden="false" customHeight="false" outlineLevel="0" collapsed="false">
      <c r="A1798" s="34"/>
      <c r="B1798" s="9"/>
      <c r="C1798" s="34"/>
      <c r="D1798" s="34"/>
      <c r="E1798" s="34"/>
      <c r="F1798" s="35"/>
      <c r="G1798" s="9"/>
      <c r="H1798" s="9"/>
      <c r="I1798" s="34"/>
      <c r="J1798" s="30" t="str">
        <f aca="false">IF(F1798="","",G1798-B1798)</f>
        <v/>
      </c>
      <c r="K1798" s="31" t="str">
        <f aca="false">IF(F1798="","",IF(H1798&lt;&gt;"",H1798,MAX('Vade Sapması'!$D$3,G1798)))</f>
        <v/>
      </c>
      <c r="L1798" s="30" t="str">
        <f aca="false">IF(F1798="","",K1798-B1798)</f>
        <v/>
      </c>
      <c r="M1798" s="30" t="str">
        <f aca="false">IF(F1798="","",L1798-J1798)</f>
        <v/>
      </c>
      <c r="N1798" s="32" t="str">
        <f aca="false">IF(F1798="","",IF(H1798&lt;&gt;"","Kapandı",IF('Vade Sapması'!$D$3&gt;G1798,"Açık · vadesi geçti","Açık · vadesi gelmedi")))</f>
        <v/>
      </c>
      <c r="O1798" s="30" t="str">
        <f aca="false">IF(F1798="","",IF(AND(H1798="",'Vade Sapması'!$D$3&gt;G1798),'Vade Sapması'!$D$3-G1798,0))</f>
        <v/>
      </c>
      <c r="P1798" s="33" t="str">
        <f aca="false">IF(F1798="","",F1798*J1798)</f>
        <v/>
      </c>
      <c r="Q1798" s="33" t="str">
        <f aca="false">IF(F1798="","",F1798*L1798)</f>
        <v/>
      </c>
      <c r="R1798" s="33" t="str">
        <f aca="false">IF(F1798="","",IF(H1798="",F1798,0))</f>
        <v/>
      </c>
      <c r="S1798" s="32" t="str">
        <f aca="false">IF(F1798="","",IF(N(O1798)=0,"",IF(O1798&lt;=30,"1-30",IF(O1798&lt;=60,"31-60",IF(O1798&lt;=90,"61-90","90+")))))</f>
        <v/>
      </c>
      <c r="T1798" s="32" t="str">
        <f aca="false">IF(F1798="","",IF(E1798="","Diğer",E1798))</f>
        <v/>
      </c>
      <c r="U1798" s="32" t="str">
        <f aca="false">IF(OR(F1798="",C1798=""),"",IF(COUNTIF($C$2:C1798,C1798)=1,MAX($U$1:U1797)+1,""))</f>
        <v/>
      </c>
    </row>
    <row r="1799" customFormat="false" ht="15" hidden="false" customHeight="false" outlineLevel="0" collapsed="false">
      <c r="A1799" s="34"/>
      <c r="B1799" s="9"/>
      <c r="C1799" s="34"/>
      <c r="D1799" s="34"/>
      <c r="E1799" s="34"/>
      <c r="F1799" s="35"/>
      <c r="G1799" s="9"/>
      <c r="H1799" s="9"/>
      <c r="I1799" s="34"/>
      <c r="J1799" s="30" t="str">
        <f aca="false">IF(F1799="","",G1799-B1799)</f>
        <v/>
      </c>
      <c r="K1799" s="31" t="str">
        <f aca="false">IF(F1799="","",IF(H1799&lt;&gt;"",H1799,MAX('Vade Sapması'!$D$3,G1799)))</f>
        <v/>
      </c>
      <c r="L1799" s="30" t="str">
        <f aca="false">IF(F1799="","",K1799-B1799)</f>
        <v/>
      </c>
      <c r="M1799" s="30" t="str">
        <f aca="false">IF(F1799="","",L1799-J1799)</f>
        <v/>
      </c>
      <c r="N1799" s="32" t="str">
        <f aca="false">IF(F1799="","",IF(H1799&lt;&gt;"","Kapandı",IF('Vade Sapması'!$D$3&gt;G1799,"Açık · vadesi geçti","Açık · vadesi gelmedi")))</f>
        <v/>
      </c>
      <c r="O1799" s="30" t="str">
        <f aca="false">IF(F1799="","",IF(AND(H1799="",'Vade Sapması'!$D$3&gt;G1799),'Vade Sapması'!$D$3-G1799,0))</f>
        <v/>
      </c>
      <c r="P1799" s="33" t="str">
        <f aca="false">IF(F1799="","",F1799*J1799)</f>
        <v/>
      </c>
      <c r="Q1799" s="33" t="str">
        <f aca="false">IF(F1799="","",F1799*L1799)</f>
        <v/>
      </c>
      <c r="R1799" s="33" t="str">
        <f aca="false">IF(F1799="","",IF(H1799="",F1799,0))</f>
        <v/>
      </c>
      <c r="S1799" s="32" t="str">
        <f aca="false">IF(F1799="","",IF(N(O1799)=0,"",IF(O1799&lt;=30,"1-30",IF(O1799&lt;=60,"31-60",IF(O1799&lt;=90,"61-90","90+")))))</f>
        <v/>
      </c>
      <c r="T1799" s="32" t="str">
        <f aca="false">IF(F1799="","",IF(E1799="","Diğer",E1799))</f>
        <v/>
      </c>
      <c r="U1799" s="32" t="str">
        <f aca="false">IF(OR(F1799="",C1799=""),"",IF(COUNTIF($C$2:C1799,C1799)=1,MAX($U$1:U1798)+1,""))</f>
        <v/>
      </c>
    </row>
    <row r="1800" customFormat="false" ht="15" hidden="false" customHeight="false" outlineLevel="0" collapsed="false">
      <c r="A1800" s="34"/>
      <c r="B1800" s="9"/>
      <c r="C1800" s="34"/>
      <c r="D1800" s="34"/>
      <c r="E1800" s="34"/>
      <c r="F1800" s="35"/>
      <c r="G1800" s="9"/>
      <c r="H1800" s="9"/>
      <c r="I1800" s="34"/>
      <c r="J1800" s="30" t="str">
        <f aca="false">IF(F1800="","",G1800-B1800)</f>
        <v/>
      </c>
      <c r="K1800" s="31" t="str">
        <f aca="false">IF(F1800="","",IF(H1800&lt;&gt;"",H1800,MAX('Vade Sapması'!$D$3,G1800)))</f>
        <v/>
      </c>
      <c r="L1800" s="30" t="str">
        <f aca="false">IF(F1800="","",K1800-B1800)</f>
        <v/>
      </c>
      <c r="M1800" s="30" t="str">
        <f aca="false">IF(F1800="","",L1800-J1800)</f>
        <v/>
      </c>
      <c r="N1800" s="32" t="str">
        <f aca="false">IF(F1800="","",IF(H1800&lt;&gt;"","Kapandı",IF('Vade Sapması'!$D$3&gt;G1800,"Açık · vadesi geçti","Açık · vadesi gelmedi")))</f>
        <v/>
      </c>
      <c r="O1800" s="30" t="str">
        <f aca="false">IF(F1800="","",IF(AND(H1800="",'Vade Sapması'!$D$3&gt;G1800),'Vade Sapması'!$D$3-G1800,0))</f>
        <v/>
      </c>
      <c r="P1800" s="33" t="str">
        <f aca="false">IF(F1800="","",F1800*J1800)</f>
        <v/>
      </c>
      <c r="Q1800" s="33" t="str">
        <f aca="false">IF(F1800="","",F1800*L1800)</f>
        <v/>
      </c>
      <c r="R1800" s="33" t="str">
        <f aca="false">IF(F1800="","",IF(H1800="",F1800,0))</f>
        <v/>
      </c>
      <c r="S1800" s="32" t="str">
        <f aca="false">IF(F1800="","",IF(N(O1800)=0,"",IF(O1800&lt;=30,"1-30",IF(O1800&lt;=60,"31-60",IF(O1800&lt;=90,"61-90","90+")))))</f>
        <v/>
      </c>
      <c r="T1800" s="32" t="str">
        <f aca="false">IF(F1800="","",IF(E1800="","Diğer",E1800))</f>
        <v/>
      </c>
      <c r="U1800" s="32" t="str">
        <f aca="false">IF(OR(F1800="",C1800=""),"",IF(COUNTIF($C$2:C1800,C1800)=1,MAX($U$1:U1799)+1,""))</f>
        <v/>
      </c>
    </row>
    <row r="1801" customFormat="false" ht="15" hidden="false" customHeight="false" outlineLevel="0" collapsed="false">
      <c r="A1801" s="34"/>
      <c r="B1801" s="9"/>
      <c r="C1801" s="34"/>
      <c r="D1801" s="34"/>
      <c r="E1801" s="34"/>
      <c r="F1801" s="35"/>
      <c r="G1801" s="9"/>
      <c r="H1801" s="9"/>
      <c r="I1801" s="34"/>
      <c r="J1801" s="30" t="str">
        <f aca="false">IF(F1801="","",G1801-B1801)</f>
        <v/>
      </c>
      <c r="K1801" s="31" t="str">
        <f aca="false">IF(F1801="","",IF(H1801&lt;&gt;"",H1801,MAX('Vade Sapması'!$D$3,G1801)))</f>
        <v/>
      </c>
      <c r="L1801" s="30" t="str">
        <f aca="false">IF(F1801="","",K1801-B1801)</f>
        <v/>
      </c>
      <c r="M1801" s="30" t="str">
        <f aca="false">IF(F1801="","",L1801-J1801)</f>
        <v/>
      </c>
      <c r="N1801" s="32" t="str">
        <f aca="false">IF(F1801="","",IF(H1801&lt;&gt;"","Kapandı",IF('Vade Sapması'!$D$3&gt;G1801,"Açık · vadesi geçti","Açık · vadesi gelmedi")))</f>
        <v/>
      </c>
      <c r="O1801" s="30" t="str">
        <f aca="false">IF(F1801="","",IF(AND(H1801="",'Vade Sapması'!$D$3&gt;G1801),'Vade Sapması'!$D$3-G1801,0))</f>
        <v/>
      </c>
      <c r="P1801" s="33" t="str">
        <f aca="false">IF(F1801="","",F1801*J1801)</f>
        <v/>
      </c>
      <c r="Q1801" s="33" t="str">
        <f aca="false">IF(F1801="","",F1801*L1801)</f>
        <v/>
      </c>
      <c r="R1801" s="33" t="str">
        <f aca="false">IF(F1801="","",IF(H1801="",F1801,0))</f>
        <v/>
      </c>
      <c r="S1801" s="32" t="str">
        <f aca="false">IF(F1801="","",IF(N(O1801)=0,"",IF(O1801&lt;=30,"1-30",IF(O1801&lt;=60,"31-60",IF(O1801&lt;=90,"61-90","90+")))))</f>
        <v/>
      </c>
      <c r="T1801" s="32" t="str">
        <f aca="false">IF(F1801="","",IF(E1801="","Diğer",E1801))</f>
        <v/>
      </c>
      <c r="U1801" s="32" t="str">
        <f aca="false">IF(OR(F1801="",C1801=""),"",IF(COUNTIF($C$2:C1801,C1801)=1,MAX($U$1:U1800)+1,""))</f>
        <v/>
      </c>
    </row>
    <row r="1802" customFormat="false" ht="15" hidden="false" customHeight="false" outlineLevel="0" collapsed="false">
      <c r="A1802" s="34"/>
      <c r="B1802" s="9"/>
      <c r="C1802" s="34"/>
      <c r="D1802" s="34"/>
      <c r="E1802" s="34"/>
      <c r="F1802" s="35"/>
      <c r="G1802" s="9"/>
      <c r="H1802" s="9"/>
      <c r="I1802" s="34"/>
      <c r="J1802" s="30" t="str">
        <f aca="false">IF(F1802="","",G1802-B1802)</f>
        <v/>
      </c>
      <c r="K1802" s="31" t="str">
        <f aca="false">IF(F1802="","",IF(H1802&lt;&gt;"",H1802,MAX('Vade Sapması'!$D$3,G1802)))</f>
        <v/>
      </c>
      <c r="L1802" s="30" t="str">
        <f aca="false">IF(F1802="","",K1802-B1802)</f>
        <v/>
      </c>
      <c r="M1802" s="30" t="str">
        <f aca="false">IF(F1802="","",L1802-J1802)</f>
        <v/>
      </c>
      <c r="N1802" s="32" t="str">
        <f aca="false">IF(F1802="","",IF(H1802&lt;&gt;"","Kapandı",IF('Vade Sapması'!$D$3&gt;G1802,"Açık · vadesi geçti","Açık · vadesi gelmedi")))</f>
        <v/>
      </c>
      <c r="O1802" s="30" t="str">
        <f aca="false">IF(F1802="","",IF(AND(H1802="",'Vade Sapması'!$D$3&gt;G1802),'Vade Sapması'!$D$3-G1802,0))</f>
        <v/>
      </c>
      <c r="P1802" s="33" t="str">
        <f aca="false">IF(F1802="","",F1802*J1802)</f>
        <v/>
      </c>
      <c r="Q1802" s="33" t="str">
        <f aca="false">IF(F1802="","",F1802*L1802)</f>
        <v/>
      </c>
      <c r="R1802" s="33" t="str">
        <f aca="false">IF(F1802="","",IF(H1802="",F1802,0))</f>
        <v/>
      </c>
      <c r="S1802" s="32" t="str">
        <f aca="false">IF(F1802="","",IF(N(O1802)=0,"",IF(O1802&lt;=30,"1-30",IF(O1802&lt;=60,"31-60",IF(O1802&lt;=90,"61-90","90+")))))</f>
        <v/>
      </c>
      <c r="T1802" s="32" t="str">
        <f aca="false">IF(F1802="","",IF(E1802="","Diğer",E1802))</f>
        <v/>
      </c>
      <c r="U1802" s="32" t="str">
        <f aca="false">IF(OR(F1802="",C1802=""),"",IF(COUNTIF($C$2:C1802,C1802)=1,MAX($U$1:U1801)+1,""))</f>
        <v/>
      </c>
    </row>
    <row r="1803" customFormat="false" ht="15" hidden="false" customHeight="false" outlineLevel="0" collapsed="false">
      <c r="A1803" s="34"/>
      <c r="B1803" s="9"/>
      <c r="C1803" s="34"/>
      <c r="D1803" s="34"/>
      <c r="E1803" s="34"/>
      <c r="F1803" s="35"/>
      <c r="G1803" s="9"/>
      <c r="H1803" s="9"/>
      <c r="I1803" s="34"/>
      <c r="J1803" s="30" t="str">
        <f aca="false">IF(F1803="","",G1803-B1803)</f>
        <v/>
      </c>
      <c r="K1803" s="31" t="str">
        <f aca="false">IF(F1803="","",IF(H1803&lt;&gt;"",H1803,MAX('Vade Sapması'!$D$3,G1803)))</f>
        <v/>
      </c>
      <c r="L1803" s="30" t="str">
        <f aca="false">IF(F1803="","",K1803-B1803)</f>
        <v/>
      </c>
      <c r="M1803" s="30" t="str">
        <f aca="false">IF(F1803="","",L1803-J1803)</f>
        <v/>
      </c>
      <c r="N1803" s="32" t="str">
        <f aca="false">IF(F1803="","",IF(H1803&lt;&gt;"","Kapandı",IF('Vade Sapması'!$D$3&gt;G1803,"Açık · vadesi geçti","Açık · vadesi gelmedi")))</f>
        <v/>
      </c>
      <c r="O1803" s="30" t="str">
        <f aca="false">IF(F1803="","",IF(AND(H1803="",'Vade Sapması'!$D$3&gt;G1803),'Vade Sapması'!$D$3-G1803,0))</f>
        <v/>
      </c>
      <c r="P1803" s="33" t="str">
        <f aca="false">IF(F1803="","",F1803*J1803)</f>
        <v/>
      </c>
      <c r="Q1803" s="33" t="str">
        <f aca="false">IF(F1803="","",F1803*L1803)</f>
        <v/>
      </c>
      <c r="R1803" s="33" t="str">
        <f aca="false">IF(F1803="","",IF(H1803="",F1803,0))</f>
        <v/>
      </c>
      <c r="S1803" s="32" t="str">
        <f aca="false">IF(F1803="","",IF(N(O1803)=0,"",IF(O1803&lt;=30,"1-30",IF(O1803&lt;=60,"31-60",IF(O1803&lt;=90,"61-90","90+")))))</f>
        <v/>
      </c>
      <c r="T1803" s="32" t="str">
        <f aca="false">IF(F1803="","",IF(E1803="","Diğer",E1803))</f>
        <v/>
      </c>
      <c r="U1803" s="32" t="str">
        <f aca="false">IF(OR(F1803="",C1803=""),"",IF(COUNTIF($C$2:C1803,C1803)=1,MAX($U$1:U1802)+1,""))</f>
        <v/>
      </c>
    </row>
    <row r="1804" customFormat="false" ht="15" hidden="false" customHeight="false" outlineLevel="0" collapsed="false">
      <c r="A1804" s="34"/>
      <c r="B1804" s="9"/>
      <c r="C1804" s="34"/>
      <c r="D1804" s="34"/>
      <c r="E1804" s="34"/>
      <c r="F1804" s="35"/>
      <c r="G1804" s="9"/>
      <c r="H1804" s="9"/>
      <c r="I1804" s="34"/>
      <c r="J1804" s="30" t="str">
        <f aca="false">IF(F1804="","",G1804-B1804)</f>
        <v/>
      </c>
      <c r="K1804" s="31" t="str">
        <f aca="false">IF(F1804="","",IF(H1804&lt;&gt;"",H1804,MAX('Vade Sapması'!$D$3,G1804)))</f>
        <v/>
      </c>
      <c r="L1804" s="30" t="str">
        <f aca="false">IF(F1804="","",K1804-B1804)</f>
        <v/>
      </c>
      <c r="M1804" s="30" t="str">
        <f aca="false">IF(F1804="","",L1804-J1804)</f>
        <v/>
      </c>
      <c r="N1804" s="32" t="str">
        <f aca="false">IF(F1804="","",IF(H1804&lt;&gt;"","Kapandı",IF('Vade Sapması'!$D$3&gt;G1804,"Açık · vadesi geçti","Açık · vadesi gelmedi")))</f>
        <v/>
      </c>
      <c r="O1804" s="30" t="str">
        <f aca="false">IF(F1804="","",IF(AND(H1804="",'Vade Sapması'!$D$3&gt;G1804),'Vade Sapması'!$D$3-G1804,0))</f>
        <v/>
      </c>
      <c r="P1804" s="33" t="str">
        <f aca="false">IF(F1804="","",F1804*J1804)</f>
        <v/>
      </c>
      <c r="Q1804" s="33" t="str">
        <f aca="false">IF(F1804="","",F1804*L1804)</f>
        <v/>
      </c>
      <c r="R1804" s="33" t="str">
        <f aca="false">IF(F1804="","",IF(H1804="",F1804,0))</f>
        <v/>
      </c>
      <c r="S1804" s="32" t="str">
        <f aca="false">IF(F1804="","",IF(N(O1804)=0,"",IF(O1804&lt;=30,"1-30",IF(O1804&lt;=60,"31-60",IF(O1804&lt;=90,"61-90","90+")))))</f>
        <v/>
      </c>
      <c r="T1804" s="32" t="str">
        <f aca="false">IF(F1804="","",IF(E1804="","Diğer",E1804))</f>
        <v/>
      </c>
      <c r="U1804" s="32" t="str">
        <f aca="false">IF(OR(F1804="",C1804=""),"",IF(COUNTIF($C$2:C1804,C1804)=1,MAX($U$1:U1803)+1,""))</f>
        <v/>
      </c>
    </row>
    <row r="1805" customFormat="false" ht="15" hidden="false" customHeight="false" outlineLevel="0" collapsed="false">
      <c r="A1805" s="34"/>
      <c r="B1805" s="9"/>
      <c r="C1805" s="34"/>
      <c r="D1805" s="34"/>
      <c r="E1805" s="34"/>
      <c r="F1805" s="35"/>
      <c r="G1805" s="9"/>
      <c r="H1805" s="9"/>
      <c r="I1805" s="34"/>
      <c r="J1805" s="30" t="str">
        <f aca="false">IF(F1805="","",G1805-B1805)</f>
        <v/>
      </c>
      <c r="K1805" s="31" t="str">
        <f aca="false">IF(F1805="","",IF(H1805&lt;&gt;"",H1805,MAX('Vade Sapması'!$D$3,G1805)))</f>
        <v/>
      </c>
      <c r="L1805" s="30" t="str">
        <f aca="false">IF(F1805="","",K1805-B1805)</f>
        <v/>
      </c>
      <c r="M1805" s="30" t="str">
        <f aca="false">IF(F1805="","",L1805-J1805)</f>
        <v/>
      </c>
      <c r="N1805" s="32" t="str">
        <f aca="false">IF(F1805="","",IF(H1805&lt;&gt;"","Kapandı",IF('Vade Sapması'!$D$3&gt;G1805,"Açık · vadesi geçti","Açık · vadesi gelmedi")))</f>
        <v/>
      </c>
      <c r="O1805" s="30" t="str">
        <f aca="false">IF(F1805="","",IF(AND(H1805="",'Vade Sapması'!$D$3&gt;G1805),'Vade Sapması'!$D$3-G1805,0))</f>
        <v/>
      </c>
      <c r="P1805" s="33" t="str">
        <f aca="false">IF(F1805="","",F1805*J1805)</f>
        <v/>
      </c>
      <c r="Q1805" s="33" t="str">
        <f aca="false">IF(F1805="","",F1805*L1805)</f>
        <v/>
      </c>
      <c r="R1805" s="33" t="str">
        <f aca="false">IF(F1805="","",IF(H1805="",F1805,0))</f>
        <v/>
      </c>
      <c r="S1805" s="32" t="str">
        <f aca="false">IF(F1805="","",IF(N(O1805)=0,"",IF(O1805&lt;=30,"1-30",IF(O1805&lt;=60,"31-60",IF(O1805&lt;=90,"61-90","90+")))))</f>
        <v/>
      </c>
      <c r="T1805" s="32" t="str">
        <f aca="false">IF(F1805="","",IF(E1805="","Diğer",E1805))</f>
        <v/>
      </c>
      <c r="U1805" s="32" t="str">
        <f aca="false">IF(OR(F1805="",C1805=""),"",IF(COUNTIF($C$2:C1805,C1805)=1,MAX($U$1:U1804)+1,""))</f>
        <v/>
      </c>
    </row>
    <row r="1806" customFormat="false" ht="15" hidden="false" customHeight="false" outlineLevel="0" collapsed="false">
      <c r="A1806" s="34"/>
      <c r="B1806" s="9"/>
      <c r="C1806" s="34"/>
      <c r="D1806" s="34"/>
      <c r="E1806" s="34"/>
      <c r="F1806" s="35"/>
      <c r="G1806" s="9"/>
      <c r="H1806" s="9"/>
      <c r="I1806" s="34"/>
      <c r="J1806" s="30" t="str">
        <f aca="false">IF(F1806="","",G1806-B1806)</f>
        <v/>
      </c>
      <c r="K1806" s="31" t="str">
        <f aca="false">IF(F1806="","",IF(H1806&lt;&gt;"",H1806,MAX('Vade Sapması'!$D$3,G1806)))</f>
        <v/>
      </c>
      <c r="L1806" s="30" t="str">
        <f aca="false">IF(F1806="","",K1806-B1806)</f>
        <v/>
      </c>
      <c r="M1806" s="30" t="str">
        <f aca="false">IF(F1806="","",L1806-J1806)</f>
        <v/>
      </c>
      <c r="N1806" s="32" t="str">
        <f aca="false">IF(F1806="","",IF(H1806&lt;&gt;"","Kapandı",IF('Vade Sapması'!$D$3&gt;G1806,"Açık · vadesi geçti","Açık · vadesi gelmedi")))</f>
        <v/>
      </c>
      <c r="O1806" s="30" t="str">
        <f aca="false">IF(F1806="","",IF(AND(H1806="",'Vade Sapması'!$D$3&gt;G1806),'Vade Sapması'!$D$3-G1806,0))</f>
        <v/>
      </c>
      <c r="P1806" s="33" t="str">
        <f aca="false">IF(F1806="","",F1806*J1806)</f>
        <v/>
      </c>
      <c r="Q1806" s="33" t="str">
        <f aca="false">IF(F1806="","",F1806*L1806)</f>
        <v/>
      </c>
      <c r="R1806" s="33" t="str">
        <f aca="false">IF(F1806="","",IF(H1806="",F1806,0))</f>
        <v/>
      </c>
      <c r="S1806" s="32" t="str">
        <f aca="false">IF(F1806="","",IF(N(O1806)=0,"",IF(O1806&lt;=30,"1-30",IF(O1806&lt;=60,"31-60",IF(O1806&lt;=90,"61-90","90+")))))</f>
        <v/>
      </c>
      <c r="T1806" s="32" t="str">
        <f aca="false">IF(F1806="","",IF(E1806="","Diğer",E1806))</f>
        <v/>
      </c>
      <c r="U1806" s="32" t="str">
        <f aca="false">IF(OR(F1806="",C1806=""),"",IF(COUNTIF($C$2:C1806,C1806)=1,MAX($U$1:U1805)+1,""))</f>
        <v/>
      </c>
    </row>
    <row r="1807" customFormat="false" ht="15" hidden="false" customHeight="false" outlineLevel="0" collapsed="false">
      <c r="A1807" s="34"/>
      <c r="B1807" s="9"/>
      <c r="C1807" s="34"/>
      <c r="D1807" s="34"/>
      <c r="E1807" s="34"/>
      <c r="F1807" s="35"/>
      <c r="G1807" s="9"/>
      <c r="H1807" s="9"/>
      <c r="I1807" s="34"/>
      <c r="J1807" s="30" t="str">
        <f aca="false">IF(F1807="","",G1807-B1807)</f>
        <v/>
      </c>
      <c r="K1807" s="31" t="str">
        <f aca="false">IF(F1807="","",IF(H1807&lt;&gt;"",H1807,MAX('Vade Sapması'!$D$3,G1807)))</f>
        <v/>
      </c>
      <c r="L1807" s="30" t="str">
        <f aca="false">IF(F1807="","",K1807-B1807)</f>
        <v/>
      </c>
      <c r="M1807" s="30" t="str">
        <f aca="false">IF(F1807="","",L1807-J1807)</f>
        <v/>
      </c>
      <c r="N1807" s="32" t="str">
        <f aca="false">IF(F1807="","",IF(H1807&lt;&gt;"","Kapandı",IF('Vade Sapması'!$D$3&gt;G1807,"Açık · vadesi geçti","Açık · vadesi gelmedi")))</f>
        <v/>
      </c>
      <c r="O1807" s="30" t="str">
        <f aca="false">IF(F1807="","",IF(AND(H1807="",'Vade Sapması'!$D$3&gt;G1807),'Vade Sapması'!$D$3-G1807,0))</f>
        <v/>
      </c>
      <c r="P1807" s="33" t="str">
        <f aca="false">IF(F1807="","",F1807*J1807)</f>
        <v/>
      </c>
      <c r="Q1807" s="33" t="str">
        <f aca="false">IF(F1807="","",F1807*L1807)</f>
        <v/>
      </c>
      <c r="R1807" s="33" t="str">
        <f aca="false">IF(F1807="","",IF(H1807="",F1807,0))</f>
        <v/>
      </c>
      <c r="S1807" s="32" t="str">
        <f aca="false">IF(F1807="","",IF(N(O1807)=0,"",IF(O1807&lt;=30,"1-30",IF(O1807&lt;=60,"31-60",IF(O1807&lt;=90,"61-90","90+")))))</f>
        <v/>
      </c>
      <c r="T1807" s="32" t="str">
        <f aca="false">IF(F1807="","",IF(E1807="","Diğer",E1807))</f>
        <v/>
      </c>
      <c r="U1807" s="32" t="str">
        <f aca="false">IF(OR(F1807="",C1807=""),"",IF(COUNTIF($C$2:C1807,C1807)=1,MAX($U$1:U1806)+1,""))</f>
        <v/>
      </c>
    </row>
    <row r="1808" customFormat="false" ht="15" hidden="false" customHeight="false" outlineLevel="0" collapsed="false">
      <c r="A1808" s="34"/>
      <c r="B1808" s="9"/>
      <c r="C1808" s="34"/>
      <c r="D1808" s="34"/>
      <c r="E1808" s="34"/>
      <c r="F1808" s="35"/>
      <c r="G1808" s="9"/>
      <c r="H1808" s="9"/>
      <c r="I1808" s="34"/>
      <c r="J1808" s="30" t="str">
        <f aca="false">IF(F1808="","",G1808-B1808)</f>
        <v/>
      </c>
      <c r="K1808" s="31" t="str">
        <f aca="false">IF(F1808="","",IF(H1808&lt;&gt;"",H1808,MAX('Vade Sapması'!$D$3,G1808)))</f>
        <v/>
      </c>
      <c r="L1808" s="30" t="str">
        <f aca="false">IF(F1808="","",K1808-B1808)</f>
        <v/>
      </c>
      <c r="M1808" s="30" t="str">
        <f aca="false">IF(F1808="","",L1808-J1808)</f>
        <v/>
      </c>
      <c r="N1808" s="32" t="str">
        <f aca="false">IF(F1808="","",IF(H1808&lt;&gt;"","Kapandı",IF('Vade Sapması'!$D$3&gt;G1808,"Açık · vadesi geçti","Açık · vadesi gelmedi")))</f>
        <v/>
      </c>
      <c r="O1808" s="30" t="str">
        <f aca="false">IF(F1808="","",IF(AND(H1808="",'Vade Sapması'!$D$3&gt;G1808),'Vade Sapması'!$D$3-G1808,0))</f>
        <v/>
      </c>
      <c r="P1808" s="33" t="str">
        <f aca="false">IF(F1808="","",F1808*J1808)</f>
        <v/>
      </c>
      <c r="Q1808" s="33" t="str">
        <f aca="false">IF(F1808="","",F1808*L1808)</f>
        <v/>
      </c>
      <c r="R1808" s="33" t="str">
        <f aca="false">IF(F1808="","",IF(H1808="",F1808,0))</f>
        <v/>
      </c>
      <c r="S1808" s="32" t="str">
        <f aca="false">IF(F1808="","",IF(N(O1808)=0,"",IF(O1808&lt;=30,"1-30",IF(O1808&lt;=60,"31-60",IF(O1808&lt;=90,"61-90","90+")))))</f>
        <v/>
      </c>
      <c r="T1808" s="32" t="str">
        <f aca="false">IF(F1808="","",IF(E1808="","Diğer",E1808))</f>
        <v/>
      </c>
      <c r="U1808" s="32" t="str">
        <f aca="false">IF(OR(F1808="",C1808=""),"",IF(COUNTIF($C$2:C1808,C1808)=1,MAX($U$1:U1807)+1,""))</f>
        <v/>
      </c>
    </row>
    <row r="1809" customFormat="false" ht="15" hidden="false" customHeight="false" outlineLevel="0" collapsed="false">
      <c r="A1809" s="34"/>
      <c r="B1809" s="9"/>
      <c r="C1809" s="34"/>
      <c r="D1809" s="34"/>
      <c r="E1809" s="34"/>
      <c r="F1809" s="35"/>
      <c r="G1809" s="9"/>
      <c r="H1809" s="9"/>
      <c r="I1809" s="34"/>
      <c r="J1809" s="30" t="str">
        <f aca="false">IF(F1809="","",G1809-B1809)</f>
        <v/>
      </c>
      <c r="K1809" s="31" t="str">
        <f aca="false">IF(F1809="","",IF(H1809&lt;&gt;"",H1809,MAX('Vade Sapması'!$D$3,G1809)))</f>
        <v/>
      </c>
      <c r="L1809" s="30" t="str">
        <f aca="false">IF(F1809="","",K1809-B1809)</f>
        <v/>
      </c>
      <c r="M1809" s="30" t="str">
        <f aca="false">IF(F1809="","",L1809-J1809)</f>
        <v/>
      </c>
      <c r="N1809" s="32" t="str">
        <f aca="false">IF(F1809="","",IF(H1809&lt;&gt;"","Kapandı",IF('Vade Sapması'!$D$3&gt;G1809,"Açık · vadesi geçti","Açık · vadesi gelmedi")))</f>
        <v/>
      </c>
      <c r="O1809" s="30" t="str">
        <f aca="false">IF(F1809="","",IF(AND(H1809="",'Vade Sapması'!$D$3&gt;G1809),'Vade Sapması'!$D$3-G1809,0))</f>
        <v/>
      </c>
      <c r="P1809" s="33" t="str">
        <f aca="false">IF(F1809="","",F1809*J1809)</f>
        <v/>
      </c>
      <c r="Q1809" s="33" t="str">
        <f aca="false">IF(F1809="","",F1809*L1809)</f>
        <v/>
      </c>
      <c r="R1809" s="33" t="str">
        <f aca="false">IF(F1809="","",IF(H1809="",F1809,0))</f>
        <v/>
      </c>
      <c r="S1809" s="32" t="str">
        <f aca="false">IF(F1809="","",IF(N(O1809)=0,"",IF(O1809&lt;=30,"1-30",IF(O1809&lt;=60,"31-60",IF(O1809&lt;=90,"61-90","90+")))))</f>
        <v/>
      </c>
      <c r="T1809" s="32" t="str">
        <f aca="false">IF(F1809="","",IF(E1809="","Diğer",E1809))</f>
        <v/>
      </c>
      <c r="U1809" s="32" t="str">
        <f aca="false">IF(OR(F1809="",C1809=""),"",IF(COUNTIF($C$2:C1809,C1809)=1,MAX($U$1:U1808)+1,""))</f>
        <v/>
      </c>
    </row>
    <row r="1810" customFormat="false" ht="15" hidden="false" customHeight="false" outlineLevel="0" collapsed="false">
      <c r="A1810" s="34"/>
      <c r="B1810" s="9"/>
      <c r="C1810" s="34"/>
      <c r="D1810" s="34"/>
      <c r="E1810" s="34"/>
      <c r="F1810" s="35"/>
      <c r="G1810" s="9"/>
      <c r="H1810" s="9"/>
      <c r="I1810" s="34"/>
      <c r="J1810" s="30" t="str">
        <f aca="false">IF(F1810="","",G1810-B1810)</f>
        <v/>
      </c>
      <c r="K1810" s="31" t="str">
        <f aca="false">IF(F1810="","",IF(H1810&lt;&gt;"",H1810,MAX('Vade Sapması'!$D$3,G1810)))</f>
        <v/>
      </c>
      <c r="L1810" s="30" t="str">
        <f aca="false">IF(F1810="","",K1810-B1810)</f>
        <v/>
      </c>
      <c r="M1810" s="30" t="str">
        <f aca="false">IF(F1810="","",L1810-J1810)</f>
        <v/>
      </c>
      <c r="N1810" s="32" t="str">
        <f aca="false">IF(F1810="","",IF(H1810&lt;&gt;"","Kapandı",IF('Vade Sapması'!$D$3&gt;G1810,"Açık · vadesi geçti","Açık · vadesi gelmedi")))</f>
        <v/>
      </c>
      <c r="O1810" s="30" t="str">
        <f aca="false">IF(F1810="","",IF(AND(H1810="",'Vade Sapması'!$D$3&gt;G1810),'Vade Sapması'!$D$3-G1810,0))</f>
        <v/>
      </c>
      <c r="P1810" s="33" t="str">
        <f aca="false">IF(F1810="","",F1810*J1810)</f>
        <v/>
      </c>
      <c r="Q1810" s="33" t="str">
        <f aca="false">IF(F1810="","",F1810*L1810)</f>
        <v/>
      </c>
      <c r="R1810" s="33" t="str">
        <f aca="false">IF(F1810="","",IF(H1810="",F1810,0))</f>
        <v/>
      </c>
      <c r="S1810" s="32" t="str">
        <f aca="false">IF(F1810="","",IF(N(O1810)=0,"",IF(O1810&lt;=30,"1-30",IF(O1810&lt;=60,"31-60",IF(O1810&lt;=90,"61-90","90+")))))</f>
        <v/>
      </c>
      <c r="T1810" s="32" t="str">
        <f aca="false">IF(F1810="","",IF(E1810="","Diğer",E1810))</f>
        <v/>
      </c>
      <c r="U1810" s="32" t="str">
        <f aca="false">IF(OR(F1810="",C1810=""),"",IF(COUNTIF($C$2:C1810,C1810)=1,MAX($U$1:U1809)+1,""))</f>
        <v/>
      </c>
    </row>
    <row r="1811" customFormat="false" ht="15" hidden="false" customHeight="false" outlineLevel="0" collapsed="false">
      <c r="A1811" s="34"/>
      <c r="B1811" s="9"/>
      <c r="C1811" s="34"/>
      <c r="D1811" s="34"/>
      <c r="E1811" s="34"/>
      <c r="F1811" s="35"/>
      <c r="G1811" s="9"/>
      <c r="H1811" s="9"/>
      <c r="I1811" s="34"/>
      <c r="J1811" s="30" t="str">
        <f aca="false">IF(F1811="","",G1811-B1811)</f>
        <v/>
      </c>
      <c r="K1811" s="31" t="str">
        <f aca="false">IF(F1811="","",IF(H1811&lt;&gt;"",H1811,MAX('Vade Sapması'!$D$3,G1811)))</f>
        <v/>
      </c>
      <c r="L1811" s="30" t="str">
        <f aca="false">IF(F1811="","",K1811-B1811)</f>
        <v/>
      </c>
      <c r="M1811" s="30" t="str">
        <f aca="false">IF(F1811="","",L1811-J1811)</f>
        <v/>
      </c>
      <c r="N1811" s="32" t="str">
        <f aca="false">IF(F1811="","",IF(H1811&lt;&gt;"","Kapandı",IF('Vade Sapması'!$D$3&gt;G1811,"Açık · vadesi geçti","Açık · vadesi gelmedi")))</f>
        <v/>
      </c>
      <c r="O1811" s="30" t="str">
        <f aca="false">IF(F1811="","",IF(AND(H1811="",'Vade Sapması'!$D$3&gt;G1811),'Vade Sapması'!$D$3-G1811,0))</f>
        <v/>
      </c>
      <c r="P1811" s="33" t="str">
        <f aca="false">IF(F1811="","",F1811*J1811)</f>
        <v/>
      </c>
      <c r="Q1811" s="33" t="str">
        <f aca="false">IF(F1811="","",F1811*L1811)</f>
        <v/>
      </c>
      <c r="R1811" s="33" t="str">
        <f aca="false">IF(F1811="","",IF(H1811="",F1811,0))</f>
        <v/>
      </c>
      <c r="S1811" s="32" t="str">
        <f aca="false">IF(F1811="","",IF(N(O1811)=0,"",IF(O1811&lt;=30,"1-30",IF(O1811&lt;=60,"31-60",IF(O1811&lt;=90,"61-90","90+")))))</f>
        <v/>
      </c>
      <c r="T1811" s="32" t="str">
        <f aca="false">IF(F1811="","",IF(E1811="","Diğer",E1811))</f>
        <v/>
      </c>
      <c r="U1811" s="32" t="str">
        <f aca="false">IF(OR(F1811="",C1811=""),"",IF(COUNTIF($C$2:C1811,C1811)=1,MAX($U$1:U1810)+1,""))</f>
        <v/>
      </c>
    </row>
    <row r="1812" customFormat="false" ht="15" hidden="false" customHeight="false" outlineLevel="0" collapsed="false">
      <c r="A1812" s="34"/>
      <c r="B1812" s="9"/>
      <c r="C1812" s="34"/>
      <c r="D1812" s="34"/>
      <c r="E1812" s="34"/>
      <c r="F1812" s="35"/>
      <c r="G1812" s="9"/>
      <c r="H1812" s="9"/>
      <c r="I1812" s="34"/>
      <c r="J1812" s="30" t="str">
        <f aca="false">IF(F1812="","",G1812-B1812)</f>
        <v/>
      </c>
      <c r="K1812" s="31" t="str">
        <f aca="false">IF(F1812="","",IF(H1812&lt;&gt;"",H1812,MAX('Vade Sapması'!$D$3,G1812)))</f>
        <v/>
      </c>
      <c r="L1812" s="30" t="str">
        <f aca="false">IF(F1812="","",K1812-B1812)</f>
        <v/>
      </c>
      <c r="M1812" s="30" t="str">
        <f aca="false">IF(F1812="","",L1812-J1812)</f>
        <v/>
      </c>
      <c r="N1812" s="32" t="str">
        <f aca="false">IF(F1812="","",IF(H1812&lt;&gt;"","Kapandı",IF('Vade Sapması'!$D$3&gt;G1812,"Açık · vadesi geçti","Açık · vadesi gelmedi")))</f>
        <v/>
      </c>
      <c r="O1812" s="30" t="str">
        <f aca="false">IF(F1812="","",IF(AND(H1812="",'Vade Sapması'!$D$3&gt;G1812),'Vade Sapması'!$D$3-G1812,0))</f>
        <v/>
      </c>
      <c r="P1812" s="33" t="str">
        <f aca="false">IF(F1812="","",F1812*J1812)</f>
        <v/>
      </c>
      <c r="Q1812" s="33" t="str">
        <f aca="false">IF(F1812="","",F1812*L1812)</f>
        <v/>
      </c>
      <c r="R1812" s="33" t="str">
        <f aca="false">IF(F1812="","",IF(H1812="",F1812,0))</f>
        <v/>
      </c>
      <c r="S1812" s="32" t="str">
        <f aca="false">IF(F1812="","",IF(N(O1812)=0,"",IF(O1812&lt;=30,"1-30",IF(O1812&lt;=60,"31-60",IF(O1812&lt;=90,"61-90","90+")))))</f>
        <v/>
      </c>
      <c r="T1812" s="32" t="str">
        <f aca="false">IF(F1812="","",IF(E1812="","Diğer",E1812))</f>
        <v/>
      </c>
      <c r="U1812" s="32" t="str">
        <f aca="false">IF(OR(F1812="",C1812=""),"",IF(COUNTIF($C$2:C1812,C1812)=1,MAX($U$1:U1811)+1,""))</f>
        <v/>
      </c>
    </row>
    <row r="1813" customFormat="false" ht="15" hidden="false" customHeight="false" outlineLevel="0" collapsed="false">
      <c r="A1813" s="34"/>
      <c r="B1813" s="9"/>
      <c r="C1813" s="34"/>
      <c r="D1813" s="34"/>
      <c r="E1813" s="34"/>
      <c r="F1813" s="35"/>
      <c r="G1813" s="9"/>
      <c r="H1813" s="9"/>
      <c r="I1813" s="34"/>
      <c r="J1813" s="30" t="str">
        <f aca="false">IF(F1813="","",G1813-B1813)</f>
        <v/>
      </c>
      <c r="K1813" s="31" t="str">
        <f aca="false">IF(F1813="","",IF(H1813&lt;&gt;"",H1813,MAX('Vade Sapması'!$D$3,G1813)))</f>
        <v/>
      </c>
      <c r="L1813" s="30" t="str">
        <f aca="false">IF(F1813="","",K1813-B1813)</f>
        <v/>
      </c>
      <c r="M1813" s="30" t="str">
        <f aca="false">IF(F1813="","",L1813-J1813)</f>
        <v/>
      </c>
      <c r="N1813" s="32" t="str">
        <f aca="false">IF(F1813="","",IF(H1813&lt;&gt;"","Kapandı",IF('Vade Sapması'!$D$3&gt;G1813,"Açık · vadesi geçti","Açık · vadesi gelmedi")))</f>
        <v/>
      </c>
      <c r="O1813" s="30" t="str">
        <f aca="false">IF(F1813="","",IF(AND(H1813="",'Vade Sapması'!$D$3&gt;G1813),'Vade Sapması'!$D$3-G1813,0))</f>
        <v/>
      </c>
      <c r="P1813" s="33" t="str">
        <f aca="false">IF(F1813="","",F1813*J1813)</f>
        <v/>
      </c>
      <c r="Q1813" s="33" t="str">
        <f aca="false">IF(F1813="","",F1813*L1813)</f>
        <v/>
      </c>
      <c r="R1813" s="33" t="str">
        <f aca="false">IF(F1813="","",IF(H1813="",F1813,0))</f>
        <v/>
      </c>
      <c r="S1813" s="32" t="str">
        <f aca="false">IF(F1813="","",IF(N(O1813)=0,"",IF(O1813&lt;=30,"1-30",IF(O1813&lt;=60,"31-60",IF(O1813&lt;=90,"61-90","90+")))))</f>
        <v/>
      </c>
      <c r="T1813" s="32" t="str">
        <f aca="false">IF(F1813="","",IF(E1813="","Diğer",E1813))</f>
        <v/>
      </c>
      <c r="U1813" s="32" t="str">
        <f aca="false">IF(OR(F1813="",C1813=""),"",IF(COUNTIF($C$2:C1813,C1813)=1,MAX($U$1:U1812)+1,""))</f>
        <v/>
      </c>
    </row>
    <row r="1814" customFormat="false" ht="15" hidden="false" customHeight="false" outlineLevel="0" collapsed="false">
      <c r="A1814" s="34"/>
      <c r="B1814" s="9"/>
      <c r="C1814" s="34"/>
      <c r="D1814" s="34"/>
      <c r="E1814" s="34"/>
      <c r="F1814" s="35"/>
      <c r="G1814" s="9"/>
      <c r="H1814" s="9"/>
      <c r="I1814" s="34"/>
      <c r="J1814" s="30" t="str">
        <f aca="false">IF(F1814="","",G1814-B1814)</f>
        <v/>
      </c>
      <c r="K1814" s="31" t="str">
        <f aca="false">IF(F1814="","",IF(H1814&lt;&gt;"",H1814,MAX('Vade Sapması'!$D$3,G1814)))</f>
        <v/>
      </c>
      <c r="L1814" s="30" t="str">
        <f aca="false">IF(F1814="","",K1814-B1814)</f>
        <v/>
      </c>
      <c r="M1814" s="30" t="str">
        <f aca="false">IF(F1814="","",L1814-J1814)</f>
        <v/>
      </c>
      <c r="N1814" s="32" t="str">
        <f aca="false">IF(F1814="","",IF(H1814&lt;&gt;"","Kapandı",IF('Vade Sapması'!$D$3&gt;G1814,"Açık · vadesi geçti","Açık · vadesi gelmedi")))</f>
        <v/>
      </c>
      <c r="O1814" s="30" t="str">
        <f aca="false">IF(F1814="","",IF(AND(H1814="",'Vade Sapması'!$D$3&gt;G1814),'Vade Sapması'!$D$3-G1814,0))</f>
        <v/>
      </c>
      <c r="P1814" s="33" t="str">
        <f aca="false">IF(F1814="","",F1814*J1814)</f>
        <v/>
      </c>
      <c r="Q1814" s="33" t="str">
        <f aca="false">IF(F1814="","",F1814*L1814)</f>
        <v/>
      </c>
      <c r="R1814" s="33" t="str">
        <f aca="false">IF(F1814="","",IF(H1814="",F1814,0))</f>
        <v/>
      </c>
      <c r="S1814" s="32" t="str">
        <f aca="false">IF(F1814="","",IF(N(O1814)=0,"",IF(O1814&lt;=30,"1-30",IF(O1814&lt;=60,"31-60",IF(O1814&lt;=90,"61-90","90+")))))</f>
        <v/>
      </c>
      <c r="T1814" s="32" t="str">
        <f aca="false">IF(F1814="","",IF(E1814="","Diğer",E1814))</f>
        <v/>
      </c>
      <c r="U1814" s="32" t="str">
        <f aca="false">IF(OR(F1814="",C1814=""),"",IF(COUNTIF($C$2:C1814,C1814)=1,MAX($U$1:U1813)+1,""))</f>
        <v/>
      </c>
    </row>
    <row r="1815" customFormat="false" ht="15" hidden="false" customHeight="false" outlineLevel="0" collapsed="false">
      <c r="A1815" s="34"/>
      <c r="B1815" s="9"/>
      <c r="C1815" s="34"/>
      <c r="D1815" s="34"/>
      <c r="E1815" s="34"/>
      <c r="F1815" s="35"/>
      <c r="G1815" s="9"/>
      <c r="H1815" s="9"/>
      <c r="I1815" s="34"/>
      <c r="J1815" s="30" t="str">
        <f aca="false">IF(F1815="","",G1815-B1815)</f>
        <v/>
      </c>
      <c r="K1815" s="31" t="str">
        <f aca="false">IF(F1815="","",IF(H1815&lt;&gt;"",H1815,MAX('Vade Sapması'!$D$3,G1815)))</f>
        <v/>
      </c>
      <c r="L1815" s="30" t="str">
        <f aca="false">IF(F1815="","",K1815-B1815)</f>
        <v/>
      </c>
      <c r="M1815" s="30" t="str">
        <f aca="false">IF(F1815="","",L1815-J1815)</f>
        <v/>
      </c>
      <c r="N1815" s="32" t="str">
        <f aca="false">IF(F1815="","",IF(H1815&lt;&gt;"","Kapandı",IF('Vade Sapması'!$D$3&gt;G1815,"Açık · vadesi geçti","Açık · vadesi gelmedi")))</f>
        <v/>
      </c>
      <c r="O1815" s="30" t="str">
        <f aca="false">IF(F1815="","",IF(AND(H1815="",'Vade Sapması'!$D$3&gt;G1815),'Vade Sapması'!$D$3-G1815,0))</f>
        <v/>
      </c>
      <c r="P1815" s="33" t="str">
        <f aca="false">IF(F1815="","",F1815*J1815)</f>
        <v/>
      </c>
      <c r="Q1815" s="33" t="str">
        <f aca="false">IF(F1815="","",F1815*L1815)</f>
        <v/>
      </c>
      <c r="R1815" s="33" t="str">
        <f aca="false">IF(F1815="","",IF(H1815="",F1815,0))</f>
        <v/>
      </c>
      <c r="S1815" s="32" t="str">
        <f aca="false">IF(F1815="","",IF(N(O1815)=0,"",IF(O1815&lt;=30,"1-30",IF(O1815&lt;=60,"31-60",IF(O1815&lt;=90,"61-90","90+")))))</f>
        <v/>
      </c>
      <c r="T1815" s="32" t="str">
        <f aca="false">IF(F1815="","",IF(E1815="","Diğer",E1815))</f>
        <v/>
      </c>
      <c r="U1815" s="32" t="str">
        <f aca="false">IF(OR(F1815="",C1815=""),"",IF(COUNTIF($C$2:C1815,C1815)=1,MAX($U$1:U1814)+1,""))</f>
        <v/>
      </c>
    </row>
    <row r="1816" customFormat="false" ht="15" hidden="false" customHeight="false" outlineLevel="0" collapsed="false">
      <c r="A1816" s="34"/>
      <c r="B1816" s="9"/>
      <c r="C1816" s="34"/>
      <c r="D1816" s="34"/>
      <c r="E1816" s="34"/>
      <c r="F1816" s="35"/>
      <c r="G1816" s="9"/>
      <c r="H1816" s="9"/>
      <c r="I1816" s="34"/>
      <c r="J1816" s="30" t="str">
        <f aca="false">IF(F1816="","",G1816-B1816)</f>
        <v/>
      </c>
      <c r="K1816" s="31" t="str">
        <f aca="false">IF(F1816="","",IF(H1816&lt;&gt;"",H1816,MAX('Vade Sapması'!$D$3,G1816)))</f>
        <v/>
      </c>
      <c r="L1816" s="30" t="str">
        <f aca="false">IF(F1816="","",K1816-B1816)</f>
        <v/>
      </c>
      <c r="M1816" s="30" t="str">
        <f aca="false">IF(F1816="","",L1816-J1816)</f>
        <v/>
      </c>
      <c r="N1816" s="32" t="str">
        <f aca="false">IF(F1816="","",IF(H1816&lt;&gt;"","Kapandı",IF('Vade Sapması'!$D$3&gt;G1816,"Açık · vadesi geçti","Açık · vadesi gelmedi")))</f>
        <v/>
      </c>
      <c r="O1816" s="30" t="str">
        <f aca="false">IF(F1816="","",IF(AND(H1816="",'Vade Sapması'!$D$3&gt;G1816),'Vade Sapması'!$D$3-G1816,0))</f>
        <v/>
      </c>
      <c r="P1816" s="33" t="str">
        <f aca="false">IF(F1816="","",F1816*J1816)</f>
        <v/>
      </c>
      <c r="Q1816" s="33" t="str">
        <f aca="false">IF(F1816="","",F1816*L1816)</f>
        <v/>
      </c>
      <c r="R1816" s="33" t="str">
        <f aca="false">IF(F1816="","",IF(H1816="",F1816,0))</f>
        <v/>
      </c>
      <c r="S1816" s="32" t="str">
        <f aca="false">IF(F1816="","",IF(N(O1816)=0,"",IF(O1816&lt;=30,"1-30",IF(O1816&lt;=60,"31-60",IF(O1816&lt;=90,"61-90","90+")))))</f>
        <v/>
      </c>
      <c r="T1816" s="32" t="str">
        <f aca="false">IF(F1816="","",IF(E1816="","Diğer",E1816))</f>
        <v/>
      </c>
      <c r="U1816" s="32" t="str">
        <f aca="false">IF(OR(F1816="",C1816=""),"",IF(COUNTIF($C$2:C1816,C1816)=1,MAX($U$1:U1815)+1,""))</f>
        <v/>
      </c>
    </row>
    <row r="1817" customFormat="false" ht="15" hidden="false" customHeight="false" outlineLevel="0" collapsed="false">
      <c r="A1817" s="34"/>
      <c r="B1817" s="9"/>
      <c r="C1817" s="34"/>
      <c r="D1817" s="34"/>
      <c r="E1817" s="34"/>
      <c r="F1817" s="35"/>
      <c r="G1817" s="9"/>
      <c r="H1817" s="9"/>
      <c r="I1817" s="34"/>
      <c r="J1817" s="30" t="str">
        <f aca="false">IF(F1817="","",G1817-B1817)</f>
        <v/>
      </c>
      <c r="K1817" s="31" t="str">
        <f aca="false">IF(F1817="","",IF(H1817&lt;&gt;"",H1817,MAX('Vade Sapması'!$D$3,G1817)))</f>
        <v/>
      </c>
      <c r="L1817" s="30" t="str">
        <f aca="false">IF(F1817="","",K1817-B1817)</f>
        <v/>
      </c>
      <c r="M1817" s="30" t="str">
        <f aca="false">IF(F1817="","",L1817-J1817)</f>
        <v/>
      </c>
      <c r="N1817" s="32" t="str">
        <f aca="false">IF(F1817="","",IF(H1817&lt;&gt;"","Kapandı",IF('Vade Sapması'!$D$3&gt;G1817,"Açık · vadesi geçti","Açık · vadesi gelmedi")))</f>
        <v/>
      </c>
      <c r="O1817" s="30" t="str">
        <f aca="false">IF(F1817="","",IF(AND(H1817="",'Vade Sapması'!$D$3&gt;G1817),'Vade Sapması'!$D$3-G1817,0))</f>
        <v/>
      </c>
      <c r="P1817" s="33" t="str">
        <f aca="false">IF(F1817="","",F1817*J1817)</f>
        <v/>
      </c>
      <c r="Q1817" s="33" t="str">
        <f aca="false">IF(F1817="","",F1817*L1817)</f>
        <v/>
      </c>
      <c r="R1817" s="33" t="str">
        <f aca="false">IF(F1817="","",IF(H1817="",F1817,0))</f>
        <v/>
      </c>
      <c r="S1817" s="32" t="str">
        <f aca="false">IF(F1817="","",IF(N(O1817)=0,"",IF(O1817&lt;=30,"1-30",IF(O1817&lt;=60,"31-60",IF(O1817&lt;=90,"61-90","90+")))))</f>
        <v/>
      </c>
      <c r="T1817" s="32" t="str">
        <f aca="false">IF(F1817="","",IF(E1817="","Diğer",E1817))</f>
        <v/>
      </c>
      <c r="U1817" s="32" t="str">
        <f aca="false">IF(OR(F1817="",C1817=""),"",IF(COUNTIF($C$2:C1817,C1817)=1,MAX($U$1:U1816)+1,""))</f>
        <v/>
      </c>
    </row>
    <row r="1818" customFormat="false" ht="15" hidden="false" customHeight="false" outlineLevel="0" collapsed="false">
      <c r="A1818" s="34"/>
      <c r="B1818" s="9"/>
      <c r="C1818" s="34"/>
      <c r="D1818" s="34"/>
      <c r="E1818" s="34"/>
      <c r="F1818" s="35"/>
      <c r="G1818" s="9"/>
      <c r="H1818" s="9"/>
      <c r="I1818" s="34"/>
      <c r="J1818" s="30" t="str">
        <f aca="false">IF(F1818="","",G1818-B1818)</f>
        <v/>
      </c>
      <c r="K1818" s="31" t="str">
        <f aca="false">IF(F1818="","",IF(H1818&lt;&gt;"",H1818,MAX('Vade Sapması'!$D$3,G1818)))</f>
        <v/>
      </c>
      <c r="L1818" s="30" t="str">
        <f aca="false">IF(F1818="","",K1818-B1818)</f>
        <v/>
      </c>
      <c r="M1818" s="30" t="str">
        <f aca="false">IF(F1818="","",L1818-J1818)</f>
        <v/>
      </c>
      <c r="N1818" s="32" t="str">
        <f aca="false">IF(F1818="","",IF(H1818&lt;&gt;"","Kapandı",IF('Vade Sapması'!$D$3&gt;G1818,"Açık · vadesi geçti","Açık · vadesi gelmedi")))</f>
        <v/>
      </c>
      <c r="O1818" s="30" t="str">
        <f aca="false">IF(F1818="","",IF(AND(H1818="",'Vade Sapması'!$D$3&gt;G1818),'Vade Sapması'!$D$3-G1818,0))</f>
        <v/>
      </c>
      <c r="P1818" s="33" t="str">
        <f aca="false">IF(F1818="","",F1818*J1818)</f>
        <v/>
      </c>
      <c r="Q1818" s="33" t="str">
        <f aca="false">IF(F1818="","",F1818*L1818)</f>
        <v/>
      </c>
      <c r="R1818" s="33" t="str">
        <f aca="false">IF(F1818="","",IF(H1818="",F1818,0))</f>
        <v/>
      </c>
      <c r="S1818" s="32" t="str">
        <f aca="false">IF(F1818="","",IF(N(O1818)=0,"",IF(O1818&lt;=30,"1-30",IF(O1818&lt;=60,"31-60",IF(O1818&lt;=90,"61-90","90+")))))</f>
        <v/>
      </c>
      <c r="T1818" s="32" t="str">
        <f aca="false">IF(F1818="","",IF(E1818="","Diğer",E1818))</f>
        <v/>
      </c>
      <c r="U1818" s="32" t="str">
        <f aca="false">IF(OR(F1818="",C1818=""),"",IF(COUNTIF($C$2:C1818,C1818)=1,MAX($U$1:U1817)+1,""))</f>
        <v/>
      </c>
    </row>
    <row r="1819" customFormat="false" ht="15" hidden="false" customHeight="false" outlineLevel="0" collapsed="false">
      <c r="A1819" s="34"/>
      <c r="B1819" s="9"/>
      <c r="C1819" s="34"/>
      <c r="D1819" s="34"/>
      <c r="E1819" s="34"/>
      <c r="F1819" s="35"/>
      <c r="G1819" s="9"/>
      <c r="H1819" s="9"/>
      <c r="I1819" s="34"/>
      <c r="J1819" s="30" t="str">
        <f aca="false">IF(F1819="","",G1819-B1819)</f>
        <v/>
      </c>
      <c r="K1819" s="31" t="str">
        <f aca="false">IF(F1819="","",IF(H1819&lt;&gt;"",H1819,MAX('Vade Sapması'!$D$3,G1819)))</f>
        <v/>
      </c>
      <c r="L1819" s="30" t="str">
        <f aca="false">IF(F1819="","",K1819-B1819)</f>
        <v/>
      </c>
      <c r="M1819" s="30" t="str">
        <f aca="false">IF(F1819="","",L1819-J1819)</f>
        <v/>
      </c>
      <c r="N1819" s="32" t="str">
        <f aca="false">IF(F1819="","",IF(H1819&lt;&gt;"","Kapandı",IF('Vade Sapması'!$D$3&gt;G1819,"Açık · vadesi geçti","Açık · vadesi gelmedi")))</f>
        <v/>
      </c>
      <c r="O1819" s="30" t="str">
        <f aca="false">IF(F1819="","",IF(AND(H1819="",'Vade Sapması'!$D$3&gt;G1819),'Vade Sapması'!$D$3-G1819,0))</f>
        <v/>
      </c>
      <c r="P1819" s="33" t="str">
        <f aca="false">IF(F1819="","",F1819*J1819)</f>
        <v/>
      </c>
      <c r="Q1819" s="33" t="str">
        <f aca="false">IF(F1819="","",F1819*L1819)</f>
        <v/>
      </c>
      <c r="R1819" s="33" t="str">
        <f aca="false">IF(F1819="","",IF(H1819="",F1819,0))</f>
        <v/>
      </c>
      <c r="S1819" s="32" t="str">
        <f aca="false">IF(F1819="","",IF(N(O1819)=0,"",IF(O1819&lt;=30,"1-30",IF(O1819&lt;=60,"31-60",IF(O1819&lt;=90,"61-90","90+")))))</f>
        <v/>
      </c>
      <c r="T1819" s="32" t="str">
        <f aca="false">IF(F1819="","",IF(E1819="","Diğer",E1819))</f>
        <v/>
      </c>
      <c r="U1819" s="32" t="str">
        <f aca="false">IF(OR(F1819="",C1819=""),"",IF(COUNTIF($C$2:C1819,C1819)=1,MAX($U$1:U1818)+1,""))</f>
        <v/>
      </c>
    </row>
    <row r="1820" customFormat="false" ht="15" hidden="false" customHeight="false" outlineLevel="0" collapsed="false">
      <c r="A1820" s="34"/>
      <c r="B1820" s="9"/>
      <c r="C1820" s="34"/>
      <c r="D1820" s="34"/>
      <c r="E1820" s="34"/>
      <c r="F1820" s="35"/>
      <c r="G1820" s="9"/>
      <c r="H1820" s="9"/>
      <c r="I1820" s="34"/>
      <c r="J1820" s="30" t="str">
        <f aca="false">IF(F1820="","",G1820-B1820)</f>
        <v/>
      </c>
      <c r="K1820" s="31" t="str">
        <f aca="false">IF(F1820="","",IF(H1820&lt;&gt;"",H1820,MAX('Vade Sapması'!$D$3,G1820)))</f>
        <v/>
      </c>
      <c r="L1820" s="30" t="str">
        <f aca="false">IF(F1820="","",K1820-B1820)</f>
        <v/>
      </c>
      <c r="M1820" s="30" t="str">
        <f aca="false">IF(F1820="","",L1820-J1820)</f>
        <v/>
      </c>
      <c r="N1820" s="32" t="str">
        <f aca="false">IF(F1820="","",IF(H1820&lt;&gt;"","Kapandı",IF('Vade Sapması'!$D$3&gt;G1820,"Açık · vadesi geçti","Açık · vadesi gelmedi")))</f>
        <v/>
      </c>
      <c r="O1820" s="30" t="str">
        <f aca="false">IF(F1820="","",IF(AND(H1820="",'Vade Sapması'!$D$3&gt;G1820),'Vade Sapması'!$D$3-G1820,0))</f>
        <v/>
      </c>
      <c r="P1820" s="33" t="str">
        <f aca="false">IF(F1820="","",F1820*J1820)</f>
        <v/>
      </c>
      <c r="Q1820" s="33" t="str">
        <f aca="false">IF(F1820="","",F1820*L1820)</f>
        <v/>
      </c>
      <c r="R1820" s="33" t="str">
        <f aca="false">IF(F1820="","",IF(H1820="",F1820,0))</f>
        <v/>
      </c>
      <c r="S1820" s="32" t="str">
        <f aca="false">IF(F1820="","",IF(N(O1820)=0,"",IF(O1820&lt;=30,"1-30",IF(O1820&lt;=60,"31-60",IF(O1820&lt;=90,"61-90","90+")))))</f>
        <v/>
      </c>
      <c r="T1820" s="32" t="str">
        <f aca="false">IF(F1820="","",IF(E1820="","Diğer",E1820))</f>
        <v/>
      </c>
      <c r="U1820" s="32" t="str">
        <f aca="false">IF(OR(F1820="",C1820=""),"",IF(COUNTIF($C$2:C1820,C1820)=1,MAX($U$1:U1819)+1,""))</f>
        <v/>
      </c>
    </row>
    <row r="1821" customFormat="false" ht="15" hidden="false" customHeight="false" outlineLevel="0" collapsed="false">
      <c r="A1821" s="34"/>
      <c r="B1821" s="9"/>
      <c r="C1821" s="34"/>
      <c r="D1821" s="34"/>
      <c r="E1821" s="34"/>
      <c r="F1821" s="35"/>
      <c r="G1821" s="9"/>
      <c r="H1821" s="9"/>
      <c r="I1821" s="34"/>
      <c r="J1821" s="30" t="str">
        <f aca="false">IF(F1821="","",G1821-B1821)</f>
        <v/>
      </c>
      <c r="K1821" s="31" t="str">
        <f aca="false">IF(F1821="","",IF(H1821&lt;&gt;"",H1821,MAX('Vade Sapması'!$D$3,G1821)))</f>
        <v/>
      </c>
      <c r="L1821" s="30" t="str">
        <f aca="false">IF(F1821="","",K1821-B1821)</f>
        <v/>
      </c>
      <c r="M1821" s="30" t="str">
        <f aca="false">IF(F1821="","",L1821-J1821)</f>
        <v/>
      </c>
      <c r="N1821" s="32" t="str">
        <f aca="false">IF(F1821="","",IF(H1821&lt;&gt;"","Kapandı",IF('Vade Sapması'!$D$3&gt;G1821,"Açık · vadesi geçti","Açık · vadesi gelmedi")))</f>
        <v/>
      </c>
      <c r="O1821" s="30" t="str">
        <f aca="false">IF(F1821="","",IF(AND(H1821="",'Vade Sapması'!$D$3&gt;G1821),'Vade Sapması'!$D$3-G1821,0))</f>
        <v/>
      </c>
      <c r="P1821" s="33" t="str">
        <f aca="false">IF(F1821="","",F1821*J1821)</f>
        <v/>
      </c>
      <c r="Q1821" s="33" t="str">
        <f aca="false">IF(F1821="","",F1821*L1821)</f>
        <v/>
      </c>
      <c r="R1821" s="33" t="str">
        <f aca="false">IF(F1821="","",IF(H1821="",F1821,0))</f>
        <v/>
      </c>
      <c r="S1821" s="32" t="str">
        <f aca="false">IF(F1821="","",IF(N(O1821)=0,"",IF(O1821&lt;=30,"1-30",IF(O1821&lt;=60,"31-60",IF(O1821&lt;=90,"61-90","90+")))))</f>
        <v/>
      </c>
      <c r="T1821" s="32" t="str">
        <f aca="false">IF(F1821="","",IF(E1821="","Diğer",E1821))</f>
        <v/>
      </c>
      <c r="U1821" s="32" t="str">
        <f aca="false">IF(OR(F1821="",C1821=""),"",IF(COUNTIF($C$2:C1821,C1821)=1,MAX($U$1:U1820)+1,""))</f>
        <v/>
      </c>
    </row>
    <row r="1822" customFormat="false" ht="15" hidden="false" customHeight="false" outlineLevel="0" collapsed="false">
      <c r="A1822" s="34"/>
      <c r="B1822" s="9"/>
      <c r="C1822" s="34"/>
      <c r="D1822" s="34"/>
      <c r="E1822" s="34"/>
      <c r="F1822" s="35"/>
      <c r="G1822" s="9"/>
      <c r="H1822" s="9"/>
      <c r="I1822" s="34"/>
      <c r="J1822" s="30" t="str">
        <f aca="false">IF(F1822="","",G1822-B1822)</f>
        <v/>
      </c>
      <c r="K1822" s="31" t="str">
        <f aca="false">IF(F1822="","",IF(H1822&lt;&gt;"",H1822,MAX('Vade Sapması'!$D$3,G1822)))</f>
        <v/>
      </c>
      <c r="L1822" s="30" t="str">
        <f aca="false">IF(F1822="","",K1822-B1822)</f>
        <v/>
      </c>
      <c r="M1822" s="30" t="str">
        <f aca="false">IF(F1822="","",L1822-J1822)</f>
        <v/>
      </c>
      <c r="N1822" s="32" t="str">
        <f aca="false">IF(F1822="","",IF(H1822&lt;&gt;"","Kapandı",IF('Vade Sapması'!$D$3&gt;G1822,"Açık · vadesi geçti","Açık · vadesi gelmedi")))</f>
        <v/>
      </c>
      <c r="O1822" s="30" t="str">
        <f aca="false">IF(F1822="","",IF(AND(H1822="",'Vade Sapması'!$D$3&gt;G1822),'Vade Sapması'!$D$3-G1822,0))</f>
        <v/>
      </c>
      <c r="P1822" s="33" t="str">
        <f aca="false">IF(F1822="","",F1822*J1822)</f>
        <v/>
      </c>
      <c r="Q1822" s="33" t="str">
        <f aca="false">IF(F1822="","",F1822*L1822)</f>
        <v/>
      </c>
      <c r="R1822" s="33" t="str">
        <f aca="false">IF(F1822="","",IF(H1822="",F1822,0))</f>
        <v/>
      </c>
      <c r="S1822" s="32" t="str">
        <f aca="false">IF(F1822="","",IF(N(O1822)=0,"",IF(O1822&lt;=30,"1-30",IF(O1822&lt;=60,"31-60",IF(O1822&lt;=90,"61-90","90+")))))</f>
        <v/>
      </c>
      <c r="T1822" s="32" t="str">
        <f aca="false">IF(F1822="","",IF(E1822="","Diğer",E1822))</f>
        <v/>
      </c>
      <c r="U1822" s="32" t="str">
        <f aca="false">IF(OR(F1822="",C1822=""),"",IF(COUNTIF($C$2:C1822,C1822)=1,MAX($U$1:U1821)+1,""))</f>
        <v/>
      </c>
    </row>
    <row r="1823" customFormat="false" ht="15" hidden="false" customHeight="false" outlineLevel="0" collapsed="false">
      <c r="A1823" s="34"/>
      <c r="B1823" s="9"/>
      <c r="C1823" s="34"/>
      <c r="D1823" s="34"/>
      <c r="E1823" s="34"/>
      <c r="F1823" s="35"/>
      <c r="G1823" s="9"/>
      <c r="H1823" s="9"/>
      <c r="I1823" s="34"/>
      <c r="J1823" s="30" t="str">
        <f aca="false">IF(F1823="","",G1823-B1823)</f>
        <v/>
      </c>
      <c r="K1823" s="31" t="str">
        <f aca="false">IF(F1823="","",IF(H1823&lt;&gt;"",H1823,MAX('Vade Sapması'!$D$3,G1823)))</f>
        <v/>
      </c>
      <c r="L1823" s="30" t="str">
        <f aca="false">IF(F1823="","",K1823-B1823)</f>
        <v/>
      </c>
      <c r="M1823" s="30" t="str">
        <f aca="false">IF(F1823="","",L1823-J1823)</f>
        <v/>
      </c>
      <c r="N1823" s="32" t="str">
        <f aca="false">IF(F1823="","",IF(H1823&lt;&gt;"","Kapandı",IF('Vade Sapması'!$D$3&gt;G1823,"Açık · vadesi geçti","Açık · vadesi gelmedi")))</f>
        <v/>
      </c>
      <c r="O1823" s="30" t="str">
        <f aca="false">IF(F1823="","",IF(AND(H1823="",'Vade Sapması'!$D$3&gt;G1823),'Vade Sapması'!$D$3-G1823,0))</f>
        <v/>
      </c>
      <c r="P1823" s="33" t="str">
        <f aca="false">IF(F1823="","",F1823*J1823)</f>
        <v/>
      </c>
      <c r="Q1823" s="33" t="str">
        <f aca="false">IF(F1823="","",F1823*L1823)</f>
        <v/>
      </c>
      <c r="R1823" s="33" t="str">
        <f aca="false">IF(F1823="","",IF(H1823="",F1823,0))</f>
        <v/>
      </c>
      <c r="S1823" s="32" t="str">
        <f aca="false">IF(F1823="","",IF(N(O1823)=0,"",IF(O1823&lt;=30,"1-30",IF(O1823&lt;=60,"31-60",IF(O1823&lt;=90,"61-90","90+")))))</f>
        <v/>
      </c>
      <c r="T1823" s="32" t="str">
        <f aca="false">IF(F1823="","",IF(E1823="","Diğer",E1823))</f>
        <v/>
      </c>
      <c r="U1823" s="32" t="str">
        <f aca="false">IF(OR(F1823="",C1823=""),"",IF(COUNTIF($C$2:C1823,C1823)=1,MAX($U$1:U1822)+1,""))</f>
        <v/>
      </c>
    </row>
    <row r="1824" customFormat="false" ht="15" hidden="false" customHeight="false" outlineLevel="0" collapsed="false">
      <c r="A1824" s="34"/>
      <c r="B1824" s="9"/>
      <c r="C1824" s="34"/>
      <c r="D1824" s="34"/>
      <c r="E1824" s="34"/>
      <c r="F1824" s="35"/>
      <c r="G1824" s="9"/>
      <c r="H1824" s="9"/>
      <c r="I1824" s="34"/>
      <c r="J1824" s="30" t="str">
        <f aca="false">IF(F1824="","",G1824-B1824)</f>
        <v/>
      </c>
      <c r="K1824" s="31" t="str">
        <f aca="false">IF(F1824="","",IF(H1824&lt;&gt;"",H1824,MAX('Vade Sapması'!$D$3,G1824)))</f>
        <v/>
      </c>
      <c r="L1824" s="30" t="str">
        <f aca="false">IF(F1824="","",K1824-B1824)</f>
        <v/>
      </c>
      <c r="M1824" s="30" t="str">
        <f aca="false">IF(F1824="","",L1824-J1824)</f>
        <v/>
      </c>
      <c r="N1824" s="32" t="str">
        <f aca="false">IF(F1824="","",IF(H1824&lt;&gt;"","Kapandı",IF('Vade Sapması'!$D$3&gt;G1824,"Açık · vadesi geçti","Açık · vadesi gelmedi")))</f>
        <v/>
      </c>
      <c r="O1824" s="30" t="str">
        <f aca="false">IF(F1824="","",IF(AND(H1824="",'Vade Sapması'!$D$3&gt;G1824),'Vade Sapması'!$D$3-G1824,0))</f>
        <v/>
      </c>
      <c r="P1824" s="33" t="str">
        <f aca="false">IF(F1824="","",F1824*J1824)</f>
        <v/>
      </c>
      <c r="Q1824" s="33" t="str">
        <f aca="false">IF(F1824="","",F1824*L1824)</f>
        <v/>
      </c>
      <c r="R1824" s="33" t="str">
        <f aca="false">IF(F1824="","",IF(H1824="",F1824,0))</f>
        <v/>
      </c>
      <c r="S1824" s="32" t="str">
        <f aca="false">IF(F1824="","",IF(N(O1824)=0,"",IF(O1824&lt;=30,"1-30",IF(O1824&lt;=60,"31-60",IF(O1824&lt;=90,"61-90","90+")))))</f>
        <v/>
      </c>
      <c r="T1824" s="32" t="str">
        <f aca="false">IF(F1824="","",IF(E1824="","Diğer",E1824))</f>
        <v/>
      </c>
      <c r="U1824" s="32" t="str">
        <f aca="false">IF(OR(F1824="",C1824=""),"",IF(COUNTIF($C$2:C1824,C1824)=1,MAX($U$1:U1823)+1,""))</f>
        <v/>
      </c>
    </row>
    <row r="1825" customFormat="false" ht="15" hidden="false" customHeight="false" outlineLevel="0" collapsed="false">
      <c r="A1825" s="34"/>
      <c r="B1825" s="9"/>
      <c r="C1825" s="34"/>
      <c r="D1825" s="34"/>
      <c r="E1825" s="34"/>
      <c r="F1825" s="35"/>
      <c r="G1825" s="9"/>
      <c r="H1825" s="9"/>
      <c r="I1825" s="34"/>
      <c r="J1825" s="30" t="str">
        <f aca="false">IF(F1825="","",G1825-B1825)</f>
        <v/>
      </c>
      <c r="K1825" s="31" t="str">
        <f aca="false">IF(F1825="","",IF(H1825&lt;&gt;"",H1825,MAX('Vade Sapması'!$D$3,G1825)))</f>
        <v/>
      </c>
      <c r="L1825" s="30" t="str">
        <f aca="false">IF(F1825="","",K1825-B1825)</f>
        <v/>
      </c>
      <c r="M1825" s="30" t="str">
        <f aca="false">IF(F1825="","",L1825-J1825)</f>
        <v/>
      </c>
      <c r="N1825" s="32" t="str">
        <f aca="false">IF(F1825="","",IF(H1825&lt;&gt;"","Kapandı",IF('Vade Sapması'!$D$3&gt;G1825,"Açık · vadesi geçti","Açık · vadesi gelmedi")))</f>
        <v/>
      </c>
      <c r="O1825" s="30" t="str">
        <f aca="false">IF(F1825="","",IF(AND(H1825="",'Vade Sapması'!$D$3&gt;G1825),'Vade Sapması'!$D$3-G1825,0))</f>
        <v/>
      </c>
      <c r="P1825" s="33" t="str">
        <f aca="false">IF(F1825="","",F1825*J1825)</f>
        <v/>
      </c>
      <c r="Q1825" s="33" t="str">
        <f aca="false">IF(F1825="","",F1825*L1825)</f>
        <v/>
      </c>
      <c r="R1825" s="33" t="str">
        <f aca="false">IF(F1825="","",IF(H1825="",F1825,0))</f>
        <v/>
      </c>
      <c r="S1825" s="32" t="str">
        <f aca="false">IF(F1825="","",IF(N(O1825)=0,"",IF(O1825&lt;=30,"1-30",IF(O1825&lt;=60,"31-60",IF(O1825&lt;=90,"61-90","90+")))))</f>
        <v/>
      </c>
      <c r="T1825" s="32" t="str">
        <f aca="false">IF(F1825="","",IF(E1825="","Diğer",E1825))</f>
        <v/>
      </c>
      <c r="U1825" s="32" t="str">
        <f aca="false">IF(OR(F1825="",C1825=""),"",IF(COUNTIF($C$2:C1825,C1825)=1,MAX($U$1:U1824)+1,""))</f>
        <v/>
      </c>
    </row>
    <row r="1826" customFormat="false" ht="15" hidden="false" customHeight="false" outlineLevel="0" collapsed="false">
      <c r="A1826" s="34"/>
      <c r="B1826" s="9"/>
      <c r="C1826" s="34"/>
      <c r="D1826" s="34"/>
      <c r="E1826" s="34"/>
      <c r="F1826" s="35"/>
      <c r="G1826" s="9"/>
      <c r="H1826" s="9"/>
      <c r="I1826" s="34"/>
      <c r="J1826" s="30" t="str">
        <f aca="false">IF(F1826="","",G1826-B1826)</f>
        <v/>
      </c>
      <c r="K1826" s="31" t="str">
        <f aca="false">IF(F1826="","",IF(H1826&lt;&gt;"",H1826,MAX('Vade Sapması'!$D$3,G1826)))</f>
        <v/>
      </c>
      <c r="L1826" s="30" t="str">
        <f aca="false">IF(F1826="","",K1826-B1826)</f>
        <v/>
      </c>
      <c r="M1826" s="30" t="str">
        <f aca="false">IF(F1826="","",L1826-J1826)</f>
        <v/>
      </c>
      <c r="N1826" s="32" t="str">
        <f aca="false">IF(F1826="","",IF(H1826&lt;&gt;"","Kapandı",IF('Vade Sapması'!$D$3&gt;G1826,"Açık · vadesi geçti","Açık · vadesi gelmedi")))</f>
        <v/>
      </c>
      <c r="O1826" s="30" t="str">
        <f aca="false">IF(F1826="","",IF(AND(H1826="",'Vade Sapması'!$D$3&gt;G1826),'Vade Sapması'!$D$3-G1826,0))</f>
        <v/>
      </c>
      <c r="P1826" s="33" t="str">
        <f aca="false">IF(F1826="","",F1826*J1826)</f>
        <v/>
      </c>
      <c r="Q1826" s="33" t="str">
        <f aca="false">IF(F1826="","",F1826*L1826)</f>
        <v/>
      </c>
      <c r="R1826" s="33" t="str">
        <f aca="false">IF(F1826="","",IF(H1826="",F1826,0))</f>
        <v/>
      </c>
      <c r="S1826" s="32" t="str">
        <f aca="false">IF(F1826="","",IF(N(O1826)=0,"",IF(O1826&lt;=30,"1-30",IF(O1826&lt;=60,"31-60",IF(O1826&lt;=90,"61-90","90+")))))</f>
        <v/>
      </c>
      <c r="T1826" s="32" t="str">
        <f aca="false">IF(F1826="","",IF(E1826="","Diğer",E1826))</f>
        <v/>
      </c>
      <c r="U1826" s="32" t="str">
        <f aca="false">IF(OR(F1826="",C1826=""),"",IF(COUNTIF($C$2:C1826,C1826)=1,MAX($U$1:U1825)+1,""))</f>
        <v/>
      </c>
    </row>
    <row r="1827" customFormat="false" ht="15" hidden="false" customHeight="false" outlineLevel="0" collapsed="false">
      <c r="A1827" s="34"/>
      <c r="B1827" s="9"/>
      <c r="C1827" s="34"/>
      <c r="D1827" s="34"/>
      <c r="E1827" s="34"/>
      <c r="F1827" s="35"/>
      <c r="G1827" s="9"/>
      <c r="H1827" s="9"/>
      <c r="I1827" s="34"/>
      <c r="J1827" s="30" t="str">
        <f aca="false">IF(F1827="","",G1827-B1827)</f>
        <v/>
      </c>
      <c r="K1827" s="31" t="str">
        <f aca="false">IF(F1827="","",IF(H1827&lt;&gt;"",H1827,MAX('Vade Sapması'!$D$3,G1827)))</f>
        <v/>
      </c>
      <c r="L1827" s="30" t="str">
        <f aca="false">IF(F1827="","",K1827-B1827)</f>
        <v/>
      </c>
      <c r="M1827" s="30" t="str">
        <f aca="false">IF(F1827="","",L1827-J1827)</f>
        <v/>
      </c>
      <c r="N1827" s="32" t="str">
        <f aca="false">IF(F1827="","",IF(H1827&lt;&gt;"","Kapandı",IF('Vade Sapması'!$D$3&gt;G1827,"Açık · vadesi geçti","Açık · vadesi gelmedi")))</f>
        <v/>
      </c>
      <c r="O1827" s="30" t="str">
        <f aca="false">IF(F1827="","",IF(AND(H1827="",'Vade Sapması'!$D$3&gt;G1827),'Vade Sapması'!$D$3-G1827,0))</f>
        <v/>
      </c>
      <c r="P1827" s="33" t="str">
        <f aca="false">IF(F1827="","",F1827*J1827)</f>
        <v/>
      </c>
      <c r="Q1827" s="33" t="str">
        <f aca="false">IF(F1827="","",F1827*L1827)</f>
        <v/>
      </c>
      <c r="R1827" s="33" t="str">
        <f aca="false">IF(F1827="","",IF(H1827="",F1827,0))</f>
        <v/>
      </c>
      <c r="S1827" s="32" t="str">
        <f aca="false">IF(F1827="","",IF(N(O1827)=0,"",IF(O1827&lt;=30,"1-30",IF(O1827&lt;=60,"31-60",IF(O1827&lt;=90,"61-90","90+")))))</f>
        <v/>
      </c>
      <c r="T1827" s="32" t="str">
        <f aca="false">IF(F1827="","",IF(E1827="","Diğer",E1827))</f>
        <v/>
      </c>
      <c r="U1827" s="32" t="str">
        <f aca="false">IF(OR(F1827="",C1827=""),"",IF(COUNTIF($C$2:C1827,C1827)=1,MAX($U$1:U1826)+1,""))</f>
        <v/>
      </c>
    </row>
    <row r="1828" customFormat="false" ht="15" hidden="false" customHeight="false" outlineLevel="0" collapsed="false">
      <c r="A1828" s="34"/>
      <c r="B1828" s="9"/>
      <c r="C1828" s="34"/>
      <c r="D1828" s="34"/>
      <c r="E1828" s="34"/>
      <c r="F1828" s="35"/>
      <c r="G1828" s="9"/>
      <c r="H1828" s="9"/>
      <c r="I1828" s="34"/>
      <c r="J1828" s="30" t="str">
        <f aca="false">IF(F1828="","",G1828-B1828)</f>
        <v/>
      </c>
      <c r="K1828" s="31" t="str">
        <f aca="false">IF(F1828="","",IF(H1828&lt;&gt;"",H1828,MAX('Vade Sapması'!$D$3,G1828)))</f>
        <v/>
      </c>
      <c r="L1828" s="30" t="str">
        <f aca="false">IF(F1828="","",K1828-B1828)</f>
        <v/>
      </c>
      <c r="M1828" s="30" t="str">
        <f aca="false">IF(F1828="","",L1828-J1828)</f>
        <v/>
      </c>
      <c r="N1828" s="32" t="str">
        <f aca="false">IF(F1828="","",IF(H1828&lt;&gt;"","Kapandı",IF('Vade Sapması'!$D$3&gt;G1828,"Açık · vadesi geçti","Açık · vadesi gelmedi")))</f>
        <v/>
      </c>
      <c r="O1828" s="30" t="str">
        <f aca="false">IF(F1828="","",IF(AND(H1828="",'Vade Sapması'!$D$3&gt;G1828),'Vade Sapması'!$D$3-G1828,0))</f>
        <v/>
      </c>
      <c r="P1828" s="33" t="str">
        <f aca="false">IF(F1828="","",F1828*J1828)</f>
        <v/>
      </c>
      <c r="Q1828" s="33" t="str">
        <f aca="false">IF(F1828="","",F1828*L1828)</f>
        <v/>
      </c>
      <c r="R1828" s="33" t="str">
        <f aca="false">IF(F1828="","",IF(H1828="",F1828,0))</f>
        <v/>
      </c>
      <c r="S1828" s="32" t="str">
        <f aca="false">IF(F1828="","",IF(N(O1828)=0,"",IF(O1828&lt;=30,"1-30",IF(O1828&lt;=60,"31-60",IF(O1828&lt;=90,"61-90","90+")))))</f>
        <v/>
      </c>
      <c r="T1828" s="32" t="str">
        <f aca="false">IF(F1828="","",IF(E1828="","Diğer",E1828))</f>
        <v/>
      </c>
      <c r="U1828" s="32" t="str">
        <f aca="false">IF(OR(F1828="",C1828=""),"",IF(COUNTIF($C$2:C1828,C1828)=1,MAX($U$1:U1827)+1,""))</f>
        <v/>
      </c>
    </row>
    <row r="1829" customFormat="false" ht="15" hidden="false" customHeight="false" outlineLevel="0" collapsed="false">
      <c r="A1829" s="34"/>
      <c r="B1829" s="9"/>
      <c r="C1829" s="34"/>
      <c r="D1829" s="34"/>
      <c r="E1829" s="34"/>
      <c r="F1829" s="35"/>
      <c r="G1829" s="9"/>
      <c r="H1829" s="9"/>
      <c r="I1829" s="34"/>
      <c r="J1829" s="30" t="str">
        <f aca="false">IF(F1829="","",G1829-B1829)</f>
        <v/>
      </c>
      <c r="K1829" s="31" t="str">
        <f aca="false">IF(F1829="","",IF(H1829&lt;&gt;"",H1829,MAX('Vade Sapması'!$D$3,G1829)))</f>
        <v/>
      </c>
      <c r="L1829" s="30" t="str">
        <f aca="false">IF(F1829="","",K1829-B1829)</f>
        <v/>
      </c>
      <c r="M1829" s="30" t="str">
        <f aca="false">IF(F1829="","",L1829-J1829)</f>
        <v/>
      </c>
      <c r="N1829" s="32" t="str">
        <f aca="false">IF(F1829="","",IF(H1829&lt;&gt;"","Kapandı",IF('Vade Sapması'!$D$3&gt;G1829,"Açık · vadesi geçti","Açık · vadesi gelmedi")))</f>
        <v/>
      </c>
      <c r="O1829" s="30" t="str">
        <f aca="false">IF(F1829="","",IF(AND(H1829="",'Vade Sapması'!$D$3&gt;G1829),'Vade Sapması'!$D$3-G1829,0))</f>
        <v/>
      </c>
      <c r="P1829" s="33" t="str">
        <f aca="false">IF(F1829="","",F1829*J1829)</f>
        <v/>
      </c>
      <c r="Q1829" s="33" t="str">
        <f aca="false">IF(F1829="","",F1829*L1829)</f>
        <v/>
      </c>
      <c r="R1829" s="33" t="str">
        <f aca="false">IF(F1829="","",IF(H1829="",F1829,0))</f>
        <v/>
      </c>
      <c r="S1829" s="32" t="str">
        <f aca="false">IF(F1829="","",IF(N(O1829)=0,"",IF(O1829&lt;=30,"1-30",IF(O1829&lt;=60,"31-60",IF(O1829&lt;=90,"61-90","90+")))))</f>
        <v/>
      </c>
      <c r="T1829" s="32" t="str">
        <f aca="false">IF(F1829="","",IF(E1829="","Diğer",E1829))</f>
        <v/>
      </c>
      <c r="U1829" s="32" t="str">
        <f aca="false">IF(OR(F1829="",C1829=""),"",IF(COUNTIF($C$2:C1829,C1829)=1,MAX($U$1:U1828)+1,""))</f>
        <v/>
      </c>
    </row>
    <row r="1830" customFormat="false" ht="15" hidden="false" customHeight="false" outlineLevel="0" collapsed="false">
      <c r="A1830" s="34"/>
      <c r="B1830" s="9"/>
      <c r="C1830" s="34"/>
      <c r="D1830" s="34"/>
      <c r="E1830" s="34"/>
      <c r="F1830" s="35"/>
      <c r="G1830" s="9"/>
      <c r="H1830" s="9"/>
      <c r="I1830" s="34"/>
      <c r="J1830" s="30" t="str">
        <f aca="false">IF(F1830="","",G1830-B1830)</f>
        <v/>
      </c>
      <c r="K1830" s="31" t="str">
        <f aca="false">IF(F1830="","",IF(H1830&lt;&gt;"",H1830,MAX('Vade Sapması'!$D$3,G1830)))</f>
        <v/>
      </c>
      <c r="L1830" s="30" t="str">
        <f aca="false">IF(F1830="","",K1830-B1830)</f>
        <v/>
      </c>
      <c r="M1830" s="30" t="str">
        <f aca="false">IF(F1830="","",L1830-J1830)</f>
        <v/>
      </c>
      <c r="N1830" s="32" t="str">
        <f aca="false">IF(F1830="","",IF(H1830&lt;&gt;"","Kapandı",IF('Vade Sapması'!$D$3&gt;G1830,"Açık · vadesi geçti","Açık · vadesi gelmedi")))</f>
        <v/>
      </c>
      <c r="O1830" s="30" t="str">
        <f aca="false">IF(F1830="","",IF(AND(H1830="",'Vade Sapması'!$D$3&gt;G1830),'Vade Sapması'!$D$3-G1830,0))</f>
        <v/>
      </c>
      <c r="P1830" s="33" t="str">
        <f aca="false">IF(F1830="","",F1830*J1830)</f>
        <v/>
      </c>
      <c r="Q1830" s="33" t="str">
        <f aca="false">IF(F1830="","",F1830*L1830)</f>
        <v/>
      </c>
      <c r="R1830" s="33" t="str">
        <f aca="false">IF(F1830="","",IF(H1830="",F1830,0))</f>
        <v/>
      </c>
      <c r="S1830" s="32" t="str">
        <f aca="false">IF(F1830="","",IF(N(O1830)=0,"",IF(O1830&lt;=30,"1-30",IF(O1830&lt;=60,"31-60",IF(O1830&lt;=90,"61-90","90+")))))</f>
        <v/>
      </c>
      <c r="T1830" s="32" t="str">
        <f aca="false">IF(F1830="","",IF(E1830="","Diğer",E1830))</f>
        <v/>
      </c>
      <c r="U1830" s="32" t="str">
        <f aca="false">IF(OR(F1830="",C1830=""),"",IF(COUNTIF($C$2:C1830,C1830)=1,MAX($U$1:U1829)+1,""))</f>
        <v/>
      </c>
    </row>
    <row r="1831" customFormat="false" ht="15" hidden="false" customHeight="false" outlineLevel="0" collapsed="false">
      <c r="A1831" s="34"/>
      <c r="B1831" s="9"/>
      <c r="C1831" s="34"/>
      <c r="D1831" s="34"/>
      <c r="E1831" s="34"/>
      <c r="F1831" s="35"/>
      <c r="G1831" s="9"/>
      <c r="H1831" s="9"/>
      <c r="I1831" s="34"/>
      <c r="J1831" s="30" t="str">
        <f aca="false">IF(F1831="","",G1831-B1831)</f>
        <v/>
      </c>
      <c r="K1831" s="31" t="str">
        <f aca="false">IF(F1831="","",IF(H1831&lt;&gt;"",H1831,MAX('Vade Sapması'!$D$3,G1831)))</f>
        <v/>
      </c>
      <c r="L1831" s="30" t="str">
        <f aca="false">IF(F1831="","",K1831-B1831)</f>
        <v/>
      </c>
      <c r="M1831" s="30" t="str">
        <f aca="false">IF(F1831="","",L1831-J1831)</f>
        <v/>
      </c>
      <c r="N1831" s="32" t="str">
        <f aca="false">IF(F1831="","",IF(H1831&lt;&gt;"","Kapandı",IF('Vade Sapması'!$D$3&gt;G1831,"Açık · vadesi geçti","Açık · vadesi gelmedi")))</f>
        <v/>
      </c>
      <c r="O1831" s="30" t="str">
        <f aca="false">IF(F1831="","",IF(AND(H1831="",'Vade Sapması'!$D$3&gt;G1831),'Vade Sapması'!$D$3-G1831,0))</f>
        <v/>
      </c>
      <c r="P1831" s="33" t="str">
        <f aca="false">IF(F1831="","",F1831*J1831)</f>
        <v/>
      </c>
      <c r="Q1831" s="33" t="str">
        <f aca="false">IF(F1831="","",F1831*L1831)</f>
        <v/>
      </c>
      <c r="R1831" s="33" t="str">
        <f aca="false">IF(F1831="","",IF(H1831="",F1831,0))</f>
        <v/>
      </c>
      <c r="S1831" s="32" t="str">
        <f aca="false">IF(F1831="","",IF(N(O1831)=0,"",IF(O1831&lt;=30,"1-30",IF(O1831&lt;=60,"31-60",IF(O1831&lt;=90,"61-90","90+")))))</f>
        <v/>
      </c>
      <c r="T1831" s="32" t="str">
        <f aca="false">IF(F1831="","",IF(E1831="","Diğer",E1831))</f>
        <v/>
      </c>
      <c r="U1831" s="32" t="str">
        <f aca="false">IF(OR(F1831="",C1831=""),"",IF(COUNTIF($C$2:C1831,C1831)=1,MAX($U$1:U1830)+1,""))</f>
        <v/>
      </c>
    </row>
    <row r="1832" customFormat="false" ht="15" hidden="false" customHeight="false" outlineLevel="0" collapsed="false">
      <c r="A1832" s="34"/>
      <c r="B1832" s="9"/>
      <c r="C1832" s="34"/>
      <c r="D1832" s="34"/>
      <c r="E1832" s="34"/>
      <c r="F1832" s="35"/>
      <c r="G1832" s="9"/>
      <c r="H1832" s="9"/>
      <c r="I1832" s="34"/>
      <c r="J1832" s="30" t="str">
        <f aca="false">IF(F1832="","",G1832-B1832)</f>
        <v/>
      </c>
      <c r="K1832" s="31" t="str">
        <f aca="false">IF(F1832="","",IF(H1832&lt;&gt;"",H1832,MAX('Vade Sapması'!$D$3,G1832)))</f>
        <v/>
      </c>
      <c r="L1832" s="30" t="str">
        <f aca="false">IF(F1832="","",K1832-B1832)</f>
        <v/>
      </c>
      <c r="M1832" s="30" t="str">
        <f aca="false">IF(F1832="","",L1832-J1832)</f>
        <v/>
      </c>
      <c r="N1832" s="32" t="str">
        <f aca="false">IF(F1832="","",IF(H1832&lt;&gt;"","Kapandı",IF('Vade Sapması'!$D$3&gt;G1832,"Açık · vadesi geçti","Açık · vadesi gelmedi")))</f>
        <v/>
      </c>
      <c r="O1832" s="30" t="str">
        <f aca="false">IF(F1832="","",IF(AND(H1832="",'Vade Sapması'!$D$3&gt;G1832),'Vade Sapması'!$D$3-G1832,0))</f>
        <v/>
      </c>
      <c r="P1832" s="33" t="str">
        <f aca="false">IF(F1832="","",F1832*J1832)</f>
        <v/>
      </c>
      <c r="Q1832" s="33" t="str">
        <f aca="false">IF(F1832="","",F1832*L1832)</f>
        <v/>
      </c>
      <c r="R1832" s="33" t="str">
        <f aca="false">IF(F1832="","",IF(H1832="",F1832,0))</f>
        <v/>
      </c>
      <c r="S1832" s="32" t="str">
        <f aca="false">IF(F1832="","",IF(N(O1832)=0,"",IF(O1832&lt;=30,"1-30",IF(O1832&lt;=60,"31-60",IF(O1832&lt;=90,"61-90","90+")))))</f>
        <v/>
      </c>
      <c r="T1832" s="32" t="str">
        <f aca="false">IF(F1832="","",IF(E1832="","Diğer",E1832))</f>
        <v/>
      </c>
      <c r="U1832" s="32" t="str">
        <f aca="false">IF(OR(F1832="",C1832=""),"",IF(COUNTIF($C$2:C1832,C1832)=1,MAX($U$1:U1831)+1,""))</f>
        <v/>
      </c>
    </row>
    <row r="1833" customFormat="false" ht="15" hidden="false" customHeight="false" outlineLevel="0" collapsed="false">
      <c r="A1833" s="34"/>
      <c r="B1833" s="9"/>
      <c r="C1833" s="34"/>
      <c r="D1833" s="34"/>
      <c r="E1833" s="34"/>
      <c r="F1833" s="35"/>
      <c r="G1833" s="9"/>
      <c r="H1833" s="9"/>
      <c r="I1833" s="34"/>
      <c r="J1833" s="30" t="str">
        <f aca="false">IF(F1833="","",G1833-B1833)</f>
        <v/>
      </c>
      <c r="K1833" s="31" t="str">
        <f aca="false">IF(F1833="","",IF(H1833&lt;&gt;"",H1833,MAX('Vade Sapması'!$D$3,G1833)))</f>
        <v/>
      </c>
      <c r="L1833" s="30" t="str">
        <f aca="false">IF(F1833="","",K1833-B1833)</f>
        <v/>
      </c>
      <c r="M1833" s="30" t="str">
        <f aca="false">IF(F1833="","",L1833-J1833)</f>
        <v/>
      </c>
      <c r="N1833" s="32" t="str">
        <f aca="false">IF(F1833="","",IF(H1833&lt;&gt;"","Kapandı",IF('Vade Sapması'!$D$3&gt;G1833,"Açık · vadesi geçti","Açık · vadesi gelmedi")))</f>
        <v/>
      </c>
      <c r="O1833" s="30" t="str">
        <f aca="false">IF(F1833="","",IF(AND(H1833="",'Vade Sapması'!$D$3&gt;G1833),'Vade Sapması'!$D$3-G1833,0))</f>
        <v/>
      </c>
      <c r="P1833" s="33" t="str">
        <f aca="false">IF(F1833="","",F1833*J1833)</f>
        <v/>
      </c>
      <c r="Q1833" s="33" t="str">
        <f aca="false">IF(F1833="","",F1833*L1833)</f>
        <v/>
      </c>
      <c r="R1833" s="33" t="str">
        <f aca="false">IF(F1833="","",IF(H1833="",F1833,0))</f>
        <v/>
      </c>
      <c r="S1833" s="32" t="str">
        <f aca="false">IF(F1833="","",IF(N(O1833)=0,"",IF(O1833&lt;=30,"1-30",IF(O1833&lt;=60,"31-60",IF(O1833&lt;=90,"61-90","90+")))))</f>
        <v/>
      </c>
      <c r="T1833" s="32" t="str">
        <f aca="false">IF(F1833="","",IF(E1833="","Diğer",E1833))</f>
        <v/>
      </c>
      <c r="U1833" s="32" t="str">
        <f aca="false">IF(OR(F1833="",C1833=""),"",IF(COUNTIF($C$2:C1833,C1833)=1,MAX($U$1:U1832)+1,""))</f>
        <v/>
      </c>
    </row>
    <row r="1834" customFormat="false" ht="15" hidden="false" customHeight="false" outlineLevel="0" collapsed="false">
      <c r="A1834" s="34"/>
      <c r="B1834" s="9"/>
      <c r="C1834" s="34"/>
      <c r="D1834" s="34"/>
      <c r="E1834" s="34"/>
      <c r="F1834" s="35"/>
      <c r="G1834" s="9"/>
      <c r="H1834" s="9"/>
      <c r="I1834" s="34"/>
      <c r="J1834" s="30" t="str">
        <f aca="false">IF(F1834="","",G1834-B1834)</f>
        <v/>
      </c>
      <c r="K1834" s="31" t="str">
        <f aca="false">IF(F1834="","",IF(H1834&lt;&gt;"",H1834,MAX('Vade Sapması'!$D$3,G1834)))</f>
        <v/>
      </c>
      <c r="L1834" s="30" t="str">
        <f aca="false">IF(F1834="","",K1834-B1834)</f>
        <v/>
      </c>
      <c r="M1834" s="30" t="str">
        <f aca="false">IF(F1834="","",L1834-J1834)</f>
        <v/>
      </c>
      <c r="N1834" s="32" t="str">
        <f aca="false">IF(F1834="","",IF(H1834&lt;&gt;"","Kapandı",IF('Vade Sapması'!$D$3&gt;G1834,"Açık · vadesi geçti","Açık · vadesi gelmedi")))</f>
        <v/>
      </c>
      <c r="O1834" s="30" t="str">
        <f aca="false">IF(F1834="","",IF(AND(H1834="",'Vade Sapması'!$D$3&gt;G1834),'Vade Sapması'!$D$3-G1834,0))</f>
        <v/>
      </c>
      <c r="P1834" s="33" t="str">
        <f aca="false">IF(F1834="","",F1834*J1834)</f>
        <v/>
      </c>
      <c r="Q1834" s="33" t="str">
        <f aca="false">IF(F1834="","",F1834*L1834)</f>
        <v/>
      </c>
      <c r="R1834" s="33" t="str">
        <f aca="false">IF(F1834="","",IF(H1834="",F1834,0))</f>
        <v/>
      </c>
      <c r="S1834" s="32" t="str">
        <f aca="false">IF(F1834="","",IF(N(O1834)=0,"",IF(O1834&lt;=30,"1-30",IF(O1834&lt;=60,"31-60",IF(O1834&lt;=90,"61-90","90+")))))</f>
        <v/>
      </c>
      <c r="T1834" s="32" t="str">
        <f aca="false">IF(F1834="","",IF(E1834="","Diğer",E1834))</f>
        <v/>
      </c>
      <c r="U1834" s="32" t="str">
        <f aca="false">IF(OR(F1834="",C1834=""),"",IF(COUNTIF($C$2:C1834,C1834)=1,MAX($U$1:U1833)+1,""))</f>
        <v/>
      </c>
    </row>
    <row r="1835" customFormat="false" ht="15" hidden="false" customHeight="false" outlineLevel="0" collapsed="false">
      <c r="A1835" s="34"/>
      <c r="B1835" s="9"/>
      <c r="C1835" s="34"/>
      <c r="D1835" s="34"/>
      <c r="E1835" s="34"/>
      <c r="F1835" s="35"/>
      <c r="G1835" s="9"/>
      <c r="H1835" s="9"/>
      <c r="I1835" s="34"/>
      <c r="J1835" s="30" t="str">
        <f aca="false">IF(F1835="","",G1835-B1835)</f>
        <v/>
      </c>
      <c r="K1835" s="31" t="str">
        <f aca="false">IF(F1835="","",IF(H1835&lt;&gt;"",H1835,MAX('Vade Sapması'!$D$3,G1835)))</f>
        <v/>
      </c>
      <c r="L1835" s="30" t="str">
        <f aca="false">IF(F1835="","",K1835-B1835)</f>
        <v/>
      </c>
      <c r="M1835" s="30" t="str">
        <f aca="false">IF(F1835="","",L1835-J1835)</f>
        <v/>
      </c>
      <c r="N1835" s="32" t="str">
        <f aca="false">IF(F1835="","",IF(H1835&lt;&gt;"","Kapandı",IF('Vade Sapması'!$D$3&gt;G1835,"Açık · vadesi geçti","Açık · vadesi gelmedi")))</f>
        <v/>
      </c>
      <c r="O1835" s="30" t="str">
        <f aca="false">IF(F1835="","",IF(AND(H1835="",'Vade Sapması'!$D$3&gt;G1835),'Vade Sapması'!$D$3-G1835,0))</f>
        <v/>
      </c>
      <c r="P1835" s="33" t="str">
        <f aca="false">IF(F1835="","",F1835*J1835)</f>
        <v/>
      </c>
      <c r="Q1835" s="33" t="str">
        <f aca="false">IF(F1835="","",F1835*L1835)</f>
        <v/>
      </c>
      <c r="R1835" s="33" t="str">
        <f aca="false">IF(F1835="","",IF(H1835="",F1835,0))</f>
        <v/>
      </c>
      <c r="S1835" s="32" t="str">
        <f aca="false">IF(F1835="","",IF(N(O1835)=0,"",IF(O1835&lt;=30,"1-30",IF(O1835&lt;=60,"31-60",IF(O1835&lt;=90,"61-90","90+")))))</f>
        <v/>
      </c>
      <c r="T1835" s="32" t="str">
        <f aca="false">IF(F1835="","",IF(E1835="","Diğer",E1835))</f>
        <v/>
      </c>
      <c r="U1835" s="32" t="str">
        <f aca="false">IF(OR(F1835="",C1835=""),"",IF(COUNTIF($C$2:C1835,C1835)=1,MAX($U$1:U1834)+1,""))</f>
        <v/>
      </c>
    </row>
    <row r="1836" customFormat="false" ht="15" hidden="false" customHeight="false" outlineLevel="0" collapsed="false">
      <c r="A1836" s="34"/>
      <c r="B1836" s="9"/>
      <c r="C1836" s="34"/>
      <c r="D1836" s="34"/>
      <c r="E1836" s="34"/>
      <c r="F1836" s="35"/>
      <c r="G1836" s="9"/>
      <c r="H1836" s="9"/>
      <c r="I1836" s="34"/>
      <c r="J1836" s="30" t="str">
        <f aca="false">IF(F1836="","",G1836-B1836)</f>
        <v/>
      </c>
      <c r="K1836" s="31" t="str">
        <f aca="false">IF(F1836="","",IF(H1836&lt;&gt;"",H1836,MAX('Vade Sapması'!$D$3,G1836)))</f>
        <v/>
      </c>
      <c r="L1836" s="30" t="str">
        <f aca="false">IF(F1836="","",K1836-B1836)</f>
        <v/>
      </c>
      <c r="M1836" s="30" t="str">
        <f aca="false">IF(F1836="","",L1836-J1836)</f>
        <v/>
      </c>
      <c r="N1836" s="32" t="str">
        <f aca="false">IF(F1836="","",IF(H1836&lt;&gt;"","Kapandı",IF('Vade Sapması'!$D$3&gt;G1836,"Açık · vadesi geçti","Açık · vadesi gelmedi")))</f>
        <v/>
      </c>
      <c r="O1836" s="30" t="str">
        <f aca="false">IF(F1836="","",IF(AND(H1836="",'Vade Sapması'!$D$3&gt;G1836),'Vade Sapması'!$D$3-G1836,0))</f>
        <v/>
      </c>
      <c r="P1836" s="33" t="str">
        <f aca="false">IF(F1836="","",F1836*J1836)</f>
        <v/>
      </c>
      <c r="Q1836" s="33" t="str">
        <f aca="false">IF(F1836="","",F1836*L1836)</f>
        <v/>
      </c>
      <c r="R1836" s="33" t="str">
        <f aca="false">IF(F1836="","",IF(H1836="",F1836,0))</f>
        <v/>
      </c>
      <c r="S1836" s="32" t="str">
        <f aca="false">IF(F1836="","",IF(N(O1836)=0,"",IF(O1836&lt;=30,"1-30",IF(O1836&lt;=60,"31-60",IF(O1836&lt;=90,"61-90","90+")))))</f>
        <v/>
      </c>
      <c r="T1836" s="32" t="str">
        <f aca="false">IF(F1836="","",IF(E1836="","Diğer",E1836))</f>
        <v/>
      </c>
      <c r="U1836" s="32" t="str">
        <f aca="false">IF(OR(F1836="",C1836=""),"",IF(COUNTIF($C$2:C1836,C1836)=1,MAX($U$1:U1835)+1,""))</f>
        <v/>
      </c>
    </row>
    <row r="1837" customFormat="false" ht="15" hidden="false" customHeight="false" outlineLevel="0" collapsed="false">
      <c r="A1837" s="34"/>
      <c r="B1837" s="9"/>
      <c r="C1837" s="34"/>
      <c r="D1837" s="34"/>
      <c r="E1837" s="34"/>
      <c r="F1837" s="35"/>
      <c r="G1837" s="9"/>
      <c r="H1837" s="9"/>
      <c r="I1837" s="34"/>
      <c r="J1837" s="30" t="str">
        <f aca="false">IF(F1837="","",G1837-B1837)</f>
        <v/>
      </c>
      <c r="K1837" s="31" t="str">
        <f aca="false">IF(F1837="","",IF(H1837&lt;&gt;"",H1837,MAX('Vade Sapması'!$D$3,G1837)))</f>
        <v/>
      </c>
      <c r="L1837" s="30" t="str">
        <f aca="false">IF(F1837="","",K1837-B1837)</f>
        <v/>
      </c>
      <c r="M1837" s="30" t="str">
        <f aca="false">IF(F1837="","",L1837-J1837)</f>
        <v/>
      </c>
      <c r="N1837" s="32" t="str">
        <f aca="false">IF(F1837="","",IF(H1837&lt;&gt;"","Kapandı",IF('Vade Sapması'!$D$3&gt;G1837,"Açık · vadesi geçti","Açık · vadesi gelmedi")))</f>
        <v/>
      </c>
      <c r="O1837" s="30" t="str">
        <f aca="false">IF(F1837="","",IF(AND(H1837="",'Vade Sapması'!$D$3&gt;G1837),'Vade Sapması'!$D$3-G1837,0))</f>
        <v/>
      </c>
      <c r="P1837" s="33" t="str">
        <f aca="false">IF(F1837="","",F1837*J1837)</f>
        <v/>
      </c>
      <c r="Q1837" s="33" t="str">
        <f aca="false">IF(F1837="","",F1837*L1837)</f>
        <v/>
      </c>
      <c r="R1837" s="33" t="str">
        <f aca="false">IF(F1837="","",IF(H1837="",F1837,0))</f>
        <v/>
      </c>
      <c r="S1837" s="32" t="str">
        <f aca="false">IF(F1837="","",IF(N(O1837)=0,"",IF(O1837&lt;=30,"1-30",IF(O1837&lt;=60,"31-60",IF(O1837&lt;=90,"61-90","90+")))))</f>
        <v/>
      </c>
      <c r="T1837" s="32" t="str">
        <f aca="false">IF(F1837="","",IF(E1837="","Diğer",E1837))</f>
        <v/>
      </c>
      <c r="U1837" s="32" t="str">
        <f aca="false">IF(OR(F1837="",C1837=""),"",IF(COUNTIF($C$2:C1837,C1837)=1,MAX($U$1:U1836)+1,""))</f>
        <v/>
      </c>
    </row>
    <row r="1838" customFormat="false" ht="15" hidden="false" customHeight="false" outlineLevel="0" collapsed="false">
      <c r="A1838" s="34"/>
      <c r="B1838" s="9"/>
      <c r="C1838" s="34"/>
      <c r="D1838" s="34"/>
      <c r="E1838" s="34"/>
      <c r="F1838" s="35"/>
      <c r="G1838" s="9"/>
      <c r="H1838" s="9"/>
      <c r="I1838" s="34"/>
      <c r="J1838" s="30" t="str">
        <f aca="false">IF(F1838="","",G1838-B1838)</f>
        <v/>
      </c>
      <c r="K1838" s="31" t="str">
        <f aca="false">IF(F1838="","",IF(H1838&lt;&gt;"",H1838,MAX('Vade Sapması'!$D$3,G1838)))</f>
        <v/>
      </c>
      <c r="L1838" s="30" t="str">
        <f aca="false">IF(F1838="","",K1838-B1838)</f>
        <v/>
      </c>
      <c r="M1838" s="30" t="str">
        <f aca="false">IF(F1838="","",L1838-J1838)</f>
        <v/>
      </c>
      <c r="N1838" s="32" t="str">
        <f aca="false">IF(F1838="","",IF(H1838&lt;&gt;"","Kapandı",IF('Vade Sapması'!$D$3&gt;G1838,"Açık · vadesi geçti","Açık · vadesi gelmedi")))</f>
        <v/>
      </c>
      <c r="O1838" s="30" t="str">
        <f aca="false">IF(F1838="","",IF(AND(H1838="",'Vade Sapması'!$D$3&gt;G1838),'Vade Sapması'!$D$3-G1838,0))</f>
        <v/>
      </c>
      <c r="P1838" s="33" t="str">
        <f aca="false">IF(F1838="","",F1838*J1838)</f>
        <v/>
      </c>
      <c r="Q1838" s="33" t="str">
        <f aca="false">IF(F1838="","",F1838*L1838)</f>
        <v/>
      </c>
      <c r="R1838" s="33" t="str">
        <f aca="false">IF(F1838="","",IF(H1838="",F1838,0))</f>
        <v/>
      </c>
      <c r="S1838" s="32" t="str">
        <f aca="false">IF(F1838="","",IF(N(O1838)=0,"",IF(O1838&lt;=30,"1-30",IF(O1838&lt;=60,"31-60",IF(O1838&lt;=90,"61-90","90+")))))</f>
        <v/>
      </c>
      <c r="T1838" s="32" t="str">
        <f aca="false">IF(F1838="","",IF(E1838="","Diğer",E1838))</f>
        <v/>
      </c>
      <c r="U1838" s="32" t="str">
        <f aca="false">IF(OR(F1838="",C1838=""),"",IF(COUNTIF($C$2:C1838,C1838)=1,MAX($U$1:U1837)+1,""))</f>
        <v/>
      </c>
    </row>
    <row r="1839" customFormat="false" ht="15" hidden="false" customHeight="false" outlineLevel="0" collapsed="false">
      <c r="A1839" s="34"/>
      <c r="B1839" s="9"/>
      <c r="C1839" s="34"/>
      <c r="D1839" s="34"/>
      <c r="E1839" s="34"/>
      <c r="F1839" s="35"/>
      <c r="G1839" s="9"/>
      <c r="H1839" s="9"/>
      <c r="I1839" s="34"/>
      <c r="J1839" s="30" t="str">
        <f aca="false">IF(F1839="","",G1839-B1839)</f>
        <v/>
      </c>
      <c r="K1839" s="31" t="str">
        <f aca="false">IF(F1839="","",IF(H1839&lt;&gt;"",H1839,MAX('Vade Sapması'!$D$3,G1839)))</f>
        <v/>
      </c>
      <c r="L1839" s="30" t="str">
        <f aca="false">IF(F1839="","",K1839-B1839)</f>
        <v/>
      </c>
      <c r="M1839" s="30" t="str">
        <f aca="false">IF(F1839="","",L1839-J1839)</f>
        <v/>
      </c>
      <c r="N1839" s="32" t="str">
        <f aca="false">IF(F1839="","",IF(H1839&lt;&gt;"","Kapandı",IF('Vade Sapması'!$D$3&gt;G1839,"Açık · vadesi geçti","Açık · vadesi gelmedi")))</f>
        <v/>
      </c>
      <c r="O1839" s="30" t="str">
        <f aca="false">IF(F1839="","",IF(AND(H1839="",'Vade Sapması'!$D$3&gt;G1839),'Vade Sapması'!$D$3-G1839,0))</f>
        <v/>
      </c>
      <c r="P1839" s="33" t="str">
        <f aca="false">IF(F1839="","",F1839*J1839)</f>
        <v/>
      </c>
      <c r="Q1839" s="33" t="str">
        <f aca="false">IF(F1839="","",F1839*L1839)</f>
        <v/>
      </c>
      <c r="R1839" s="33" t="str">
        <f aca="false">IF(F1839="","",IF(H1839="",F1839,0))</f>
        <v/>
      </c>
      <c r="S1839" s="32" t="str">
        <f aca="false">IF(F1839="","",IF(N(O1839)=0,"",IF(O1839&lt;=30,"1-30",IF(O1839&lt;=60,"31-60",IF(O1839&lt;=90,"61-90","90+")))))</f>
        <v/>
      </c>
      <c r="T1839" s="32" t="str">
        <f aca="false">IF(F1839="","",IF(E1839="","Diğer",E1839))</f>
        <v/>
      </c>
      <c r="U1839" s="32" t="str">
        <f aca="false">IF(OR(F1839="",C1839=""),"",IF(COUNTIF($C$2:C1839,C1839)=1,MAX($U$1:U1838)+1,""))</f>
        <v/>
      </c>
    </row>
    <row r="1840" customFormat="false" ht="15" hidden="false" customHeight="false" outlineLevel="0" collapsed="false">
      <c r="A1840" s="34"/>
      <c r="B1840" s="9"/>
      <c r="C1840" s="34"/>
      <c r="D1840" s="34"/>
      <c r="E1840" s="34"/>
      <c r="F1840" s="35"/>
      <c r="G1840" s="9"/>
      <c r="H1840" s="9"/>
      <c r="I1840" s="34"/>
      <c r="J1840" s="30" t="str">
        <f aca="false">IF(F1840="","",G1840-B1840)</f>
        <v/>
      </c>
      <c r="K1840" s="31" t="str">
        <f aca="false">IF(F1840="","",IF(H1840&lt;&gt;"",H1840,MAX('Vade Sapması'!$D$3,G1840)))</f>
        <v/>
      </c>
      <c r="L1840" s="30" t="str">
        <f aca="false">IF(F1840="","",K1840-B1840)</f>
        <v/>
      </c>
      <c r="M1840" s="30" t="str">
        <f aca="false">IF(F1840="","",L1840-J1840)</f>
        <v/>
      </c>
      <c r="N1840" s="32" t="str">
        <f aca="false">IF(F1840="","",IF(H1840&lt;&gt;"","Kapandı",IF('Vade Sapması'!$D$3&gt;G1840,"Açık · vadesi geçti","Açık · vadesi gelmedi")))</f>
        <v/>
      </c>
      <c r="O1840" s="30" t="str">
        <f aca="false">IF(F1840="","",IF(AND(H1840="",'Vade Sapması'!$D$3&gt;G1840),'Vade Sapması'!$D$3-G1840,0))</f>
        <v/>
      </c>
      <c r="P1840" s="33" t="str">
        <f aca="false">IF(F1840="","",F1840*J1840)</f>
        <v/>
      </c>
      <c r="Q1840" s="33" t="str">
        <f aca="false">IF(F1840="","",F1840*L1840)</f>
        <v/>
      </c>
      <c r="R1840" s="33" t="str">
        <f aca="false">IF(F1840="","",IF(H1840="",F1840,0))</f>
        <v/>
      </c>
      <c r="S1840" s="32" t="str">
        <f aca="false">IF(F1840="","",IF(N(O1840)=0,"",IF(O1840&lt;=30,"1-30",IF(O1840&lt;=60,"31-60",IF(O1840&lt;=90,"61-90","90+")))))</f>
        <v/>
      </c>
      <c r="T1840" s="32" t="str">
        <f aca="false">IF(F1840="","",IF(E1840="","Diğer",E1840))</f>
        <v/>
      </c>
      <c r="U1840" s="32" t="str">
        <f aca="false">IF(OR(F1840="",C1840=""),"",IF(COUNTIF($C$2:C1840,C1840)=1,MAX($U$1:U1839)+1,""))</f>
        <v/>
      </c>
    </row>
    <row r="1841" customFormat="false" ht="15" hidden="false" customHeight="false" outlineLevel="0" collapsed="false">
      <c r="A1841" s="34"/>
      <c r="B1841" s="9"/>
      <c r="C1841" s="34"/>
      <c r="D1841" s="34"/>
      <c r="E1841" s="34"/>
      <c r="F1841" s="35"/>
      <c r="G1841" s="9"/>
      <c r="H1841" s="9"/>
      <c r="I1841" s="34"/>
      <c r="J1841" s="30" t="str">
        <f aca="false">IF(F1841="","",G1841-B1841)</f>
        <v/>
      </c>
      <c r="K1841" s="31" t="str">
        <f aca="false">IF(F1841="","",IF(H1841&lt;&gt;"",H1841,MAX('Vade Sapması'!$D$3,G1841)))</f>
        <v/>
      </c>
      <c r="L1841" s="30" t="str">
        <f aca="false">IF(F1841="","",K1841-B1841)</f>
        <v/>
      </c>
      <c r="M1841" s="30" t="str">
        <f aca="false">IF(F1841="","",L1841-J1841)</f>
        <v/>
      </c>
      <c r="N1841" s="32" t="str">
        <f aca="false">IF(F1841="","",IF(H1841&lt;&gt;"","Kapandı",IF('Vade Sapması'!$D$3&gt;G1841,"Açık · vadesi geçti","Açık · vadesi gelmedi")))</f>
        <v/>
      </c>
      <c r="O1841" s="30" t="str">
        <f aca="false">IF(F1841="","",IF(AND(H1841="",'Vade Sapması'!$D$3&gt;G1841),'Vade Sapması'!$D$3-G1841,0))</f>
        <v/>
      </c>
      <c r="P1841" s="33" t="str">
        <f aca="false">IF(F1841="","",F1841*J1841)</f>
        <v/>
      </c>
      <c r="Q1841" s="33" t="str">
        <f aca="false">IF(F1841="","",F1841*L1841)</f>
        <v/>
      </c>
      <c r="R1841" s="33" t="str">
        <f aca="false">IF(F1841="","",IF(H1841="",F1841,0))</f>
        <v/>
      </c>
      <c r="S1841" s="32" t="str">
        <f aca="false">IF(F1841="","",IF(N(O1841)=0,"",IF(O1841&lt;=30,"1-30",IF(O1841&lt;=60,"31-60",IF(O1841&lt;=90,"61-90","90+")))))</f>
        <v/>
      </c>
      <c r="T1841" s="32" t="str">
        <f aca="false">IF(F1841="","",IF(E1841="","Diğer",E1841))</f>
        <v/>
      </c>
      <c r="U1841" s="32" t="str">
        <f aca="false">IF(OR(F1841="",C1841=""),"",IF(COUNTIF($C$2:C1841,C1841)=1,MAX($U$1:U1840)+1,""))</f>
        <v/>
      </c>
    </row>
    <row r="1842" customFormat="false" ht="15" hidden="false" customHeight="false" outlineLevel="0" collapsed="false">
      <c r="A1842" s="34"/>
      <c r="B1842" s="9"/>
      <c r="C1842" s="34"/>
      <c r="D1842" s="34"/>
      <c r="E1842" s="34"/>
      <c r="F1842" s="35"/>
      <c r="G1842" s="9"/>
      <c r="H1842" s="9"/>
      <c r="I1842" s="34"/>
      <c r="J1842" s="30" t="str">
        <f aca="false">IF(F1842="","",G1842-B1842)</f>
        <v/>
      </c>
      <c r="K1842" s="31" t="str">
        <f aca="false">IF(F1842="","",IF(H1842&lt;&gt;"",H1842,MAX('Vade Sapması'!$D$3,G1842)))</f>
        <v/>
      </c>
      <c r="L1842" s="30" t="str">
        <f aca="false">IF(F1842="","",K1842-B1842)</f>
        <v/>
      </c>
      <c r="M1842" s="30" t="str">
        <f aca="false">IF(F1842="","",L1842-J1842)</f>
        <v/>
      </c>
      <c r="N1842" s="32" t="str">
        <f aca="false">IF(F1842="","",IF(H1842&lt;&gt;"","Kapandı",IF('Vade Sapması'!$D$3&gt;G1842,"Açık · vadesi geçti","Açık · vadesi gelmedi")))</f>
        <v/>
      </c>
      <c r="O1842" s="30" t="str">
        <f aca="false">IF(F1842="","",IF(AND(H1842="",'Vade Sapması'!$D$3&gt;G1842),'Vade Sapması'!$D$3-G1842,0))</f>
        <v/>
      </c>
      <c r="P1842" s="33" t="str">
        <f aca="false">IF(F1842="","",F1842*J1842)</f>
        <v/>
      </c>
      <c r="Q1842" s="33" t="str">
        <f aca="false">IF(F1842="","",F1842*L1842)</f>
        <v/>
      </c>
      <c r="R1842" s="33" t="str">
        <f aca="false">IF(F1842="","",IF(H1842="",F1842,0))</f>
        <v/>
      </c>
      <c r="S1842" s="32" t="str">
        <f aca="false">IF(F1842="","",IF(N(O1842)=0,"",IF(O1842&lt;=30,"1-30",IF(O1842&lt;=60,"31-60",IF(O1842&lt;=90,"61-90","90+")))))</f>
        <v/>
      </c>
      <c r="T1842" s="32" t="str">
        <f aca="false">IF(F1842="","",IF(E1842="","Diğer",E1842))</f>
        <v/>
      </c>
      <c r="U1842" s="32" t="str">
        <f aca="false">IF(OR(F1842="",C1842=""),"",IF(COUNTIF($C$2:C1842,C1842)=1,MAX($U$1:U1841)+1,""))</f>
        <v/>
      </c>
    </row>
    <row r="1843" customFormat="false" ht="15" hidden="false" customHeight="false" outlineLevel="0" collapsed="false">
      <c r="A1843" s="34"/>
      <c r="B1843" s="9"/>
      <c r="C1843" s="34"/>
      <c r="D1843" s="34"/>
      <c r="E1843" s="34"/>
      <c r="F1843" s="35"/>
      <c r="G1843" s="9"/>
      <c r="H1843" s="9"/>
      <c r="I1843" s="34"/>
      <c r="J1843" s="30" t="str">
        <f aca="false">IF(F1843="","",G1843-B1843)</f>
        <v/>
      </c>
      <c r="K1843" s="31" t="str">
        <f aca="false">IF(F1843="","",IF(H1843&lt;&gt;"",H1843,MAX('Vade Sapması'!$D$3,G1843)))</f>
        <v/>
      </c>
      <c r="L1843" s="30" t="str">
        <f aca="false">IF(F1843="","",K1843-B1843)</f>
        <v/>
      </c>
      <c r="M1843" s="30" t="str">
        <f aca="false">IF(F1843="","",L1843-J1843)</f>
        <v/>
      </c>
      <c r="N1843" s="32" t="str">
        <f aca="false">IF(F1843="","",IF(H1843&lt;&gt;"","Kapandı",IF('Vade Sapması'!$D$3&gt;G1843,"Açık · vadesi geçti","Açık · vadesi gelmedi")))</f>
        <v/>
      </c>
      <c r="O1843" s="30" t="str">
        <f aca="false">IF(F1843="","",IF(AND(H1843="",'Vade Sapması'!$D$3&gt;G1843),'Vade Sapması'!$D$3-G1843,0))</f>
        <v/>
      </c>
      <c r="P1843" s="33" t="str">
        <f aca="false">IF(F1843="","",F1843*J1843)</f>
        <v/>
      </c>
      <c r="Q1843" s="33" t="str">
        <f aca="false">IF(F1843="","",F1843*L1843)</f>
        <v/>
      </c>
      <c r="R1843" s="33" t="str">
        <f aca="false">IF(F1843="","",IF(H1843="",F1843,0))</f>
        <v/>
      </c>
      <c r="S1843" s="32" t="str">
        <f aca="false">IF(F1843="","",IF(N(O1843)=0,"",IF(O1843&lt;=30,"1-30",IF(O1843&lt;=60,"31-60",IF(O1843&lt;=90,"61-90","90+")))))</f>
        <v/>
      </c>
      <c r="T1843" s="32" t="str">
        <f aca="false">IF(F1843="","",IF(E1843="","Diğer",E1843))</f>
        <v/>
      </c>
      <c r="U1843" s="32" t="str">
        <f aca="false">IF(OR(F1843="",C1843=""),"",IF(COUNTIF($C$2:C1843,C1843)=1,MAX($U$1:U1842)+1,""))</f>
        <v/>
      </c>
    </row>
    <row r="1844" customFormat="false" ht="15" hidden="false" customHeight="false" outlineLevel="0" collapsed="false">
      <c r="A1844" s="34"/>
      <c r="B1844" s="9"/>
      <c r="C1844" s="34"/>
      <c r="D1844" s="34"/>
      <c r="E1844" s="34"/>
      <c r="F1844" s="35"/>
      <c r="G1844" s="9"/>
      <c r="H1844" s="9"/>
      <c r="I1844" s="34"/>
      <c r="J1844" s="30" t="str">
        <f aca="false">IF(F1844="","",G1844-B1844)</f>
        <v/>
      </c>
      <c r="K1844" s="31" t="str">
        <f aca="false">IF(F1844="","",IF(H1844&lt;&gt;"",H1844,MAX('Vade Sapması'!$D$3,G1844)))</f>
        <v/>
      </c>
      <c r="L1844" s="30" t="str">
        <f aca="false">IF(F1844="","",K1844-B1844)</f>
        <v/>
      </c>
      <c r="M1844" s="30" t="str">
        <f aca="false">IF(F1844="","",L1844-J1844)</f>
        <v/>
      </c>
      <c r="N1844" s="32" t="str">
        <f aca="false">IF(F1844="","",IF(H1844&lt;&gt;"","Kapandı",IF('Vade Sapması'!$D$3&gt;G1844,"Açık · vadesi geçti","Açık · vadesi gelmedi")))</f>
        <v/>
      </c>
      <c r="O1844" s="30" t="str">
        <f aca="false">IF(F1844="","",IF(AND(H1844="",'Vade Sapması'!$D$3&gt;G1844),'Vade Sapması'!$D$3-G1844,0))</f>
        <v/>
      </c>
      <c r="P1844" s="33" t="str">
        <f aca="false">IF(F1844="","",F1844*J1844)</f>
        <v/>
      </c>
      <c r="Q1844" s="33" t="str">
        <f aca="false">IF(F1844="","",F1844*L1844)</f>
        <v/>
      </c>
      <c r="R1844" s="33" t="str">
        <f aca="false">IF(F1844="","",IF(H1844="",F1844,0))</f>
        <v/>
      </c>
      <c r="S1844" s="32" t="str">
        <f aca="false">IF(F1844="","",IF(N(O1844)=0,"",IF(O1844&lt;=30,"1-30",IF(O1844&lt;=60,"31-60",IF(O1844&lt;=90,"61-90","90+")))))</f>
        <v/>
      </c>
      <c r="T1844" s="32" t="str">
        <f aca="false">IF(F1844="","",IF(E1844="","Diğer",E1844))</f>
        <v/>
      </c>
      <c r="U1844" s="32" t="str">
        <f aca="false">IF(OR(F1844="",C1844=""),"",IF(COUNTIF($C$2:C1844,C1844)=1,MAX($U$1:U1843)+1,""))</f>
        <v/>
      </c>
    </row>
    <row r="1845" customFormat="false" ht="15" hidden="false" customHeight="false" outlineLevel="0" collapsed="false">
      <c r="A1845" s="34"/>
      <c r="B1845" s="9"/>
      <c r="C1845" s="34"/>
      <c r="D1845" s="34"/>
      <c r="E1845" s="34"/>
      <c r="F1845" s="35"/>
      <c r="G1845" s="9"/>
      <c r="H1845" s="9"/>
      <c r="I1845" s="34"/>
      <c r="J1845" s="30" t="str">
        <f aca="false">IF(F1845="","",G1845-B1845)</f>
        <v/>
      </c>
      <c r="K1845" s="31" t="str">
        <f aca="false">IF(F1845="","",IF(H1845&lt;&gt;"",H1845,MAX('Vade Sapması'!$D$3,G1845)))</f>
        <v/>
      </c>
      <c r="L1845" s="30" t="str">
        <f aca="false">IF(F1845="","",K1845-B1845)</f>
        <v/>
      </c>
      <c r="M1845" s="30" t="str">
        <f aca="false">IF(F1845="","",L1845-J1845)</f>
        <v/>
      </c>
      <c r="N1845" s="32" t="str">
        <f aca="false">IF(F1845="","",IF(H1845&lt;&gt;"","Kapandı",IF('Vade Sapması'!$D$3&gt;G1845,"Açık · vadesi geçti","Açık · vadesi gelmedi")))</f>
        <v/>
      </c>
      <c r="O1845" s="30" t="str">
        <f aca="false">IF(F1845="","",IF(AND(H1845="",'Vade Sapması'!$D$3&gt;G1845),'Vade Sapması'!$D$3-G1845,0))</f>
        <v/>
      </c>
      <c r="P1845" s="33" t="str">
        <f aca="false">IF(F1845="","",F1845*J1845)</f>
        <v/>
      </c>
      <c r="Q1845" s="33" t="str">
        <f aca="false">IF(F1845="","",F1845*L1845)</f>
        <v/>
      </c>
      <c r="R1845" s="33" t="str">
        <f aca="false">IF(F1845="","",IF(H1845="",F1845,0))</f>
        <v/>
      </c>
      <c r="S1845" s="32" t="str">
        <f aca="false">IF(F1845="","",IF(N(O1845)=0,"",IF(O1845&lt;=30,"1-30",IF(O1845&lt;=60,"31-60",IF(O1845&lt;=90,"61-90","90+")))))</f>
        <v/>
      </c>
      <c r="T1845" s="32" t="str">
        <f aca="false">IF(F1845="","",IF(E1845="","Diğer",E1845))</f>
        <v/>
      </c>
      <c r="U1845" s="32" t="str">
        <f aca="false">IF(OR(F1845="",C1845=""),"",IF(COUNTIF($C$2:C1845,C1845)=1,MAX($U$1:U1844)+1,""))</f>
        <v/>
      </c>
    </row>
    <row r="1846" customFormat="false" ht="15" hidden="false" customHeight="false" outlineLevel="0" collapsed="false">
      <c r="A1846" s="34"/>
      <c r="B1846" s="9"/>
      <c r="C1846" s="34"/>
      <c r="D1846" s="34"/>
      <c r="E1846" s="34"/>
      <c r="F1846" s="35"/>
      <c r="G1846" s="9"/>
      <c r="H1846" s="9"/>
      <c r="I1846" s="34"/>
      <c r="J1846" s="30" t="str">
        <f aca="false">IF(F1846="","",G1846-B1846)</f>
        <v/>
      </c>
      <c r="K1846" s="31" t="str">
        <f aca="false">IF(F1846="","",IF(H1846&lt;&gt;"",H1846,MAX('Vade Sapması'!$D$3,G1846)))</f>
        <v/>
      </c>
      <c r="L1846" s="30" t="str">
        <f aca="false">IF(F1846="","",K1846-B1846)</f>
        <v/>
      </c>
      <c r="M1846" s="30" t="str">
        <f aca="false">IF(F1846="","",L1846-J1846)</f>
        <v/>
      </c>
      <c r="N1846" s="32" t="str">
        <f aca="false">IF(F1846="","",IF(H1846&lt;&gt;"","Kapandı",IF('Vade Sapması'!$D$3&gt;G1846,"Açık · vadesi geçti","Açık · vadesi gelmedi")))</f>
        <v/>
      </c>
      <c r="O1846" s="30" t="str">
        <f aca="false">IF(F1846="","",IF(AND(H1846="",'Vade Sapması'!$D$3&gt;G1846),'Vade Sapması'!$D$3-G1846,0))</f>
        <v/>
      </c>
      <c r="P1846" s="33" t="str">
        <f aca="false">IF(F1846="","",F1846*J1846)</f>
        <v/>
      </c>
      <c r="Q1846" s="33" t="str">
        <f aca="false">IF(F1846="","",F1846*L1846)</f>
        <v/>
      </c>
      <c r="R1846" s="33" t="str">
        <f aca="false">IF(F1846="","",IF(H1846="",F1846,0))</f>
        <v/>
      </c>
      <c r="S1846" s="32" t="str">
        <f aca="false">IF(F1846="","",IF(N(O1846)=0,"",IF(O1846&lt;=30,"1-30",IF(O1846&lt;=60,"31-60",IF(O1846&lt;=90,"61-90","90+")))))</f>
        <v/>
      </c>
      <c r="T1846" s="32" t="str">
        <f aca="false">IF(F1846="","",IF(E1846="","Diğer",E1846))</f>
        <v/>
      </c>
      <c r="U1846" s="32" t="str">
        <f aca="false">IF(OR(F1846="",C1846=""),"",IF(COUNTIF($C$2:C1846,C1846)=1,MAX($U$1:U1845)+1,""))</f>
        <v/>
      </c>
    </row>
    <row r="1847" customFormat="false" ht="15" hidden="false" customHeight="false" outlineLevel="0" collapsed="false">
      <c r="A1847" s="34"/>
      <c r="B1847" s="9"/>
      <c r="C1847" s="34"/>
      <c r="D1847" s="34"/>
      <c r="E1847" s="34"/>
      <c r="F1847" s="35"/>
      <c r="G1847" s="9"/>
      <c r="H1847" s="9"/>
      <c r="I1847" s="34"/>
      <c r="J1847" s="30" t="str">
        <f aca="false">IF(F1847="","",G1847-B1847)</f>
        <v/>
      </c>
      <c r="K1847" s="31" t="str">
        <f aca="false">IF(F1847="","",IF(H1847&lt;&gt;"",H1847,MAX('Vade Sapması'!$D$3,G1847)))</f>
        <v/>
      </c>
      <c r="L1847" s="30" t="str">
        <f aca="false">IF(F1847="","",K1847-B1847)</f>
        <v/>
      </c>
      <c r="M1847" s="30" t="str">
        <f aca="false">IF(F1847="","",L1847-J1847)</f>
        <v/>
      </c>
      <c r="N1847" s="32" t="str">
        <f aca="false">IF(F1847="","",IF(H1847&lt;&gt;"","Kapandı",IF('Vade Sapması'!$D$3&gt;G1847,"Açık · vadesi geçti","Açık · vadesi gelmedi")))</f>
        <v/>
      </c>
      <c r="O1847" s="30" t="str">
        <f aca="false">IF(F1847="","",IF(AND(H1847="",'Vade Sapması'!$D$3&gt;G1847),'Vade Sapması'!$D$3-G1847,0))</f>
        <v/>
      </c>
      <c r="P1847" s="33" t="str">
        <f aca="false">IF(F1847="","",F1847*J1847)</f>
        <v/>
      </c>
      <c r="Q1847" s="33" t="str">
        <f aca="false">IF(F1847="","",F1847*L1847)</f>
        <v/>
      </c>
      <c r="R1847" s="33" t="str">
        <f aca="false">IF(F1847="","",IF(H1847="",F1847,0))</f>
        <v/>
      </c>
      <c r="S1847" s="32" t="str">
        <f aca="false">IF(F1847="","",IF(N(O1847)=0,"",IF(O1847&lt;=30,"1-30",IF(O1847&lt;=60,"31-60",IF(O1847&lt;=90,"61-90","90+")))))</f>
        <v/>
      </c>
      <c r="T1847" s="32" t="str">
        <f aca="false">IF(F1847="","",IF(E1847="","Diğer",E1847))</f>
        <v/>
      </c>
      <c r="U1847" s="32" t="str">
        <f aca="false">IF(OR(F1847="",C1847=""),"",IF(COUNTIF($C$2:C1847,C1847)=1,MAX($U$1:U1846)+1,""))</f>
        <v/>
      </c>
    </row>
    <row r="1848" customFormat="false" ht="15" hidden="false" customHeight="false" outlineLevel="0" collapsed="false">
      <c r="A1848" s="34"/>
      <c r="B1848" s="9"/>
      <c r="C1848" s="34"/>
      <c r="D1848" s="34"/>
      <c r="E1848" s="34"/>
      <c r="F1848" s="35"/>
      <c r="G1848" s="9"/>
      <c r="H1848" s="9"/>
      <c r="I1848" s="34"/>
      <c r="J1848" s="30" t="str">
        <f aca="false">IF(F1848="","",G1848-B1848)</f>
        <v/>
      </c>
      <c r="K1848" s="31" t="str">
        <f aca="false">IF(F1848="","",IF(H1848&lt;&gt;"",H1848,MAX('Vade Sapması'!$D$3,G1848)))</f>
        <v/>
      </c>
      <c r="L1848" s="30" t="str">
        <f aca="false">IF(F1848="","",K1848-B1848)</f>
        <v/>
      </c>
      <c r="M1848" s="30" t="str">
        <f aca="false">IF(F1848="","",L1848-J1848)</f>
        <v/>
      </c>
      <c r="N1848" s="32" t="str">
        <f aca="false">IF(F1848="","",IF(H1848&lt;&gt;"","Kapandı",IF('Vade Sapması'!$D$3&gt;G1848,"Açık · vadesi geçti","Açık · vadesi gelmedi")))</f>
        <v/>
      </c>
      <c r="O1848" s="30" t="str">
        <f aca="false">IF(F1848="","",IF(AND(H1848="",'Vade Sapması'!$D$3&gt;G1848),'Vade Sapması'!$D$3-G1848,0))</f>
        <v/>
      </c>
      <c r="P1848" s="33" t="str">
        <f aca="false">IF(F1848="","",F1848*J1848)</f>
        <v/>
      </c>
      <c r="Q1848" s="33" t="str">
        <f aca="false">IF(F1848="","",F1848*L1848)</f>
        <v/>
      </c>
      <c r="R1848" s="33" t="str">
        <f aca="false">IF(F1848="","",IF(H1848="",F1848,0))</f>
        <v/>
      </c>
      <c r="S1848" s="32" t="str">
        <f aca="false">IF(F1848="","",IF(N(O1848)=0,"",IF(O1848&lt;=30,"1-30",IF(O1848&lt;=60,"31-60",IF(O1848&lt;=90,"61-90","90+")))))</f>
        <v/>
      </c>
      <c r="T1848" s="32" t="str">
        <f aca="false">IF(F1848="","",IF(E1848="","Diğer",E1848))</f>
        <v/>
      </c>
      <c r="U1848" s="32" t="str">
        <f aca="false">IF(OR(F1848="",C1848=""),"",IF(COUNTIF($C$2:C1848,C1848)=1,MAX($U$1:U1847)+1,""))</f>
        <v/>
      </c>
    </row>
    <row r="1849" customFormat="false" ht="15" hidden="false" customHeight="false" outlineLevel="0" collapsed="false">
      <c r="A1849" s="34"/>
      <c r="B1849" s="9"/>
      <c r="C1849" s="34"/>
      <c r="D1849" s="34"/>
      <c r="E1849" s="34"/>
      <c r="F1849" s="35"/>
      <c r="G1849" s="9"/>
      <c r="H1849" s="9"/>
      <c r="I1849" s="34"/>
      <c r="J1849" s="30" t="str">
        <f aca="false">IF(F1849="","",G1849-B1849)</f>
        <v/>
      </c>
      <c r="K1849" s="31" t="str">
        <f aca="false">IF(F1849="","",IF(H1849&lt;&gt;"",H1849,MAX('Vade Sapması'!$D$3,G1849)))</f>
        <v/>
      </c>
      <c r="L1849" s="30" t="str">
        <f aca="false">IF(F1849="","",K1849-B1849)</f>
        <v/>
      </c>
      <c r="M1849" s="30" t="str">
        <f aca="false">IF(F1849="","",L1849-J1849)</f>
        <v/>
      </c>
      <c r="N1849" s="32" t="str">
        <f aca="false">IF(F1849="","",IF(H1849&lt;&gt;"","Kapandı",IF('Vade Sapması'!$D$3&gt;G1849,"Açık · vadesi geçti","Açık · vadesi gelmedi")))</f>
        <v/>
      </c>
      <c r="O1849" s="30" t="str">
        <f aca="false">IF(F1849="","",IF(AND(H1849="",'Vade Sapması'!$D$3&gt;G1849),'Vade Sapması'!$D$3-G1849,0))</f>
        <v/>
      </c>
      <c r="P1849" s="33" t="str">
        <f aca="false">IF(F1849="","",F1849*J1849)</f>
        <v/>
      </c>
      <c r="Q1849" s="33" t="str">
        <f aca="false">IF(F1849="","",F1849*L1849)</f>
        <v/>
      </c>
      <c r="R1849" s="33" t="str">
        <f aca="false">IF(F1849="","",IF(H1849="",F1849,0))</f>
        <v/>
      </c>
      <c r="S1849" s="32" t="str">
        <f aca="false">IF(F1849="","",IF(N(O1849)=0,"",IF(O1849&lt;=30,"1-30",IF(O1849&lt;=60,"31-60",IF(O1849&lt;=90,"61-90","90+")))))</f>
        <v/>
      </c>
      <c r="T1849" s="32" t="str">
        <f aca="false">IF(F1849="","",IF(E1849="","Diğer",E1849))</f>
        <v/>
      </c>
      <c r="U1849" s="32" t="str">
        <f aca="false">IF(OR(F1849="",C1849=""),"",IF(COUNTIF($C$2:C1849,C1849)=1,MAX($U$1:U1848)+1,""))</f>
        <v/>
      </c>
    </row>
    <row r="1850" customFormat="false" ht="15" hidden="false" customHeight="false" outlineLevel="0" collapsed="false">
      <c r="A1850" s="34"/>
      <c r="B1850" s="9"/>
      <c r="C1850" s="34"/>
      <c r="D1850" s="34"/>
      <c r="E1850" s="34"/>
      <c r="F1850" s="35"/>
      <c r="G1850" s="9"/>
      <c r="H1850" s="9"/>
      <c r="I1850" s="34"/>
      <c r="J1850" s="30" t="str">
        <f aca="false">IF(F1850="","",G1850-B1850)</f>
        <v/>
      </c>
      <c r="K1850" s="31" t="str">
        <f aca="false">IF(F1850="","",IF(H1850&lt;&gt;"",H1850,MAX('Vade Sapması'!$D$3,G1850)))</f>
        <v/>
      </c>
      <c r="L1850" s="30" t="str">
        <f aca="false">IF(F1850="","",K1850-B1850)</f>
        <v/>
      </c>
      <c r="M1850" s="30" t="str">
        <f aca="false">IF(F1850="","",L1850-J1850)</f>
        <v/>
      </c>
      <c r="N1850" s="32" t="str">
        <f aca="false">IF(F1850="","",IF(H1850&lt;&gt;"","Kapandı",IF('Vade Sapması'!$D$3&gt;G1850,"Açık · vadesi geçti","Açık · vadesi gelmedi")))</f>
        <v/>
      </c>
      <c r="O1850" s="30" t="str">
        <f aca="false">IF(F1850="","",IF(AND(H1850="",'Vade Sapması'!$D$3&gt;G1850),'Vade Sapması'!$D$3-G1850,0))</f>
        <v/>
      </c>
      <c r="P1850" s="33" t="str">
        <f aca="false">IF(F1850="","",F1850*J1850)</f>
        <v/>
      </c>
      <c r="Q1850" s="33" t="str">
        <f aca="false">IF(F1850="","",F1850*L1850)</f>
        <v/>
      </c>
      <c r="R1850" s="33" t="str">
        <f aca="false">IF(F1850="","",IF(H1850="",F1850,0))</f>
        <v/>
      </c>
      <c r="S1850" s="32" t="str">
        <f aca="false">IF(F1850="","",IF(N(O1850)=0,"",IF(O1850&lt;=30,"1-30",IF(O1850&lt;=60,"31-60",IF(O1850&lt;=90,"61-90","90+")))))</f>
        <v/>
      </c>
      <c r="T1850" s="32" t="str">
        <f aca="false">IF(F1850="","",IF(E1850="","Diğer",E1850))</f>
        <v/>
      </c>
      <c r="U1850" s="32" t="str">
        <f aca="false">IF(OR(F1850="",C1850=""),"",IF(COUNTIF($C$2:C1850,C1850)=1,MAX($U$1:U1849)+1,""))</f>
        <v/>
      </c>
    </row>
    <row r="1851" customFormat="false" ht="15" hidden="false" customHeight="false" outlineLevel="0" collapsed="false">
      <c r="A1851" s="34"/>
      <c r="B1851" s="9"/>
      <c r="C1851" s="34"/>
      <c r="D1851" s="34"/>
      <c r="E1851" s="34"/>
      <c r="F1851" s="35"/>
      <c r="G1851" s="9"/>
      <c r="H1851" s="9"/>
      <c r="I1851" s="34"/>
      <c r="J1851" s="30" t="str">
        <f aca="false">IF(F1851="","",G1851-B1851)</f>
        <v/>
      </c>
      <c r="K1851" s="31" t="str">
        <f aca="false">IF(F1851="","",IF(H1851&lt;&gt;"",H1851,MAX('Vade Sapması'!$D$3,G1851)))</f>
        <v/>
      </c>
      <c r="L1851" s="30" t="str">
        <f aca="false">IF(F1851="","",K1851-B1851)</f>
        <v/>
      </c>
      <c r="M1851" s="30" t="str">
        <f aca="false">IF(F1851="","",L1851-J1851)</f>
        <v/>
      </c>
      <c r="N1851" s="32" t="str">
        <f aca="false">IF(F1851="","",IF(H1851&lt;&gt;"","Kapandı",IF('Vade Sapması'!$D$3&gt;G1851,"Açık · vadesi geçti","Açık · vadesi gelmedi")))</f>
        <v/>
      </c>
      <c r="O1851" s="30" t="str">
        <f aca="false">IF(F1851="","",IF(AND(H1851="",'Vade Sapması'!$D$3&gt;G1851),'Vade Sapması'!$D$3-G1851,0))</f>
        <v/>
      </c>
      <c r="P1851" s="33" t="str">
        <f aca="false">IF(F1851="","",F1851*J1851)</f>
        <v/>
      </c>
      <c r="Q1851" s="33" t="str">
        <f aca="false">IF(F1851="","",F1851*L1851)</f>
        <v/>
      </c>
      <c r="R1851" s="33" t="str">
        <f aca="false">IF(F1851="","",IF(H1851="",F1851,0))</f>
        <v/>
      </c>
      <c r="S1851" s="32" t="str">
        <f aca="false">IF(F1851="","",IF(N(O1851)=0,"",IF(O1851&lt;=30,"1-30",IF(O1851&lt;=60,"31-60",IF(O1851&lt;=90,"61-90","90+")))))</f>
        <v/>
      </c>
      <c r="T1851" s="32" t="str">
        <f aca="false">IF(F1851="","",IF(E1851="","Diğer",E1851))</f>
        <v/>
      </c>
      <c r="U1851" s="32" t="str">
        <f aca="false">IF(OR(F1851="",C1851=""),"",IF(COUNTIF($C$2:C1851,C1851)=1,MAX($U$1:U1850)+1,""))</f>
        <v/>
      </c>
    </row>
    <row r="1852" customFormat="false" ht="15" hidden="false" customHeight="false" outlineLevel="0" collapsed="false">
      <c r="A1852" s="34"/>
      <c r="B1852" s="9"/>
      <c r="C1852" s="34"/>
      <c r="D1852" s="34"/>
      <c r="E1852" s="34"/>
      <c r="F1852" s="35"/>
      <c r="G1852" s="9"/>
      <c r="H1852" s="9"/>
      <c r="I1852" s="34"/>
      <c r="J1852" s="30" t="str">
        <f aca="false">IF(F1852="","",G1852-B1852)</f>
        <v/>
      </c>
      <c r="K1852" s="31" t="str">
        <f aca="false">IF(F1852="","",IF(H1852&lt;&gt;"",H1852,MAX('Vade Sapması'!$D$3,G1852)))</f>
        <v/>
      </c>
      <c r="L1852" s="30" t="str">
        <f aca="false">IF(F1852="","",K1852-B1852)</f>
        <v/>
      </c>
      <c r="M1852" s="30" t="str">
        <f aca="false">IF(F1852="","",L1852-J1852)</f>
        <v/>
      </c>
      <c r="N1852" s="32" t="str">
        <f aca="false">IF(F1852="","",IF(H1852&lt;&gt;"","Kapandı",IF('Vade Sapması'!$D$3&gt;G1852,"Açık · vadesi geçti","Açık · vadesi gelmedi")))</f>
        <v/>
      </c>
      <c r="O1852" s="30" t="str">
        <f aca="false">IF(F1852="","",IF(AND(H1852="",'Vade Sapması'!$D$3&gt;G1852),'Vade Sapması'!$D$3-G1852,0))</f>
        <v/>
      </c>
      <c r="P1852" s="33" t="str">
        <f aca="false">IF(F1852="","",F1852*J1852)</f>
        <v/>
      </c>
      <c r="Q1852" s="33" t="str">
        <f aca="false">IF(F1852="","",F1852*L1852)</f>
        <v/>
      </c>
      <c r="R1852" s="33" t="str">
        <f aca="false">IF(F1852="","",IF(H1852="",F1852,0))</f>
        <v/>
      </c>
      <c r="S1852" s="32" t="str">
        <f aca="false">IF(F1852="","",IF(N(O1852)=0,"",IF(O1852&lt;=30,"1-30",IF(O1852&lt;=60,"31-60",IF(O1852&lt;=90,"61-90","90+")))))</f>
        <v/>
      </c>
      <c r="T1852" s="32" t="str">
        <f aca="false">IF(F1852="","",IF(E1852="","Diğer",E1852))</f>
        <v/>
      </c>
      <c r="U1852" s="32" t="str">
        <f aca="false">IF(OR(F1852="",C1852=""),"",IF(COUNTIF($C$2:C1852,C1852)=1,MAX($U$1:U1851)+1,""))</f>
        <v/>
      </c>
    </row>
    <row r="1853" customFormat="false" ht="15" hidden="false" customHeight="false" outlineLevel="0" collapsed="false">
      <c r="A1853" s="34"/>
      <c r="B1853" s="9"/>
      <c r="C1853" s="34"/>
      <c r="D1853" s="34"/>
      <c r="E1853" s="34"/>
      <c r="F1853" s="35"/>
      <c r="G1853" s="9"/>
      <c r="H1853" s="9"/>
      <c r="I1853" s="34"/>
      <c r="J1853" s="30" t="str">
        <f aca="false">IF(F1853="","",G1853-B1853)</f>
        <v/>
      </c>
      <c r="K1853" s="31" t="str">
        <f aca="false">IF(F1853="","",IF(H1853&lt;&gt;"",H1853,MAX('Vade Sapması'!$D$3,G1853)))</f>
        <v/>
      </c>
      <c r="L1853" s="30" t="str">
        <f aca="false">IF(F1853="","",K1853-B1853)</f>
        <v/>
      </c>
      <c r="M1853" s="30" t="str">
        <f aca="false">IF(F1853="","",L1853-J1853)</f>
        <v/>
      </c>
      <c r="N1853" s="32" t="str">
        <f aca="false">IF(F1853="","",IF(H1853&lt;&gt;"","Kapandı",IF('Vade Sapması'!$D$3&gt;G1853,"Açık · vadesi geçti","Açık · vadesi gelmedi")))</f>
        <v/>
      </c>
      <c r="O1853" s="30" t="str">
        <f aca="false">IF(F1853="","",IF(AND(H1853="",'Vade Sapması'!$D$3&gt;G1853),'Vade Sapması'!$D$3-G1853,0))</f>
        <v/>
      </c>
      <c r="P1853" s="33" t="str">
        <f aca="false">IF(F1853="","",F1853*J1853)</f>
        <v/>
      </c>
      <c r="Q1853" s="33" t="str">
        <f aca="false">IF(F1853="","",F1853*L1853)</f>
        <v/>
      </c>
      <c r="R1853" s="33" t="str">
        <f aca="false">IF(F1853="","",IF(H1853="",F1853,0))</f>
        <v/>
      </c>
      <c r="S1853" s="32" t="str">
        <f aca="false">IF(F1853="","",IF(N(O1853)=0,"",IF(O1853&lt;=30,"1-30",IF(O1853&lt;=60,"31-60",IF(O1853&lt;=90,"61-90","90+")))))</f>
        <v/>
      </c>
      <c r="T1853" s="32" t="str">
        <f aca="false">IF(F1853="","",IF(E1853="","Diğer",E1853))</f>
        <v/>
      </c>
      <c r="U1853" s="32" t="str">
        <f aca="false">IF(OR(F1853="",C1853=""),"",IF(COUNTIF($C$2:C1853,C1853)=1,MAX($U$1:U1852)+1,""))</f>
        <v/>
      </c>
    </row>
    <row r="1854" customFormat="false" ht="15" hidden="false" customHeight="false" outlineLevel="0" collapsed="false">
      <c r="A1854" s="34"/>
      <c r="B1854" s="9"/>
      <c r="C1854" s="34"/>
      <c r="D1854" s="34"/>
      <c r="E1854" s="34"/>
      <c r="F1854" s="35"/>
      <c r="G1854" s="9"/>
      <c r="H1854" s="9"/>
      <c r="I1854" s="34"/>
      <c r="J1854" s="30" t="str">
        <f aca="false">IF(F1854="","",G1854-B1854)</f>
        <v/>
      </c>
      <c r="K1854" s="31" t="str">
        <f aca="false">IF(F1854="","",IF(H1854&lt;&gt;"",H1854,MAX('Vade Sapması'!$D$3,G1854)))</f>
        <v/>
      </c>
      <c r="L1854" s="30" t="str">
        <f aca="false">IF(F1854="","",K1854-B1854)</f>
        <v/>
      </c>
      <c r="M1854" s="30" t="str">
        <f aca="false">IF(F1854="","",L1854-J1854)</f>
        <v/>
      </c>
      <c r="N1854" s="32" t="str">
        <f aca="false">IF(F1854="","",IF(H1854&lt;&gt;"","Kapandı",IF('Vade Sapması'!$D$3&gt;G1854,"Açık · vadesi geçti","Açık · vadesi gelmedi")))</f>
        <v/>
      </c>
      <c r="O1854" s="30" t="str">
        <f aca="false">IF(F1854="","",IF(AND(H1854="",'Vade Sapması'!$D$3&gt;G1854),'Vade Sapması'!$D$3-G1854,0))</f>
        <v/>
      </c>
      <c r="P1854" s="33" t="str">
        <f aca="false">IF(F1854="","",F1854*J1854)</f>
        <v/>
      </c>
      <c r="Q1854" s="33" t="str">
        <f aca="false">IF(F1854="","",F1854*L1854)</f>
        <v/>
      </c>
      <c r="R1854" s="33" t="str">
        <f aca="false">IF(F1854="","",IF(H1854="",F1854,0))</f>
        <v/>
      </c>
      <c r="S1854" s="32" t="str">
        <f aca="false">IF(F1854="","",IF(N(O1854)=0,"",IF(O1854&lt;=30,"1-30",IF(O1854&lt;=60,"31-60",IF(O1854&lt;=90,"61-90","90+")))))</f>
        <v/>
      </c>
      <c r="T1854" s="32" t="str">
        <f aca="false">IF(F1854="","",IF(E1854="","Diğer",E1854))</f>
        <v/>
      </c>
      <c r="U1854" s="32" t="str">
        <f aca="false">IF(OR(F1854="",C1854=""),"",IF(COUNTIF($C$2:C1854,C1854)=1,MAX($U$1:U1853)+1,""))</f>
        <v/>
      </c>
    </row>
    <row r="1855" customFormat="false" ht="15" hidden="false" customHeight="false" outlineLevel="0" collapsed="false">
      <c r="A1855" s="34"/>
      <c r="B1855" s="9"/>
      <c r="C1855" s="34"/>
      <c r="D1855" s="34"/>
      <c r="E1855" s="34"/>
      <c r="F1855" s="35"/>
      <c r="G1855" s="9"/>
      <c r="H1855" s="9"/>
      <c r="I1855" s="34"/>
      <c r="J1855" s="30" t="str">
        <f aca="false">IF(F1855="","",G1855-B1855)</f>
        <v/>
      </c>
      <c r="K1855" s="31" t="str">
        <f aca="false">IF(F1855="","",IF(H1855&lt;&gt;"",H1855,MAX('Vade Sapması'!$D$3,G1855)))</f>
        <v/>
      </c>
      <c r="L1855" s="30" t="str">
        <f aca="false">IF(F1855="","",K1855-B1855)</f>
        <v/>
      </c>
      <c r="M1855" s="30" t="str">
        <f aca="false">IF(F1855="","",L1855-J1855)</f>
        <v/>
      </c>
      <c r="N1855" s="32" t="str">
        <f aca="false">IF(F1855="","",IF(H1855&lt;&gt;"","Kapandı",IF('Vade Sapması'!$D$3&gt;G1855,"Açık · vadesi geçti","Açık · vadesi gelmedi")))</f>
        <v/>
      </c>
      <c r="O1855" s="30" t="str">
        <f aca="false">IF(F1855="","",IF(AND(H1855="",'Vade Sapması'!$D$3&gt;G1855),'Vade Sapması'!$D$3-G1855,0))</f>
        <v/>
      </c>
      <c r="P1855" s="33" t="str">
        <f aca="false">IF(F1855="","",F1855*J1855)</f>
        <v/>
      </c>
      <c r="Q1855" s="33" t="str">
        <f aca="false">IF(F1855="","",F1855*L1855)</f>
        <v/>
      </c>
      <c r="R1855" s="33" t="str">
        <f aca="false">IF(F1855="","",IF(H1855="",F1855,0))</f>
        <v/>
      </c>
      <c r="S1855" s="32" t="str">
        <f aca="false">IF(F1855="","",IF(N(O1855)=0,"",IF(O1855&lt;=30,"1-30",IF(O1855&lt;=60,"31-60",IF(O1855&lt;=90,"61-90","90+")))))</f>
        <v/>
      </c>
      <c r="T1855" s="32" t="str">
        <f aca="false">IF(F1855="","",IF(E1855="","Diğer",E1855))</f>
        <v/>
      </c>
      <c r="U1855" s="32" t="str">
        <f aca="false">IF(OR(F1855="",C1855=""),"",IF(COUNTIF($C$2:C1855,C1855)=1,MAX($U$1:U1854)+1,""))</f>
        <v/>
      </c>
    </row>
    <row r="1856" customFormat="false" ht="15" hidden="false" customHeight="false" outlineLevel="0" collapsed="false">
      <c r="A1856" s="34"/>
      <c r="B1856" s="9"/>
      <c r="C1856" s="34"/>
      <c r="D1856" s="34"/>
      <c r="E1856" s="34"/>
      <c r="F1856" s="35"/>
      <c r="G1856" s="9"/>
      <c r="H1856" s="9"/>
      <c r="I1856" s="34"/>
      <c r="J1856" s="30" t="str">
        <f aca="false">IF(F1856="","",G1856-B1856)</f>
        <v/>
      </c>
      <c r="K1856" s="31" t="str">
        <f aca="false">IF(F1856="","",IF(H1856&lt;&gt;"",H1856,MAX('Vade Sapması'!$D$3,G1856)))</f>
        <v/>
      </c>
      <c r="L1856" s="30" t="str">
        <f aca="false">IF(F1856="","",K1856-B1856)</f>
        <v/>
      </c>
      <c r="M1856" s="30" t="str">
        <f aca="false">IF(F1856="","",L1856-J1856)</f>
        <v/>
      </c>
      <c r="N1856" s="32" t="str">
        <f aca="false">IF(F1856="","",IF(H1856&lt;&gt;"","Kapandı",IF('Vade Sapması'!$D$3&gt;G1856,"Açık · vadesi geçti","Açık · vadesi gelmedi")))</f>
        <v/>
      </c>
      <c r="O1856" s="30" t="str">
        <f aca="false">IF(F1856="","",IF(AND(H1856="",'Vade Sapması'!$D$3&gt;G1856),'Vade Sapması'!$D$3-G1856,0))</f>
        <v/>
      </c>
      <c r="P1856" s="33" t="str">
        <f aca="false">IF(F1856="","",F1856*J1856)</f>
        <v/>
      </c>
      <c r="Q1856" s="33" t="str">
        <f aca="false">IF(F1856="","",F1856*L1856)</f>
        <v/>
      </c>
      <c r="R1856" s="33" t="str">
        <f aca="false">IF(F1856="","",IF(H1856="",F1856,0))</f>
        <v/>
      </c>
      <c r="S1856" s="32" t="str">
        <f aca="false">IF(F1856="","",IF(N(O1856)=0,"",IF(O1856&lt;=30,"1-30",IF(O1856&lt;=60,"31-60",IF(O1856&lt;=90,"61-90","90+")))))</f>
        <v/>
      </c>
      <c r="T1856" s="32" t="str">
        <f aca="false">IF(F1856="","",IF(E1856="","Diğer",E1856))</f>
        <v/>
      </c>
      <c r="U1856" s="32" t="str">
        <f aca="false">IF(OR(F1856="",C1856=""),"",IF(COUNTIF($C$2:C1856,C1856)=1,MAX($U$1:U1855)+1,""))</f>
        <v/>
      </c>
    </row>
    <row r="1857" customFormat="false" ht="15" hidden="false" customHeight="false" outlineLevel="0" collapsed="false">
      <c r="A1857" s="34"/>
      <c r="B1857" s="9"/>
      <c r="C1857" s="34"/>
      <c r="D1857" s="34"/>
      <c r="E1857" s="34"/>
      <c r="F1857" s="35"/>
      <c r="G1857" s="9"/>
      <c r="H1857" s="9"/>
      <c r="I1857" s="34"/>
      <c r="J1857" s="30" t="str">
        <f aca="false">IF(F1857="","",G1857-B1857)</f>
        <v/>
      </c>
      <c r="K1857" s="31" t="str">
        <f aca="false">IF(F1857="","",IF(H1857&lt;&gt;"",H1857,MAX('Vade Sapması'!$D$3,G1857)))</f>
        <v/>
      </c>
      <c r="L1857" s="30" t="str">
        <f aca="false">IF(F1857="","",K1857-B1857)</f>
        <v/>
      </c>
      <c r="M1857" s="30" t="str">
        <f aca="false">IF(F1857="","",L1857-J1857)</f>
        <v/>
      </c>
      <c r="N1857" s="32" t="str">
        <f aca="false">IF(F1857="","",IF(H1857&lt;&gt;"","Kapandı",IF('Vade Sapması'!$D$3&gt;G1857,"Açık · vadesi geçti","Açık · vadesi gelmedi")))</f>
        <v/>
      </c>
      <c r="O1857" s="30" t="str">
        <f aca="false">IF(F1857="","",IF(AND(H1857="",'Vade Sapması'!$D$3&gt;G1857),'Vade Sapması'!$D$3-G1857,0))</f>
        <v/>
      </c>
      <c r="P1857" s="33" t="str">
        <f aca="false">IF(F1857="","",F1857*J1857)</f>
        <v/>
      </c>
      <c r="Q1857" s="33" t="str">
        <f aca="false">IF(F1857="","",F1857*L1857)</f>
        <v/>
      </c>
      <c r="R1857" s="33" t="str">
        <f aca="false">IF(F1857="","",IF(H1857="",F1857,0))</f>
        <v/>
      </c>
      <c r="S1857" s="32" t="str">
        <f aca="false">IF(F1857="","",IF(N(O1857)=0,"",IF(O1857&lt;=30,"1-30",IF(O1857&lt;=60,"31-60",IF(O1857&lt;=90,"61-90","90+")))))</f>
        <v/>
      </c>
      <c r="T1857" s="32" t="str">
        <f aca="false">IF(F1857="","",IF(E1857="","Diğer",E1857))</f>
        <v/>
      </c>
      <c r="U1857" s="32" t="str">
        <f aca="false">IF(OR(F1857="",C1857=""),"",IF(COUNTIF($C$2:C1857,C1857)=1,MAX($U$1:U1856)+1,""))</f>
        <v/>
      </c>
    </row>
    <row r="1858" customFormat="false" ht="15" hidden="false" customHeight="false" outlineLevel="0" collapsed="false">
      <c r="A1858" s="34"/>
      <c r="B1858" s="9"/>
      <c r="C1858" s="34"/>
      <c r="D1858" s="34"/>
      <c r="E1858" s="34"/>
      <c r="F1858" s="35"/>
      <c r="G1858" s="9"/>
      <c r="H1858" s="9"/>
      <c r="I1858" s="34"/>
      <c r="J1858" s="30" t="str">
        <f aca="false">IF(F1858="","",G1858-B1858)</f>
        <v/>
      </c>
      <c r="K1858" s="31" t="str">
        <f aca="false">IF(F1858="","",IF(H1858&lt;&gt;"",H1858,MAX('Vade Sapması'!$D$3,G1858)))</f>
        <v/>
      </c>
      <c r="L1858" s="30" t="str">
        <f aca="false">IF(F1858="","",K1858-B1858)</f>
        <v/>
      </c>
      <c r="M1858" s="30" t="str">
        <f aca="false">IF(F1858="","",L1858-J1858)</f>
        <v/>
      </c>
      <c r="N1858" s="32" t="str">
        <f aca="false">IF(F1858="","",IF(H1858&lt;&gt;"","Kapandı",IF('Vade Sapması'!$D$3&gt;G1858,"Açık · vadesi geçti","Açık · vadesi gelmedi")))</f>
        <v/>
      </c>
      <c r="O1858" s="30" t="str">
        <f aca="false">IF(F1858="","",IF(AND(H1858="",'Vade Sapması'!$D$3&gt;G1858),'Vade Sapması'!$D$3-G1858,0))</f>
        <v/>
      </c>
      <c r="P1858" s="33" t="str">
        <f aca="false">IF(F1858="","",F1858*J1858)</f>
        <v/>
      </c>
      <c r="Q1858" s="33" t="str">
        <f aca="false">IF(F1858="","",F1858*L1858)</f>
        <v/>
      </c>
      <c r="R1858" s="33" t="str">
        <f aca="false">IF(F1858="","",IF(H1858="",F1858,0))</f>
        <v/>
      </c>
      <c r="S1858" s="32" t="str">
        <f aca="false">IF(F1858="","",IF(N(O1858)=0,"",IF(O1858&lt;=30,"1-30",IF(O1858&lt;=60,"31-60",IF(O1858&lt;=90,"61-90","90+")))))</f>
        <v/>
      </c>
      <c r="T1858" s="32" t="str">
        <f aca="false">IF(F1858="","",IF(E1858="","Diğer",E1858))</f>
        <v/>
      </c>
      <c r="U1858" s="32" t="str">
        <f aca="false">IF(OR(F1858="",C1858=""),"",IF(COUNTIF($C$2:C1858,C1858)=1,MAX($U$1:U1857)+1,""))</f>
        <v/>
      </c>
    </row>
    <row r="1859" customFormat="false" ht="15" hidden="false" customHeight="false" outlineLevel="0" collapsed="false">
      <c r="A1859" s="34"/>
      <c r="B1859" s="9"/>
      <c r="C1859" s="34"/>
      <c r="D1859" s="34"/>
      <c r="E1859" s="34"/>
      <c r="F1859" s="35"/>
      <c r="G1859" s="9"/>
      <c r="H1859" s="9"/>
      <c r="I1859" s="34"/>
      <c r="J1859" s="30" t="str">
        <f aca="false">IF(F1859="","",G1859-B1859)</f>
        <v/>
      </c>
      <c r="K1859" s="31" t="str">
        <f aca="false">IF(F1859="","",IF(H1859&lt;&gt;"",H1859,MAX('Vade Sapması'!$D$3,G1859)))</f>
        <v/>
      </c>
      <c r="L1859" s="30" t="str">
        <f aca="false">IF(F1859="","",K1859-B1859)</f>
        <v/>
      </c>
      <c r="M1859" s="30" t="str">
        <f aca="false">IF(F1859="","",L1859-J1859)</f>
        <v/>
      </c>
      <c r="N1859" s="32" t="str">
        <f aca="false">IF(F1859="","",IF(H1859&lt;&gt;"","Kapandı",IF('Vade Sapması'!$D$3&gt;G1859,"Açık · vadesi geçti","Açık · vadesi gelmedi")))</f>
        <v/>
      </c>
      <c r="O1859" s="30" t="str">
        <f aca="false">IF(F1859="","",IF(AND(H1859="",'Vade Sapması'!$D$3&gt;G1859),'Vade Sapması'!$D$3-G1859,0))</f>
        <v/>
      </c>
      <c r="P1859" s="33" t="str">
        <f aca="false">IF(F1859="","",F1859*J1859)</f>
        <v/>
      </c>
      <c r="Q1859" s="33" t="str">
        <f aca="false">IF(F1859="","",F1859*L1859)</f>
        <v/>
      </c>
      <c r="R1859" s="33" t="str">
        <f aca="false">IF(F1859="","",IF(H1859="",F1859,0))</f>
        <v/>
      </c>
      <c r="S1859" s="32" t="str">
        <f aca="false">IF(F1859="","",IF(N(O1859)=0,"",IF(O1859&lt;=30,"1-30",IF(O1859&lt;=60,"31-60",IF(O1859&lt;=90,"61-90","90+")))))</f>
        <v/>
      </c>
      <c r="T1859" s="32" t="str">
        <f aca="false">IF(F1859="","",IF(E1859="","Diğer",E1859))</f>
        <v/>
      </c>
      <c r="U1859" s="32" t="str">
        <f aca="false">IF(OR(F1859="",C1859=""),"",IF(COUNTIF($C$2:C1859,C1859)=1,MAX($U$1:U1858)+1,""))</f>
        <v/>
      </c>
    </row>
    <row r="1860" customFormat="false" ht="15" hidden="false" customHeight="false" outlineLevel="0" collapsed="false">
      <c r="A1860" s="34"/>
      <c r="B1860" s="9"/>
      <c r="C1860" s="34"/>
      <c r="D1860" s="34"/>
      <c r="E1860" s="34"/>
      <c r="F1860" s="35"/>
      <c r="G1860" s="9"/>
      <c r="H1860" s="9"/>
      <c r="I1860" s="34"/>
      <c r="J1860" s="30" t="str">
        <f aca="false">IF(F1860="","",G1860-B1860)</f>
        <v/>
      </c>
      <c r="K1860" s="31" t="str">
        <f aca="false">IF(F1860="","",IF(H1860&lt;&gt;"",H1860,MAX('Vade Sapması'!$D$3,G1860)))</f>
        <v/>
      </c>
      <c r="L1860" s="30" t="str">
        <f aca="false">IF(F1860="","",K1860-B1860)</f>
        <v/>
      </c>
      <c r="M1860" s="30" t="str">
        <f aca="false">IF(F1860="","",L1860-J1860)</f>
        <v/>
      </c>
      <c r="N1860" s="32" t="str">
        <f aca="false">IF(F1860="","",IF(H1860&lt;&gt;"","Kapandı",IF('Vade Sapması'!$D$3&gt;G1860,"Açık · vadesi geçti","Açık · vadesi gelmedi")))</f>
        <v/>
      </c>
      <c r="O1860" s="30" t="str">
        <f aca="false">IF(F1860="","",IF(AND(H1860="",'Vade Sapması'!$D$3&gt;G1860),'Vade Sapması'!$D$3-G1860,0))</f>
        <v/>
      </c>
      <c r="P1860" s="33" t="str">
        <f aca="false">IF(F1860="","",F1860*J1860)</f>
        <v/>
      </c>
      <c r="Q1860" s="33" t="str">
        <f aca="false">IF(F1860="","",F1860*L1860)</f>
        <v/>
      </c>
      <c r="R1860" s="33" t="str">
        <f aca="false">IF(F1860="","",IF(H1860="",F1860,0))</f>
        <v/>
      </c>
      <c r="S1860" s="32" t="str">
        <f aca="false">IF(F1860="","",IF(N(O1860)=0,"",IF(O1860&lt;=30,"1-30",IF(O1860&lt;=60,"31-60",IF(O1860&lt;=90,"61-90","90+")))))</f>
        <v/>
      </c>
      <c r="T1860" s="32" t="str">
        <f aca="false">IF(F1860="","",IF(E1860="","Diğer",E1860))</f>
        <v/>
      </c>
      <c r="U1860" s="32" t="str">
        <f aca="false">IF(OR(F1860="",C1860=""),"",IF(COUNTIF($C$2:C1860,C1860)=1,MAX($U$1:U1859)+1,""))</f>
        <v/>
      </c>
    </row>
    <row r="1861" customFormat="false" ht="15" hidden="false" customHeight="false" outlineLevel="0" collapsed="false">
      <c r="A1861" s="34"/>
      <c r="B1861" s="9"/>
      <c r="C1861" s="34"/>
      <c r="D1861" s="34"/>
      <c r="E1861" s="34"/>
      <c r="F1861" s="35"/>
      <c r="G1861" s="9"/>
      <c r="H1861" s="9"/>
      <c r="I1861" s="34"/>
      <c r="J1861" s="30" t="str">
        <f aca="false">IF(F1861="","",G1861-B1861)</f>
        <v/>
      </c>
      <c r="K1861" s="31" t="str">
        <f aca="false">IF(F1861="","",IF(H1861&lt;&gt;"",H1861,MAX('Vade Sapması'!$D$3,G1861)))</f>
        <v/>
      </c>
      <c r="L1861" s="30" t="str">
        <f aca="false">IF(F1861="","",K1861-B1861)</f>
        <v/>
      </c>
      <c r="M1861" s="30" t="str">
        <f aca="false">IF(F1861="","",L1861-J1861)</f>
        <v/>
      </c>
      <c r="N1861" s="32" t="str">
        <f aca="false">IF(F1861="","",IF(H1861&lt;&gt;"","Kapandı",IF('Vade Sapması'!$D$3&gt;G1861,"Açık · vadesi geçti","Açık · vadesi gelmedi")))</f>
        <v/>
      </c>
      <c r="O1861" s="30" t="str">
        <f aca="false">IF(F1861="","",IF(AND(H1861="",'Vade Sapması'!$D$3&gt;G1861),'Vade Sapması'!$D$3-G1861,0))</f>
        <v/>
      </c>
      <c r="P1861" s="33" t="str">
        <f aca="false">IF(F1861="","",F1861*J1861)</f>
        <v/>
      </c>
      <c r="Q1861" s="33" t="str">
        <f aca="false">IF(F1861="","",F1861*L1861)</f>
        <v/>
      </c>
      <c r="R1861" s="33" t="str">
        <f aca="false">IF(F1861="","",IF(H1861="",F1861,0))</f>
        <v/>
      </c>
      <c r="S1861" s="32" t="str">
        <f aca="false">IF(F1861="","",IF(N(O1861)=0,"",IF(O1861&lt;=30,"1-30",IF(O1861&lt;=60,"31-60",IF(O1861&lt;=90,"61-90","90+")))))</f>
        <v/>
      </c>
      <c r="T1861" s="32" t="str">
        <f aca="false">IF(F1861="","",IF(E1861="","Diğer",E1861))</f>
        <v/>
      </c>
      <c r="U1861" s="32" t="str">
        <f aca="false">IF(OR(F1861="",C1861=""),"",IF(COUNTIF($C$2:C1861,C1861)=1,MAX($U$1:U1860)+1,""))</f>
        <v/>
      </c>
    </row>
    <row r="1862" customFormat="false" ht="15" hidden="false" customHeight="false" outlineLevel="0" collapsed="false">
      <c r="A1862" s="34"/>
      <c r="B1862" s="9"/>
      <c r="C1862" s="34"/>
      <c r="D1862" s="34"/>
      <c r="E1862" s="34"/>
      <c r="F1862" s="35"/>
      <c r="G1862" s="9"/>
      <c r="H1862" s="9"/>
      <c r="I1862" s="34"/>
      <c r="J1862" s="30" t="str">
        <f aca="false">IF(F1862="","",G1862-B1862)</f>
        <v/>
      </c>
      <c r="K1862" s="31" t="str">
        <f aca="false">IF(F1862="","",IF(H1862&lt;&gt;"",H1862,MAX('Vade Sapması'!$D$3,G1862)))</f>
        <v/>
      </c>
      <c r="L1862" s="30" t="str">
        <f aca="false">IF(F1862="","",K1862-B1862)</f>
        <v/>
      </c>
      <c r="M1862" s="30" t="str">
        <f aca="false">IF(F1862="","",L1862-J1862)</f>
        <v/>
      </c>
      <c r="N1862" s="32" t="str">
        <f aca="false">IF(F1862="","",IF(H1862&lt;&gt;"","Kapandı",IF('Vade Sapması'!$D$3&gt;G1862,"Açık · vadesi geçti","Açık · vadesi gelmedi")))</f>
        <v/>
      </c>
      <c r="O1862" s="30" t="str">
        <f aca="false">IF(F1862="","",IF(AND(H1862="",'Vade Sapması'!$D$3&gt;G1862),'Vade Sapması'!$D$3-G1862,0))</f>
        <v/>
      </c>
      <c r="P1862" s="33" t="str">
        <f aca="false">IF(F1862="","",F1862*J1862)</f>
        <v/>
      </c>
      <c r="Q1862" s="33" t="str">
        <f aca="false">IF(F1862="","",F1862*L1862)</f>
        <v/>
      </c>
      <c r="R1862" s="33" t="str">
        <f aca="false">IF(F1862="","",IF(H1862="",F1862,0))</f>
        <v/>
      </c>
      <c r="S1862" s="32" t="str">
        <f aca="false">IF(F1862="","",IF(N(O1862)=0,"",IF(O1862&lt;=30,"1-30",IF(O1862&lt;=60,"31-60",IF(O1862&lt;=90,"61-90","90+")))))</f>
        <v/>
      </c>
      <c r="T1862" s="32" t="str">
        <f aca="false">IF(F1862="","",IF(E1862="","Diğer",E1862))</f>
        <v/>
      </c>
      <c r="U1862" s="32" t="str">
        <f aca="false">IF(OR(F1862="",C1862=""),"",IF(COUNTIF($C$2:C1862,C1862)=1,MAX($U$1:U1861)+1,""))</f>
        <v/>
      </c>
    </row>
    <row r="1863" customFormat="false" ht="15" hidden="false" customHeight="false" outlineLevel="0" collapsed="false">
      <c r="A1863" s="34"/>
      <c r="B1863" s="9"/>
      <c r="C1863" s="34"/>
      <c r="D1863" s="34"/>
      <c r="E1863" s="34"/>
      <c r="F1863" s="35"/>
      <c r="G1863" s="9"/>
      <c r="H1863" s="9"/>
      <c r="I1863" s="34"/>
      <c r="J1863" s="30" t="str">
        <f aca="false">IF(F1863="","",G1863-B1863)</f>
        <v/>
      </c>
      <c r="K1863" s="31" t="str">
        <f aca="false">IF(F1863="","",IF(H1863&lt;&gt;"",H1863,MAX('Vade Sapması'!$D$3,G1863)))</f>
        <v/>
      </c>
      <c r="L1863" s="30" t="str">
        <f aca="false">IF(F1863="","",K1863-B1863)</f>
        <v/>
      </c>
      <c r="M1863" s="30" t="str">
        <f aca="false">IF(F1863="","",L1863-J1863)</f>
        <v/>
      </c>
      <c r="N1863" s="32" t="str">
        <f aca="false">IF(F1863="","",IF(H1863&lt;&gt;"","Kapandı",IF('Vade Sapması'!$D$3&gt;G1863,"Açık · vadesi geçti","Açık · vadesi gelmedi")))</f>
        <v/>
      </c>
      <c r="O1863" s="30" t="str">
        <f aca="false">IF(F1863="","",IF(AND(H1863="",'Vade Sapması'!$D$3&gt;G1863),'Vade Sapması'!$D$3-G1863,0))</f>
        <v/>
      </c>
      <c r="P1863" s="33" t="str">
        <f aca="false">IF(F1863="","",F1863*J1863)</f>
        <v/>
      </c>
      <c r="Q1863" s="33" t="str">
        <f aca="false">IF(F1863="","",F1863*L1863)</f>
        <v/>
      </c>
      <c r="R1863" s="33" t="str">
        <f aca="false">IF(F1863="","",IF(H1863="",F1863,0))</f>
        <v/>
      </c>
      <c r="S1863" s="32" t="str">
        <f aca="false">IF(F1863="","",IF(N(O1863)=0,"",IF(O1863&lt;=30,"1-30",IF(O1863&lt;=60,"31-60",IF(O1863&lt;=90,"61-90","90+")))))</f>
        <v/>
      </c>
      <c r="T1863" s="32" t="str">
        <f aca="false">IF(F1863="","",IF(E1863="","Diğer",E1863))</f>
        <v/>
      </c>
      <c r="U1863" s="32" t="str">
        <f aca="false">IF(OR(F1863="",C1863=""),"",IF(COUNTIF($C$2:C1863,C1863)=1,MAX($U$1:U1862)+1,""))</f>
        <v/>
      </c>
    </row>
    <row r="1864" customFormat="false" ht="15" hidden="false" customHeight="false" outlineLevel="0" collapsed="false">
      <c r="A1864" s="34"/>
      <c r="B1864" s="9"/>
      <c r="C1864" s="34"/>
      <c r="D1864" s="34"/>
      <c r="E1864" s="34"/>
      <c r="F1864" s="35"/>
      <c r="G1864" s="9"/>
      <c r="H1864" s="9"/>
      <c r="I1864" s="34"/>
      <c r="J1864" s="30" t="str">
        <f aca="false">IF(F1864="","",G1864-B1864)</f>
        <v/>
      </c>
      <c r="K1864" s="31" t="str">
        <f aca="false">IF(F1864="","",IF(H1864&lt;&gt;"",H1864,MAX('Vade Sapması'!$D$3,G1864)))</f>
        <v/>
      </c>
      <c r="L1864" s="30" t="str">
        <f aca="false">IF(F1864="","",K1864-B1864)</f>
        <v/>
      </c>
      <c r="M1864" s="30" t="str">
        <f aca="false">IF(F1864="","",L1864-J1864)</f>
        <v/>
      </c>
      <c r="N1864" s="32" t="str">
        <f aca="false">IF(F1864="","",IF(H1864&lt;&gt;"","Kapandı",IF('Vade Sapması'!$D$3&gt;G1864,"Açık · vadesi geçti","Açık · vadesi gelmedi")))</f>
        <v/>
      </c>
      <c r="O1864" s="30" t="str">
        <f aca="false">IF(F1864="","",IF(AND(H1864="",'Vade Sapması'!$D$3&gt;G1864),'Vade Sapması'!$D$3-G1864,0))</f>
        <v/>
      </c>
      <c r="P1864" s="33" t="str">
        <f aca="false">IF(F1864="","",F1864*J1864)</f>
        <v/>
      </c>
      <c r="Q1864" s="33" t="str">
        <f aca="false">IF(F1864="","",F1864*L1864)</f>
        <v/>
      </c>
      <c r="R1864" s="33" t="str">
        <f aca="false">IF(F1864="","",IF(H1864="",F1864,0))</f>
        <v/>
      </c>
      <c r="S1864" s="32" t="str">
        <f aca="false">IF(F1864="","",IF(N(O1864)=0,"",IF(O1864&lt;=30,"1-30",IF(O1864&lt;=60,"31-60",IF(O1864&lt;=90,"61-90","90+")))))</f>
        <v/>
      </c>
      <c r="T1864" s="32" t="str">
        <f aca="false">IF(F1864="","",IF(E1864="","Diğer",E1864))</f>
        <v/>
      </c>
      <c r="U1864" s="32" t="str">
        <f aca="false">IF(OR(F1864="",C1864=""),"",IF(COUNTIF($C$2:C1864,C1864)=1,MAX($U$1:U1863)+1,""))</f>
        <v/>
      </c>
    </row>
    <row r="1865" customFormat="false" ht="15" hidden="false" customHeight="false" outlineLevel="0" collapsed="false">
      <c r="A1865" s="34"/>
      <c r="B1865" s="9"/>
      <c r="C1865" s="34"/>
      <c r="D1865" s="34"/>
      <c r="E1865" s="34"/>
      <c r="F1865" s="35"/>
      <c r="G1865" s="9"/>
      <c r="H1865" s="9"/>
      <c r="I1865" s="34"/>
      <c r="J1865" s="30" t="str">
        <f aca="false">IF(F1865="","",G1865-B1865)</f>
        <v/>
      </c>
      <c r="K1865" s="31" t="str">
        <f aca="false">IF(F1865="","",IF(H1865&lt;&gt;"",H1865,MAX('Vade Sapması'!$D$3,G1865)))</f>
        <v/>
      </c>
      <c r="L1865" s="30" t="str">
        <f aca="false">IF(F1865="","",K1865-B1865)</f>
        <v/>
      </c>
      <c r="M1865" s="30" t="str">
        <f aca="false">IF(F1865="","",L1865-J1865)</f>
        <v/>
      </c>
      <c r="N1865" s="32" t="str">
        <f aca="false">IF(F1865="","",IF(H1865&lt;&gt;"","Kapandı",IF('Vade Sapması'!$D$3&gt;G1865,"Açık · vadesi geçti","Açık · vadesi gelmedi")))</f>
        <v/>
      </c>
      <c r="O1865" s="30" t="str">
        <f aca="false">IF(F1865="","",IF(AND(H1865="",'Vade Sapması'!$D$3&gt;G1865),'Vade Sapması'!$D$3-G1865,0))</f>
        <v/>
      </c>
      <c r="P1865" s="33" t="str">
        <f aca="false">IF(F1865="","",F1865*J1865)</f>
        <v/>
      </c>
      <c r="Q1865" s="33" t="str">
        <f aca="false">IF(F1865="","",F1865*L1865)</f>
        <v/>
      </c>
      <c r="R1865" s="33" t="str">
        <f aca="false">IF(F1865="","",IF(H1865="",F1865,0))</f>
        <v/>
      </c>
      <c r="S1865" s="32" t="str">
        <f aca="false">IF(F1865="","",IF(N(O1865)=0,"",IF(O1865&lt;=30,"1-30",IF(O1865&lt;=60,"31-60",IF(O1865&lt;=90,"61-90","90+")))))</f>
        <v/>
      </c>
      <c r="T1865" s="32" t="str">
        <f aca="false">IF(F1865="","",IF(E1865="","Diğer",E1865))</f>
        <v/>
      </c>
      <c r="U1865" s="32" t="str">
        <f aca="false">IF(OR(F1865="",C1865=""),"",IF(COUNTIF($C$2:C1865,C1865)=1,MAX($U$1:U1864)+1,""))</f>
        <v/>
      </c>
    </row>
    <row r="1866" customFormat="false" ht="15" hidden="false" customHeight="false" outlineLevel="0" collapsed="false">
      <c r="A1866" s="34"/>
      <c r="B1866" s="9"/>
      <c r="C1866" s="34"/>
      <c r="D1866" s="34"/>
      <c r="E1866" s="34"/>
      <c r="F1866" s="35"/>
      <c r="G1866" s="9"/>
      <c r="H1866" s="9"/>
      <c r="I1866" s="34"/>
      <c r="J1866" s="30" t="str">
        <f aca="false">IF(F1866="","",G1866-B1866)</f>
        <v/>
      </c>
      <c r="K1866" s="31" t="str">
        <f aca="false">IF(F1866="","",IF(H1866&lt;&gt;"",H1866,MAX('Vade Sapması'!$D$3,G1866)))</f>
        <v/>
      </c>
      <c r="L1866" s="30" t="str">
        <f aca="false">IF(F1866="","",K1866-B1866)</f>
        <v/>
      </c>
      <c r="M1866" s="30" t="str">
        <f aca="false">IF(F1866="","",L1866-J1866)</f>
        <v/>
      </c>
      <c r="N1866" s="32" t="str">
        <f aca="false">IF(F1866="","",IF(H1866&lt;&gt;"","Kapandı",IF('Vade Sapması'!$D$3&gt;G1866,"Açık · vadesi geçti","Açık · vadesi gelmedi")))</f>
        <v/>
      </c>
      <c r="O1866" s="30" t="str">
        <f aca="false">IF(F1866="","",IF(AND(H1866="",'Vade Sapması'!$D$3&gt;G1866),'Vade Sapması'!$D$3-G1866,0))</f>
        <v/>
      </c>
      <c r="P1866" s="33" t="str">
        <f aca="false">IF(F1866="","",F1866*J1866)</f>
        <v/>
      </c>
      <c r="Q1866" s="33" t="str">
        <f aca="false">IF(F1866="","",F1866*L1866)</f>
        <v/>
      </c>
      <c r="R1866" s="33" t="str">
        <f aca="false">IF(F1866="","",IF(H1866="",F1866,0))</f>
        <v/>
      </c>
      <c r="S1866" s="32" t="str">
        <f aca="false">IF(F1866="","",IF(N(O1866)=0,"",IF(O1866&lt;=30,"1-30",IF(O1866&lt;=60,"31-60",IF(O1866&lt;=90,"61-90","90+")))))</f>
        <v/>
      </c>
      <c r="T1866" s="32" t="str">
        <f aca="false">IF(F1866="","",IF(E1866="","Diğer",E1866))</f>
        <v/>
      </c>
      <c r="U1866" s="32" t="str">
        <f aca="false">IF(OR(F1866="",C1866=""),"",IF(COUNTIF($C$2:C1866,C1866)=1,MAX($U$1:U1865)+1,""))</f>
        <v/>
      </c>
    </row>
    <row r="1867" customFormat="false" ht="15" hidden="false" customHeight="false" outlineLevel="0" collapsed="false">
      <c r="A1867" s="34"/>
      <c r="B1867" s="9"/>
      <c r="C1867" s="34"/>
      <c r="D1867" s="34"/>
      <c r="E1867" s="34"/>
      <c r="F1867" s="35"/>
      <c r="G1867" s="9"/>
      <c r="H1867" s="9"/>
      <c r="I1867" s="34"/>
      <c r="J1867" s="30" t="str">
        <f aca="false">IF(F1867="","",G1867-B1867)</f>
        <v/>
      </c>
      <c r="K1867" s="31" t="str">
        <f aca="false">IF(F1867="","",IF(H1867&lt;&gt;"",H1867,MAX('Vade Sapması'!$D$3,G1867)))</f>
        <v/>
      </c>
      <c r="L1867" s="30" t="str">
        <f aca="false">IF(F1867="","",K1867-B1867)</f>
        <v/>
      </c>
      <c r="M1867" s="30" t="str">
        <f aca="false">IF(F1867="","",L1867-J1867)</f>
        <v/>
      </c>
      <c r="N1867" s="32" t="str">
        <f aca="false">IF(F1867="","",IF(H1867&lt;&gt;"","Kapandı",IF('Vade Sapması'!$D$3&gt;G1867,"Açık · vadesi geçti","Açık · vadesi gelmedi")))</f>
        <v/>
      </c>
      <c r="O1867" s="30" t="str">
        <f aca="false">IF(F1867="","",IF(AND(H1867="",'Vade Sapması'!$D$3&gt;G1867),'Vade Sapması'!$D$3-G1867,0))</f>
        <v/>
      </c>
      <c r="P1867" s="33" t="str">
        <f aca="false">IF(F1867="","",F1867*J1867)</f>
        <v/>
      </c>
      <c r="Q1867" s="33" t="str">
        <f aca="false">IF(F1867="","",F1867*L1867)</f>
        <v/>
      </c>
      <c r="R1867" s="33" t="str">
        <f aca="false">IF(F1867="","",IF(H1867="",F1867,0))</f>
        <v/>
      </c>
      <c r="S1867" s="32" t="str">
        <f aca="false">IF(F1867="","",IF(N(O1867)=0,"",IF(O1867&lt;=30,"1-30",IF(O1867&lt;=60,"31-60",IF(O1867&lt;=90,"61-90","90+")))))</f>
        <v/>
      </c>
      <c r="T1867" s="32" t="str">
        <f aca="false">IF(F1867="","",IF(E1867="","Diğer",E1867))</f>
        <v/>
      </c>
      <c r="U1867" s="32" t="str">
        <f aca="false">IF(OR(F1867="",C1867=""),"",IF(COUNTIF($C$2:C1867,C1867)=1,MAX($U$1:U1866)+1,""))</f>
        <v/>
      </c>
    </row>
    <row r="1868" customFormat="false" ht="15" hidden="false" customHeight="false" outlineLevel="0" collapsed="false">
      <c r="A1868" s="34"/>
      <c r="B1868" s="9"/>
      <c r="C1868" s="34"/>
      <c r="D1868" s="34"/>
      <c r="E1868" s="34"/>
      <c r="F1868" s="35"/>
      <c r="G1868" s="9"/>
      <c r="H1868" s="9"/>
      <c r="I1868" s="34"/>
      <c r="J1868" s="30" t="str">
        <f aca="false">IF(F1868="","",G1868-B1868)</f>
        <v/>
      </c>
      <c r="K1868" s="31" t="str">
        <f aca="false">IF(F1868="","",IF(H1868&lt;&gt;"",H1868,MAX('Vade Sapması'!$D$3,G1868)))</f>
        <v/>
      </c>
      <c r="L1868" s="30" t="str">
        <f aca="false">IF(F1868="","",K1868-B1868)</f>
        <v/>
      </c>
      <c r="M1868" s="30" t="str">
        <f aca="false">IF(F1868="","",L1868-J1868)</f>
        <v/>
      </c>
      <c r="N1868" s="32" t="str">
        <f aca="false">IF(F1868="","",IF(H1868&lt;&gt;"","Kapandı",IF('Vade Sapması'!$D$3&gt;G1868,"Açık · vadesi geçti","Açık · vadesi gelmedi")))</f>
        <v/>
      </c>
      <c r="O1868" s="30" t="str">
        <f aca="false">IF(F1868="","",IF(AND(H1868="",'Vade Sapması'!$D$3&gt;G1868),'Vade Sapması'!$D$3-G1868,0))</f>
        <v/>
      </c>
      <c r="P1868" s="33" t="str">
        <f aca="false">IF(F1868="","",F1868*J1868)</f>
        <v/>
      </c>
      <c r="Q1868" s="33" t="str">
        <f aca="false">IF(F1868="","",F1868*L1868)</f>
        <v/>
      </c>
      <c r="R1868" s="33" t="str">
        <f aca="false">IF(F1868="","",IF(H1868="",F1868,0))</f>
        <v/>
      </c>
      <c r="S1868" s="32" t="str">
        <f aca="false">IF(F1868="","",IF(N(O1868)=0,"",IF(O1868&lt;=30,"1-30",IF(O1868&lt;=60,"31-60",IF(O1868&lt;=90,"61-90","90+")))))</f>
        <v/>
      </c>
      <c r="T1868" s="32" t="str">
        <f aca="false">IF(F1868="","",IF(E1868="","Diğer",E1868))</f>
        <v/>
      </c>
      <c r="U1868" s="32" t="str">
        <f aca="false">IF(OR(F1868="",C1868=""),"",IF(COUNTIF($C$2:C1868,C1868)=1,MAX($U$1:U1867)+1,""))</f>
        <v/>
      </c>
    </row>
    <row r="1869" customFormat="false" ht="15" hidden="false" customHeight="false" outlineLevel="0" collapsed="false">
      <c r="A1869" s="34"/>
      <c r="B1869" s="9"/>
      <c r="C1869" s="34"/>
      <c r="D1869" s="34"/>
      <c r="E1869" s="34"/>
      <c r="F1869" s="35"/>
      <c r="G1869" s="9"/>
      <c r="H1869" s="9"/>
      <c r="I1869" s="34"/>
      <c r="J1869" s="30" t="str">
        <f aca="false">IF(F1869="","",G1869-B1869)</f>
        <v/>
      </c>
      <c r="K1869" s="31" t="str">
        <f aca="false">IF(F1869="","",IF(H1869&lt;&gt;"",H1869,MAX('Vade Sapması'!$D$3,G1869)))</f>
        <v/>
      </c>
      <c r="L1869" s="30" t="str">
        <f aca="false">IF(F1869="","",K1869-B1869)</f>
        <v/>
      </c>
      <c r="M1869" s="30" t="str">
        <f aca="false">IF(F1869="","",L1869-J1869)</f>
        <v/>
      </c>
      <c r="N1869" s="32" t="str">
        <f aca="false">IF(F1869="","",IF(H1869&lt;&gt;"","Kapandı",IF('Vade Sapması'!$D$3&gt;G1869,"Açık · vadesi geçti","Açık · vadesi gelmedi")))</f>
        <v/>
      </c>
      <c r="O1869" s="30" t="str">
        <f aca="false">IF(F1869="","",IF(AND(H1869="",'Vade Sapması'!$D$3&gt;G1869),'Vade Sapması'!$D$3-G1869,0))</f>
        <v/>
      </c>
      <c r="P1869" s="33" t="str">
        <f aca="false">IF(F1869="","",F1869*J1869)</f>
        <v/>
      </c>
      <c r="Q1869" s="33" t="str">
        <f aca="false">IF(F1869="","",F1869*L1869)</f>
        <v/>
      </c>
      <c r="R1869" s="33" t="str">
        <f aca="false">IF(F1869="","",IF(H1869="",F1869,0))</f>
        <v/>
      </c>
      <c r="S1869" s="32" t="str">
        <f aca="false">IF(F1869="","",IF(N(O1869)=0,"",IF(O1869&lt;=30,"1-30",IF(O1869&lt;=60,"31-60",IF(O1869&lt;=90,"61-90","90+")))))</f>
        <v/>
      </c>
      <c r="T1869" s="32" t="str">
        <f aca="false">IF(F1869="","",IF(E1869="","Diğer",E1869))</f>
        <v/>
      </c>
      <c r="U1869" s="32" t="str">
        <f aca="false">IF(OR(F1869="",C1869=""),"",IF(COUNTIF($C$2:C1869,C1869)=1,MAX($U$1:U1868)+1,""))</f>
        <v/>
      </c>
    </row>
    <row r="1870" customFormat="false" ht="15" hidden="false" customHeight="false" outlineLevel="0" collapsed="false">
      <c r="A1870" s="34"/>
      <c r="B1870" s="9"/>
      <c r="C1870" s="34"/>
      <c r="D1870" s="34"/>
      <c r="E1870" s="34"/>
      <c r="F1870" s="35"/>
      <c r="G1870" s="9"/>
      <c r="H1870" s="9"/>
      <c r="I1870" s="34"/>
      <c r="J1870" s="30" t="str">
        <f aca="false">IF(F1870="","",G1870-B1870)</f>
        <v/>
      </c>
      <c r="K1870" s="31" t="str">
        <f aca="false">IF(F1870="","",IF(H1870&lt;&gt;"",H1870,MAX('Vade Sapması'!$D$3,G1870)))</f>
        <v/>
      </c>
      <c r="L1870" s="30" t="str">
        <f aca="false">IF(F1870="","",K1870-B1870)</f>
        <v/>
      </c>
      <c r="M1870" s="30" t="str">
        <f aca="false">IF(F1870="","",L1870-J1870)</f>
        <v/>
      </c>
      <c r="N1870" s="32" t="str">
        <f aca="false">IF(F1870="","",IF(H1870&lt;&gt;"","Kapandı",IF('Vade Sapması'!$D$3&gt;G1870,"Açık · vadesi geçti","Açık · vadesi gelmedi")))</f>
        <v/>
      </c>
      <c r="O1870" s="30" t="str">
        <f aca="false">IF(F1870="","",IF(AND(H1870="",'Vade Sapması'!$D$3&gt;G1870),'Vade Sapması'!$D$3-G1870,0))</f>
        <v/>
      </c>
      <c r="P1870" s="33" t="str">
        <f aca="false">IF(F1870="","",F1870*J1870)</f>
        <v/>
      </c>
      <c r="Q1870" s="33" t="str">
        <f aca="false">IF(F1870="","",F1870*L1870)</f>
        <v/>
      </c>
      <c r="R1870" s="33" t="str">
        <f aca="false">IF(F1870="","",IF(H1870="",F1870,0))</f>
        <v/>
      </c>
      <c r="S1870" s="32" t="str">
        <f aca="false">IF(F1870="","",IF(N(O1870)=0,"",IF(O1870&lt;=30,"1-30",IF(O1870&lt;=60,"31-60",IF(O1870&lt;=90,"61-90","90+")))))</f>
        <v/>
      </c>
      <c r="T1870" s="32" t="str">
        <f aca="false">IF(F1870="","",IF(E1870="","Diğer",E1870))</f>
        <v/>
      </c>
      <c r="U1870" s="32" t="str">
        <f aca="false">IF(OR(F1870="",C1870=""),"",IF(COUNTIF($C$2:C1870,C1870)=1,MAX($U$1:U1869)+1,""))</f>
        <v/>
      </c>
    </row>
    <row r="1871" customFormat="false" ht="15" hidden="false" customHeight="false" outlineLevel="0" collapsed="false">
      <c r="A1871" s="34"/>
      <c r="B1871" s="9"/>
      <c r="C1871" s="34"/>
      <c r="D1871" s="34"/>
      <c r="E1871" s="34"/>
      <c r="F1871" s="35"/>
      <c r="G1871" s="9"/>
      <c r="H1871" s="9"/>
      <c r="I1871" s="34"/>
      <c r="J1871" s="30" t="str">
        <f aca="false">IF(F1871="","",G1871-B1871)</f>
        <v/>
      </c>
      <c r="K1871" s="31" t="str">
        <f aca="false">IF(F1871="","",IF(H1871&lt;&gt;"",H1871,MAX('Vade Sapması'!$D$3,G1871)))</f>
        <v/>
      </c>
      <c r="L1871" s="30" t="str">
        <f aca="false">IF(F1871="","",K1871-B1871)</f>
        <v/>
      </c>
      <c r="M1871" s="30" t="str">
        <f aca="false">IF(F1871="","",L1871-J1871)</f>
        <v/>
      </c>
      <c r="N1871" s="32" t="str">
        <f aca="false">IF(F1871="","",IF(H1871&lt;&gt;"","Kapandı",IF('Vade Sapması'!$D$3&gt;G1871,"Açık · vadesi geçti","Açık · vadesi gelmedi")))</f>
        <v/>
      </c>
      <c r="O1871" s="30" t="str">
        <f aca="false">IF(F1871="","",IF(AND(H1871="",'Vade Sapması'!$D$3&gt;G1871),'Vade Sapması'!$D$3-G1871,0))</f>
        <v/>
      </c>
      <c r="P1871" s="33" t="str">
        <f aca="false">IF(F1871="","",F1871*J1871)</f>
        <v/>
      </c>
      <c r="Q1871" s="33" t="str">
        <f aca="false">IF(F1871="","",F1871*L1871)</f>
        <v/>
      </c>
      <c r="R1871" s="33" t="str">
        <f aca="false">IF(F1871="","",IF(H1871="",F1871,0))</f>
        <v/>
      </c>
      <c r="S1871" s="32" t="str">
        <f aca="false">IF(F1871="","",IF(N(O1871)=0,"",IF(O1871&lt;=30,"1-30",IF(O1871&lt;=60,"31-60",IF(O1871&lt;=90,"61-90","90+")))))</f>
        <v/>
      </c>
      <c r="T1871" s="32" t="str">
        <f aca="false">IF(F1871="","",IF(E1871="","Diğer",E1871))</f>
        <v/>
      </c>
      <c r="U1871" s="32" t="str">
        <f aca="false">IF(OR(F1871="",C1871=""),"",IF(COUNTIF($C$2:C1871,C1871)=1,MAX($U$1:U1870)+1,""))</f>
        <v/>
      </c>
    </row>
    <row r="1872" customFormat="false" ht="15" hidden="false" customHeight="false" outlineLevel="0" collapsed="false">
      <c r="A1872" s="34"/>
      <c r="B1872" s="9"/>
      <c r="C1872" s="34"/>
      <c r="D1872" s="34"/>
      <c r="E1872" s="34"/>
      <c r="F1872" s="35"/>
      <c r="G1872" s="9"/>
      <c r="H1872" s="9"/>
      <c r="I1872" s="34"/>
      <c r="J1872" s="30" t="str">
        <f aca="false">IF(F1872="","",G1872-B1872)</f>
        <v/>
      </c>
      <c r="K1872" s="31" t="str">
        <f aca="false">IF(F1872="","",IF(H1872&lt;&gt;"",H1872,MAX('Vade Sapması'!$D$3,G1872)))</f>
        <v/>
      </c>
      <c r="L1872" s="30" t="str">
        <f aca="false">IF(F1872="","",K1872-B1872)</f>
        <v/>
      </c>
      <c r="M1872" s="30" t="str">
        <f aca="false">IF(F1872="","",L1872-J1872)</f>
        <v/>
      </c>
      <c r="N1872" s="32" t="str">
        <f aca="false">IF(F1872="","",IF(H1872&lt;&gt;"","Kapandı",IF('Vade Sapması'!$D$3&gt;G1872,"Açık · vadesi geçti","Açık · vadesi gelmedi")))</f>
        <v/>
      </c>
      <c r="O1872" s="30" t="str">
        <f aca="false">IF(F1872="","",IF(AND(H1872="",'Vade Sapması'!$D$3&gt;G1872),'Vade Sapması'!$D$3-G1872,0))</f>
        <v/>
      </c>
      <c r="P1872" s="33" t="str">
        <f aca="false">IF(F1872="","",F1872*J1872)</f>
        <v/>
      </c>
      <c r="Q1872" s="33" t="str">
        <f aca="false">IF(F1872="","",F1872*L1872)</f>
        <v/>
      </c>
      <c r="R1872" s="33" t="str">
        <f aca="false">IF(F1872="","",IF(H1872="",F1872,0))</f>
        <v/>
      </c>
      <c r="S1872" s="32" t="str">
        <f aca="false">IF(F1872="","",IF(N(O1872)=0,"",IF(O1872&lt;=30,"1-30",IF(O1872&lt;=60,"31-60",IF(O1872&lt;=90,"61-90","90+")))))</f>
        <v/>
      </c>
      <c r="T1872" s="32" t="str">
        <f aca="false">IF(F1872="","",IF(E1872="","Diğer",E1872))</f>
        <v/>
      </c>
      <c r="U1872" s="32" t="str">
        <f aca="false">IF(OR(F1872="",C1872=""),"",IF(COUNTIF($C$2:C1872,C1872)=1,MAX($U$1:U1871)+1,""))</f>
        <v/>
      </c>
    </row>
    <row r="1873" customFormat="false" ht="15" hidden="false" customHeight="false" outlineLevel="0" collapsed="false">
      <c r="A1873" s="34"/>
      <c r="B1873" s="9"/>
      <c r="C1873" s="34"/>
      <c r="D1873" s="34"/>
      <c r="E1873" s="34"/>
      <c r="F1873" s="35"/>
      <c r="G1873" s="9"/>
      <c r="H1873" s="9"/>
      <c r="I1873" s="34"/>
      <c r="J1873" s="30" t="str">
        <f aca="false">IF(F1873="","",G1873-B1873)</f>
        <v/>
      </c>
      <c r="K1873" s="31" t="str">
        <f aca="false">IF(F1873="","",IF(H1873&lt;&gt;"",H1873,MAX('Vade Sapması'!$D$3,G1873)))</f>
        <v/>
      </c>
      <c r="L1873" s="30" t="str">
        <f aca="false">IF(F1873="","",K1873-B1873)</f>
        <v/>
      </c>
      <c r="M1873" s="30" t="str">
        <f aca="false">IF(F1873="","",L1873-J1873)</f>
        <v/>
      </c>
      <c r="N1873" s="32" t="str">
        <f aca="false">IF(F1873="","",IF(H1873&lt;&gt;"","Kapandı",IF('Vade Sapması'!$D$3&gt;G1873,"Açık · vadesi geçti","Açık · vadesi gelmedi")))</f>
        <v/>
      </c>
      <c r="O1873" s="30" t="str">
        <f aca="false">IF(F1873="","",IF(AND(H1873="",'Vade Sapması'!$D$3&gt;G1873),'Vade Sapması'!$D$3-G1873,0))</f>
        <v/>
      </c>
      <c r="P1873" s="33" t="str">
        <f aca="false">IF(F1873="","",F1873*J1873)</f>
        <v/>
      </c>
      <c r="Q1873" s="33" t="str">
        <f aca="false">IF(F1873="","",F1873*L1873)</f>
        <v/>
      </c>
      <c r="R1873" s="33" t="str">
        <f aca="false">IF(F1873="","",IF(H1873="",F1873,0))</f>
        <v/>
      </c>
      <c r="S1873" s="32" t="str">
        <f aca="false">IF(F1873="","",IF(N(O1873)=0,"",IF(O1873&lt;=30,"1-30",IF(O1873&lt;=60,"31-60",IF(O1873&lt;=90,"61-90","90+")))))</f>
        <v/>
      </c>
      <c r="T1873" s="32" t="str">
        <f aca="false">IF(F1873="","",IF(E1873="","Diğer",E1873))</f>
        <v/>
      </c>
      <c r="U1873" s="32" t="str">
        <f aca="false">IF(OR(F1873="",C1873=""),"",IF(COUNTIF($C$2:C1873,C1873)=1,MAX($U$1:U1872)+1,""))</f>
        <v/>
      </c>
    </row>
    <row r="1874" customFormat="false" ht="15" hidden="false" customHeight="false" outlineLevel="0" collapsed="false">
      <c r="A1874" s="34"/>
      <c r="B1874" s="9"/>
      <c r="C1874" s="34"/>
      <c r="D1874" s="34"/>
      <c r="E1874" s="34"/>
      <c r="F1874" s="35"/>
      <c r="G1874" s="9"/>
      <c r="H1874" s="9"/>
      <c r="I1874" s="34"/>
      <c r="J1874" s="30" t="str">
        <f aca="false">IF(F1874="","",G1874-B1874)</f>
        <v/>
      </c>
      <c r="K1874" s="31" t="str">
        <f aca="false">IF(F1874="","",IF(H1874&lt;&gt;"",H1874,MAX('Vade Sapması'!$D$3,G1874)))</f>
        <v/>
      </c>
      <c r="L1874" s="30" t="str">
        <f aca="false">IF(F1874="","",K1874-B1874)</f>
        <v/>
      </c>
      <c r="M1874" s="30" t="str">
        <f aca="false">IF(F1874="","",L1874-J1874)</f>
        <v/>
      </c>
      <c r="N1874" s="32" t="str">
        <f aca="false">IF(F1874="","",IF(H1874&lt;&gt;"","Kapandı",IF('Vade Sapması'!$D$3&gt;G1874,"Açık · vadesi geçti","Açık · vadesi gelmedi")))</f>
        <v/>
      </c>
      <c r="O1874" s="30" t="str">
        <f aca="false">IF(F1874="","",IF(AND(H1874="",'Vade Sapması'!$D$3&gt;G1874),'Vade Sapması'!$D$3-G1874,0))</f>
        <v/>
      </c>
      <c r="P1874" s="33" t="str">
        <f aca="false">IF(F1874="","",F1874*J1874)</f>
        <v/>
      </c>
      <c r="Q1874" s="33" t="str">
        <f aca="false">IF(F1874="","",F1874*L1874)</f>
        <v/>
      </c>
      <c r="R1874" s="33" t="str">
        <f aca="false">IF(F1874="","",IF(H1874="",F1874,0))</f>
        <v/>
      </c>
      <c r="S1874" s="32" t="str">
        <f aca="false">IF(F1874="","",IF(N(O1874)=0,"",IF(O1874&lt;=30,"1-30",IF(O1874&lt;=60,"31-60",IF(O1874&lt;=90,"61-90","90+")))))</f>
        <v/>
      </c>
      <c r="T1874" s="32" t="str">
        <f aca="false">IF(F1874="","",IF(E1874="","Diğer",E1874))</f>
        <v/>
      </c>
      <c r="U1874" s="32" t="str">
        <f aca="false">IF(OR(F1874="",C1874=""),"",IF(COUNTIF($C$2:C1874,C1874)=1,MAX($U$1:U1873)+1,""))</f>
        <v/>
      </c>
    </row>
    <row r="1875" customFormat="false" ht="15" hidden="false" customHeight="false" outlineLevel="0" collapsed="false">
      <c r="A1875" s="34"/>
      <c r="B1875" s="9"/>
      <c r="C1875" s="34"/>
      <c r="D1875" s="34"/>
      <c r="E1875" s="34"/>
      <c r="F1875" s="35"/>
      <c r="G1875" s="9"/>
      <c r="H1875" s="9"/>
      <c r="I1875" s="34"/>
      <c r="J1875" s="30" t="str">
        <f aca="false">IF(F1875="","",G1875-B1875)</f>
        <v/>
      </c>
      <c r="K1875" s="31" t="str">
        <f aca="false">IF(F1875="","",IF(H1875&lt;&gt;"",H1875,MAX('Vade Sapması'!$D$3,G1875)))</f>
        <v/>
      </c>
      <c r="L1875" s="30" t="str">
        <f aca="false">IF(F1875="","",K1875-B1875)</f>
        <v/>
      </c>
      <c r="M1875" s="30" t="str">
        <f aca="false">IF(F1875="","",L1875-J1875)</f>
        <v/>
      </c>
      <c r="N1875" s="32" t="str">
        <f aca="false">IF(F1875="","",IF(H1875&lt;&gt;"","Kapandı",IF('Vade Sapması'!$D$3&gt;G1875,"Açık · vadesi geçti","Açık · vadesi gelmedi")))</f>
        <v/>
      </c>
      <c r="O1875" s="30" t="str">
        <f aca="false">IF(F1875="","",IF(AND(H1875="",'Vade Sapması'!$D$3&gt;G1875),'Vade Sapması'!$D$3-G1875,0))</f>
        <v/>
      </c>
      <c r="P1875" s="33" t="str">
        <f aca="false">IF(F1875="","",F1875*J1875)</f>
        <v/>
      </c>
      <c r="Q1875" s="33" t="str">
        <f aca="false">IF(F1875="","",F1875*L1875)</f>
        <v/>
      </c>
      <c r="R1875" s="33" t="str">
        <f aca="false">IF(F1875="","",IF(H1875="",F1875,0))</f>
        <v/>
      </c>
      <c r="S1875" s="32" t="str">
        <f aca="false">IF(F1875="","",IF(N(O1875)=0,"",IF(O1875&lt;=30,"1-30",IF(O1875&lt;=60,"31-60",IF(O1875&lt;=90,"61-90","90+")))))</f>
        <v/>
      </c>
      <c r="T1875" s="32" t="str">
        <f aca="false">IF(F1875="","",IF(E1875="","Diğer",E1875))</f>
        <v/>
      </c>
      <c r="U1875" s="32" t="str">
        <f aca="false">IF(OR(F1875="",C1875=""),"",IF(COUNTIF($C$2:C1875,C1875)=1,MAX($U$1:U1874)+1,""))</f>
        <v/>
      </c>
    </row>
    <row r="1876" customFormat="false" ht="15" hidden="false" customHeight="false" outlineLevel="0" collapsed="false">
      <c r="A1876" s="34"/>
      <c r="B1876" s="9"/>
      <c r="C1876" s="34"/>
      <c r="D1876" s="34"/>
      <c r="E1876" s="34"/>
      <c r="F1876" s="35"/>
      <c r="G1876" s="9"/>
      <c r="H1876" s="9"/>
      <c r="I1876" s="34"/>
      <c r="J1876" s="30" t="str">
        <f aca="false">IF(F1876="","",G1876-B1876)</f>
        <v/>
      </c>
      <c r="K1876" s="31" t="str">
        <f aca="false">IF(F1876="","",IF(H1876&lt;&gt;"",H1876,MAX('Vade Sapması'!$D$3,G1876)))</f>
        <v/>
      </c>
      <c r="L1876" s="30" t="str">
        <f aca="false">IF(F1876="","",K1876-B1876)</f>
        <v/>
      </c>
      <c r="M1876" s="30" t="str">
        <f aca="false">IF(F1876="","",L1876-J1876)</f>
        <v/>
      </c>
      <c r="N1876" s="32" t="str">
        <f aca="false">IF(F1876="","",IF(H1876&lt;&gt;"","Kapandı",IF('Vade Sapması'!$D$3&gt;G1876,"Açık · vadesi geçti","Açık · vadesi gelmedi")))</f>
        <v/>
      </c>
      <c r="O1876" s="30" t="str">
        <f aca="false">IF(F1876="","",IF(AND(H1876="",'Vade Sapması'!$D$3&gt;G1876),'Vade Sapması'!$D$3-G1876,0))</f>
        <v/>
      </c>
      <c r="P1876" s="33" t="str">
        <f aca="false">IF(F1876="","",F1876*J1876)</f>
        <v/>
      </c>
      <c r="Q1876" s="33" t="str">
        <f aca="false">IF(F1876="","",F1876*L1876)</f>
        <v/>
      </c>
      <c r="R1876" s="33" t="str">
        <f aca="false">IF(F1876="","",IF(H1876="",F1876,0))</f>
        <v/>
      </c>
      <c r="S1876" s="32" t="str">
        <f aca="false">IF(F1876="","",IF(N(O1876)=0,"",IF(O1876&lt;=30,"1-30",IF(O1876&lt;=60,"31-60",IF(O1876&lt;=90,"61-90","90+")))))</f>
        <v/>
      </c>
      <c r="T1876" s="32" t="str">
        <f aca="false">IF(F1876="","",IF(E1876="","Diğer",E1876))</f>
        <v/>
      </c>
      <c r="U1876" s="32" t="str">
        <f aca="false">IF(OR(F1876="",C1876=""),"",IF(COUNTIF($C$2:C1876,C1876)=1,MAX($U$1:U1875)+1,""))</f>
        <v/>
      </c>
    </row>
    <row r="1877" customFormat="false" ht="15" hidden="false" customHeight="false" outlineLevel="0" collapsed="false">
      <c r="A1877" s="34"/>
      <c r="B1877" s="9"/>
      <c r="C1877" s="34"/>
      <c r="D1877" s="34"/>
      <c r="E1877" s="34"/>
      <c r="F1877" s="35"/>
      <c r="G1877" s="9"/>
      <c r="H1877" s="9"/>
      <c r="I1877" s="34"/>
      <c r="J1877" s="30" t="str">
        <f aca="false">IF(F1877="","",G1877-B1877)</f>
        <v/>
      </c>
      <c r="K1877" s="31" t="str">
        <f aca="false">IF(F1877="","",IF(H1877&lt;&gt;"",H1877,MAX('Vade Sapması'!$D$3,G1877)))</f>
        <v/>
      </c>
      <c r="L1877" s="30" t="str">
        <f aca="false">IF(F1877="","",K1877-B1877)</f>
        <v/>
      </c>
      <c r="M1877" s="30" t="str">
        <f aca="false">IF(F1877="","",L1877-J1877)</f>
        <v/>
      </c>
      <c r="N1877" s="32" t="str">
        <f aca="false">IF(F1877="","",IF(H1877&lt;&gt;"","Kapandı",IF('Vade Sapması'!$D$3&gt;G1877,"Açık · vadesi geçti","Açık · vadesi gelmedi")))</f>
        <v/>
      </c>
      <c r="O1877" s="30" t="str">
        <f aca="false">IF(F1877="","",IF(AND(H1877="",'Vade Sapması'!$D$3&gt;G1877),'Vade Sapması'!$D$3-G1877,0))</f>
        <v/>
      </c>
      <c r="P1877" s="33" t="str">
        <f aca="false">IF(F1877="","",F1877*J1877)</f>
        <v/>
      </c>
      <c r="Q1877" s="33" t="str">
        <f aca="false">IF(F1877="","",F1877*L1877)</f>
        <v/>
      </c>
      <c r="R1877" s="33" t="str">
        <f aca="false">IF(F1877="","",IF(H1877="",F1877,0))</f>
        <v/>
      </c>
      <c r="S1877" s="32" t="str">
        <f aca="false">IF(F1877="","",IF(N(O1877)=0,"",IF(O1877&lt;=30,"1-30",IF(O1877&lt;=60,"31-60",IF(O1877&lt;=90,"61-90","90+")))))</f>
        <v/>
      </c>
      <c r="T1877" s="32" t="str">
        <f aca="false">IF(F1877="","",IF(E1877="","Diğer",E1877))</f>
        <v/>
      </c>
      <c r="U1877" s="32" t="str">
        <f aca="false">IF(OR(F1877="",C1877=""),"",IF(COUNTIF($C$2:C1877,C1877)=1,MAX($U$1:U1876)+1,""))</f>
        <v/>
      </c>
    </row>
    <row r="1878" customFormat="false" ht="15" hidden="false" customHeight="false" outlineLevel="0" collapsed="false">
      <c r="A1878" s="34"/>
      <c r="B1878" s="9"/>
      <c r="C1878" s="34"/>
      <c r="D1878" s="34"/>
      <c r="E1878" s="34"/>
      <c r="F1878" s="35"/>
      <c r="G1878" s="9"/>
      <c r="H1878" s="9"/>
      <c r="I1878" s="34"/>
      <c r="J1878" s="30" t="str">
        <f aca="false">IF(F1878="","",G1878-B1878)</f>
        <v/>
      </c>
      <c r="K1878" s="31" t="str">
        <f aca="false">IF(F1878="","",IF(H1878&lt;&gt;"",H1878,MAX('Vade Sapması'!$D$3,G1878)))</f>
        <v/>
      </c>
      <c r="L1878" s="30" t="str">
        <f aca="false">IF(F1878="","",K1878-B1878)</f>
        <v/>
      </c>
      <c r="M1878" s="30" t="str">
        <f aca="false">IF(F1878="","",L1878-J1878)</f>
        <v/>
      </c>
      <c r="N1878" s="32" t="str">
        <f aca="false">IF(F1878="","",IF(H1878&lt;&gt;"","Kapandı",IF('Vade Sapması'!$D$3&gt;G1878,"Açık · vadesi geçti","Açık · vadesi gelmedi")))</f>
        <v/>
      </c>
      <c r="O1878" s="30" t="str">
        <f aca="false">IF(F1878="","",IF(AND(H1878="",'Vade Sapması'!$D$3&gt;G1878),'Vade Sapması'!$D$3-G1878,0))</f>
        <v/>
      </c>
      <c r="P1878" s="33" t="str">
        <f aca="false">IF(F1878="","",F1878*J1878)</f>
        <v/>
      </c>
      <c r="Q1878" s="33" t="str">
        <f aca="false">IF(F1878="","",F1878*L1878)</f>
        <v/>
      </c>
      <c r="R1878" s="33" t="str">
        <f aca="false">IF(F1878="","",IF(H1878="",F1878,0))</f>
        <v/>
      </c>
      <c r="S1878" s="32" t="str">
        <f aca="false">IF(F1878="","",IF(N(O1878)=0,"",IF(O1878&lt;=30,"1-30",IF(O1878&lt;=60,"31-60",IF(O1878&lt;=90,"61-90","90+")))))</f>
        <v/>
      </c>
      <c r="T1878" s="32" t="str">
        <f aca="false">IF(F1878="","",IF(E1878="","Diğer",E1878))</f>
        <v/>
      </c>
      <c r="U1878" s="32" t="str">
        <f aca="false">IF(OR(F1878="",C1878=""),"",IF(COUNTIF($C$2:C1878,C1878)=1,MAX($U$1:U1877)+1,""))</f>
        <v/>
      </c>
    </row>
    <row r="1879" customFormat="false" ht="15" hidden="false" customHeight="false" outlineLevel="0" collapsed="false">
      <c r="A1879" s="34"/>
      <c r="B1879" s="9"/>
      <c r="C1879" s="34"/>
      <c r="D1879" s="34"/>
      <c r="E1879" s="34"/>
      <c r="F1879" s="35"/>
      <c r="G1879" s="9"/>
      <c r="H1879" s="9"/>
      <c r="I1879" s="34"/>
      <c r="J1879" s="30" t="str">
        <f aca="false">IF(F1879="","",G1879-B1879)</f>
        <v/>
      </c>
      <c r="K1879" s="31" t="str">
        <f aca="false">IF(F1879="","",IF(H1879&lt;&gt;"",H1879,MAX('Vade Sapması'!$D$3,G1879)))</f>
        <v/>
      </c>
      <c r="L1879" s="30" t="str">
        <f aca="false">IF(F1879="","",K1879-B1879)</f>
        <v/>
      </c>
      <c r="M1879" s="30" t="str">
        <f aca="false">IF(F1879="","",L1879-J1879)</f>
        <v/>
      </c>
      <c r="N1879" s="32" t="str">
        <f aca="false">IF(F1879="","",IF(H1879&lt;&gt;"","Kapandı",IF('Vade Sapması'!$D$3&gt;G1879,"Açık · vadesi geçti","Açık · vadesi gelmedi")))</f>
        <v/>
      </c>
      <c r="O1879" s="30" t="str">
        <f aca="false">IF(F1879="","",IF(AND(H1879="",'Vade Sapması'!$D$3&gt;G1879),'Vade Sapması'!$D$3-G1879,0))</f>
        <v/>
      </c>
      <c r="P1879" s="33" t="str">
        <f aca="false">IF(F1879="","",F1879*J1879)</f>
        <v/>
      </c>
      <c r="Q1879" s="33" t="str">
        <f aca="false">IF(F1879="","",F1879*L1879)</f>
        <v/>
      </c>
      <c r="R1879" s="33" t="str">
        <f aca="false">IF(F1879="","",IF(H1879="",F1879,0))</f>
        <v/>
      </c>
      <c r="S1879" s="32" t="str">
        <f aca="false">IF(F1879="","",IF(N(O1879)=0,"",IF(O1879&lt;=30,"1-30",IF(O1879&lt;=60,"31-60",IF(O1879&lt;=90,"61-90","90+")))))</f>
        <v/>
      </c>
      <c r="T1879" s="32" t="str">
        <f aca="false">IF(F1879="","",IF(E1879="","Diğer",E1879))</f>
        <v/>
      </c>
      <c r="U1879" s="32" t="str">
        <f aca="false">IF(OR(F1879="",C1879=""),"",IF(COUNTIF($C$2:C1879,C1879)=1,MAX($U$1:U1878)+1,""))</f>
        <v/>
      </c>
    </row>
    <row r="1880" customFormat="false" ht="15" hidden="false" customHeight="false" outlineLevel="0" collapsed="false">
      <c r="A1880" s="34"/>
      <c r="B1880" s="9"/>
      <c r="C1880" s="34"/>
      <c r="D1880" s="34"/>
      <c r="E1880" s="34"/>
      <c r="F1880" s="35"/>
      <c r="G1880" s="9"/>
      <c r="H1880" s="9"/>
      <c r="I1880" s="34"/>
      <c r="J1880" s="30" t="str">
        <f aca="false">IF(F1880="","",G1880-B1880)</f>
        <v/>
      </c>
      <c r="K1880" s="31" t="str">
        <f aca="false">IF(F1880="","",IF(H1880&lt;&gt;"",H1880,MAX('Vade Sapması'!$D$3,G1880)))</f>
        <v/>
      </c>
      <c r="L1880" s="30" t="str">
        <f aca="false">IF(F1880="","",K1880-B1880)</f>
        <v/>
      </c>
      <c r="M1880" s="30" t="str">
        <f aca="false">IF(F1880="","",L1880-J1880)</f>
        <v/>
      </c>
      <c r="N1880" s="32" t="str">
        <f aca="false">IF(F1880="","",IF(H1880&lt;&gt;"","Kapandı",IF('Vade Sapması'!$D$3&gt;G1880,"Açık · vadesi geçti","Açık · vadesi gelmedi")))</f>
        <v/>
      </c>
      <c r="O1880" s="30" t="str">
        <f aca="false">IF(F1880="","",IF(AND(H1880="",'Vade Sapması'!$D$3&gt;G1880),'Vade Sapması'!$D$3-G1880,0))</f>
        <v/>
      </c>
      <c r="P1880" s="33" t="str">
        <f aca="false">IF(F1880="","",F1880*J1880)</f>
        <v/>
      </c>
      <c r="Q1880" s="33" t="str">
        <f aca="false">IF(F1880="","",F1880*L1880)</f>
        <v/>
      </c>
      <c r="R1880" s="33" t="str">
        <f aca="false">IF(F1880="","",IF(H1880="",F1880,0))</f>
        <v/>
      </c>
      <c r="S1880" s="32" t="str">
        <f aca="false">IF(F1880="","",IF(N(O1880)=0,"",IF(O1880&lt;=30,"1-30",IF(O1880&lt;=60,"31-60",IF(O1880&lt;=90,"61-90","90+")))))</f>
        <v/>
      </c>
      <c r="T1880" s="32" t="str">
        <f aca="false">IF(F1880="","",IF(E1880="","Diğer",E1880))</f>
        <v/>
      </c>
      <c r="U1880" s="32" t="str">
        <f aca="false">IF(OR(F1880="",C1880=""),"",IF(COUNTIF($C$2:C1880,C1880)=1,MAX($U$1:U1879)+1,""))</f>
        <v/>
      </c>
    </row>
    <row r="1881" customFormat="false" ht="15" hidden="false" customHeight="false" outlineLevel="0" collapsed="false">
      <c r="A1881" s="34"/>
      <c r="B1881" s="9"/>
      <c r="C1881" s="34"/>
      <c r="D1881" s="34"/>
      <c r="E1881" s="34"/>
      <c r="F1881" s="35"/>
      <c r="G1881" s="9"/>
      <c r="H1881" s="9"/>
      <c r="I1881" s="34"/>
      <c r="J1881" s="30" t="str">
        <f aca="false">IF(F1881="","",G1881-B1881)</f>
        <v/>
      </c>
      <c r="K1881" s="31" t="str">
        <f aca="false">IF(F1881="","",IF(H1881&lt;&gt;"",H1881,MAX('Vade Sapması'!$D$3,G1881)))</f>
        <v/>
      </c>
      <c r="L1881" s="30" t="str">
        <f aca="false">IF(F1881="","",K1881-B1881)</f>
        <v/>
      </c>
      <c r="M1881" s="30" t="str">
        <f aca="false">IF(F1881="","",L1881-J1881)</f>
        <v/>
      </c>
      <c r="N1881" s="32" t="str">
        <f aca="false">IF(F1881="","",IF(H1881&lt;&gt;"","Kapandı",IF('Vade Sapması'!$D$3&gt;G1881,"Açık · vadesi geçti","Açık · vadesi gelmedi")))</f>
        <v/>
      </c>
      <c r="O1881" s="30" t="str">
        <f aca="false">IF(F1881="","",IF(AND(H1881="",'Vade Sapması'!$D$3&gt;G1881),'Vade Sapması'!$D$3-G1881,0))</f>
        <v/>
      </c>
      <c r="P1881" s="33" t="str">
        <f aca="false">IF(F1881="","",F1881*J1881)</f>
        <v/>
      </c>
      <c r="Q1881" s="33" t="str">
        <f aca="false">IF(F1881="","",F1881*L1881)</f>
        <v/>
      </c>
      <c r="R1881" s="33" t="str">
        <f aca="false">IF(F1881="","",IF(H1881="",F1881,0))</f>
        <v/>
      </c>
      <c r="S1881" s="32" t="str">
        <f aca="false">IF(F1881="","",IF(N(O1881)=0,"",IF(O1881&lt;=30,"1-30",IF(O1881&lt;=60,"31-60",IF(O1881&lt;=90,"61-90","90+")))))</f>
        <v/>
      </c>
      <c r="T1881" s="32" t="str">
        <f aca="false">IF(F1881="","",IF(E1881="","Diğer",E1881))</f>
        <v/>
      </c>
      <c r="U1881" s="32" t="str">
        <f aca="false">IF(OR(F1881="",C1881=""),"",IF(COUNTIF($C$2:C1881,C1881)=1,MAX($U$1:U1880)+1,""))</f>
        <v/>
      </c>
    </row>
    <row r="1882" customFormat="false" ht="15" hidden="false" customHeight="false" outlineLevel="0" collapsed="false">
      <c r="A1882" s="34"/>
      <c r="B1882" s="9"/>
      <c r="C1882" s="34"/>
      <c r="D1882" s="34"/>
      <c r="E1882" s="34"/>
      <c r="F1882" s="35"/>
      <c r="G1882" s="9"/>
      <c r="H1882" s="9"/>
      <c r="I1882" s="34"/>
      <c r="J1882" s="30" t="str">
        <f aca="false">IF(F1882="","",G1882-B1882)</f>
        <v/>
      </c>
      <c r="K1882" s="31" t="str">
        <f aca="false">IF(F1882="","",IF(H1882&lt;&gt;"",H1882,MAX('Vade Sapması'!$D$3,G1882)))</f>
        <v/>
      </c>
      <c r="L1882" s="30" t="str">
        <f aca="false">IF(F1882="","",K1882-B1882)</f>
        <v/>
      </c>
      <c r="M1882" s="30" t="str">
        <f aca="false">IF(F1882="","",L1882-J1882)</f>
        <v/>
      </c>
      <c r="N1882" s="32" t="str">
        <f aca="false">IF(F1882="","",IF(H1882&lt;&gt;"","Kapandı",IF('Vade Sapması'!$D$3&gt;G1882,"Açık · vadesi geçti","Açık · vadesi gelmedi")))</f>
        <v/>
      </c>
      <c r="O1882" s="30" t="str">
        <f aca="false">IF(F1882="","",IF(AND(H1882="",'Vade Sapması'!$D$3&gt;G1882),'Vade Sapması'!$D$3-G1882,0))</f>
        <v/>
      </c>
      <c r="P1882" s="33" t="str">
        <f aca="false">IF(F1882="","",F1882*J1882)</f>
        <v/>
      </c>
      <c r="Q1882" s="33" t="str">
        <f aca="false">IF(F1882="","",F1882*L1882)</f>
        <v/>
      </c>
      <c r="R1882" s="33" t="str">
        <f aca="false">IF(F1882="","",IF(H1882="",F1882,0))</f>
        <v/>
      </c>
      <c r="S1882" s="32" t="str">
        <f aca="false">IF(F1882="","",IF(N(O1882)=0,"",IF(O1882&lt;=30,"1-30",IF(O1882&lt;=60,"31-60",IF(O1882&lt;=90,"61-90","90+")))))</f>
        <v/>
      </c>
      <c r="T1882" s="32" t="str">
        <f aca="false">IF(F1882="","",IF(E1882="","Diğer",E1882))</f>
        <v/>
      </c>
      <c r="U1882" s="32" t="str">
        <f aca="false">IF(OR(F1882="",C1882=""),"",IF(COUNTIF($C$2:C1882,C1882)=1,MAX($U$1:U1881)+1,""))</f>
        <v/>
      </c>
    </row>
    <row r="1883" customFormat="false" ht="15" hidden="false" customHeight="false" outlineLevel="0" collapsed="false">
      <c r="A1883" s="34"/>
      <c r="B1883" s="9"/>
      <c r="C1883" s="34"/>
      <c r="D1883" s="34"/>
      <c r="E1883" s="34"/>
      <c r="F1883" s="35"/>
      <c r="G1883" s="9"/>
      <c r="H1883" s="9"/>
      <c r="I1883" s="34"/>
      <c r="J1883" s="30" t="str">
        <f aca="false">IF(F1883="","",G1883-B1883)</f>
        <v/>
      </c>
      <c r="K1883" s="31" t="str">
        <f aca="false">IF(F1883="","",IF(H1883&lt;&gt;"",H1883,MAX('Vade Sapması'!$D$3,G1883)))</f>
        <v/>
      </c>
      <c r="L1883" s="30" t="str">
        <f aca="false">IF(F1883="","",K1883-B1883)</f>
        <v/>
      </c>
      <c r="M1883" s="30" t="str">
        <f aca="false">IF(F1883="","",L1883-J1883)</f>
        <v/>
      </c>
      <c r="N1883" s="32" t="str">
        <f aca="false">IF(F1883="","",IF(H1883&lt;&gt;"","Kapandı",IF('Vade Sapması'!$D$3&gt;G1883,"Açık · vadesi geçti","Açık · vadesi gelmedi")))</f>
        <v/>
      </c>
      <c r="O1883" s="30" t="str">
        <f aca="false">IF(F1883="","",IF(AND(H1883="",'Vade Sapması'!$D$3&gt;G1883),'Vade Sapması'!$D$3-G1883,0))</f>
        <v/>
      </c>
      <c r="P1883" s="33" t="str">
        <f aca="false">IF(F1883="","",F1883*J1883)</f>
        <v/>
      </c>
      <c r="Q1883" s="33" t="str">
        <f aca="false">IF(F1883="","",F1883*L1883)</f>
        <v/>
      </c>
      <c r="R1883" s="33" t="str">
        <f aca="false">IF(F1883="","",IF(H1883="",F1883,0))</f>
        <v/>
      </c>
      <c r="S1883" s="32" t="str">
        <f aca="false">IF(F1883="","",IF(N(O1883)=0,"",IF(O1883&lt;=30,"1-30",IF(O1883&lt;=60,"31-60",IF(O1883&lt;=90,"61-90","90+")))))</f>
        <v/>
      </c>
      <c r="T1883" s="32" t="str">
        <f aca="false">IF(F1883="","",IF(E1883="","Diğer",E1883))</f>
        <v/>
      </c>
      <c r="U1883" s="32" t="str">
        <f aca="false">IF(OR(F1883="",C1883=""),"",IF(COUNTIF($C$2:C1883,C1883)=1,MAX($U$1:U1882)+1,""))</f>
        <v/>
      </c>
    </row>
    <row r="1884" customFormat="false" ht="15" hidden="false" customHeight="false" outlineLevel="0" collapsed="false">
      <c r="A1884" s="34"/>
      <c r="B1884" s="9"/>
      <c r="C1884" s="34"/>
      <c r="D1884" s="34"/>
      <c r="E1884" s="34"/>
      <c r="F1884" s="35"/>
      <c r="G1884" s="9"/>
      <c r="H1884" s="9"/>
      <c r="I1884" s="34"/>
      <c r="J1884" s="30" t="str">
        <f aca="false">IF(F1884="","",G1884-B1884)</f>
        <v/>
      </c>
      <c r="K1884" s="31" t="str">
        <f aca="false">IF(F1884="","",IF(H1884&lt;&gt;"",H1884,MAX('Vade Sapması'!$D$3,G1884)))</f>
        <v/>
      </c>
      <c r="L1884" s="30" t="str">
        <f aca="false">IF(F1884="","",K1884-B1884)</f>
        <v/>
      </c>
      <c r="M1884" s="30" t="str">
        <f aca="false">IF(F1884="","",L1884-J1884)</f>
        <v/>
      </c>
      <c r="N1884" s="32" t="str">
        <f aca="false">IF(F1884="","",IF(H1884&lt;&gt;"","Kapandı",IF('Vade Sapması'!$D$3&gt;G1884,"Açık · vadesi geçti","Açık · vadesi gelmedi")))</f>
        <v/>
      </c>
      <c r="O1884" s="30" t="str">
        <f aca="false">IF(F1884="","",IF(AND(H1884="",'Vade Sapması'!$D$3&gt;G1884),'Vade Sapması'!$D$3-G1884,0))</f>
        <v/>
      </c>
      <c r="P1884" s="33" t="str">
        <f aca="false">IF(F1884="","",F1884*J1884)</f>
        <v/>
      </c>
      <c r="Q1884" s="33" t="str">
        <f aca="false">IF(F1884="","",F1884*L1884)</f>
        <v/>
      </c>
      <c r="R1884" s="33" t="str">
        <f aca="false">IF(F1884="","",IF(H1884="",F1884,0))</f>
        <v/>
      </c>
      <c r="S1884" s="32" t="str">
        <f aca="false">IF(F1884="","",IF(N(O1884)=0,"",IF(O1884&lt;=30,"1-30",IF(O1884&lt;=60,"31-60",IF(O1884&lt;=90,"61-90","90+")))))</f>
        <v/>
      </c>
      <c r="T1884" s="32" t="str">
        <f aca="false">IF(F1884="","",IF(E1884="","Diğer",E1884))</f>
        <v/>
      </c>
      <c r="U1884" s="32" t="str">
        <f aca="false">IF(OR(F1884="",C1884=""),"",IF(COUNTIF($C$2:C1884,C1884)=1,MAX($U$1:U1883)+1,""))</f>
        <v/>
      </c>
    </row>
    <row r="1885" customFormat="false" ht="15" hidden="false" customHeight="false" outlineLevel="0" collapsed="false">
      <c r="A1885" s="34"/>
      <c r="B1885" s="9"/>
      <c r="C1885" s="34"/>
      <c r="D1885" s="34"/>
      <c r="E1885" s="34"/>
      <c r="F1885" s="35"/>
      <c r="G1885" s="9"/>
      <c r="H1885" s="9"/>
      <c r="I1885" s="34"/>
      <c r="J1885" s="30" t="str">
        <f aca="false">IF(F1885="","",G1885-B1885)</f>
        <v/>
      </c>
      <c r="K1885" s="31" t="str">
        <f aca="false">IF(F1885="","",IF(H1885&lt;&gt;"",H1885,MAX('Vade Sapması'!$D$3,G1885)))</f>
        <v/>
      </c>
      <c r="L1885" s="30" t="str">
        <f aca="false">IF(F1885="","",K1885-B1885)</f>
        <v/>
      </c>
      <c r="M1885" s="30" t="str">
        <f aca="false">IF(F1885="","",L1885-J1885)</f>
        <v/>
      </c>
      <c r="N1885" s="32" t="str">
        <f aca="false">IF(F1885="","",IF(H1885&lt;&gt;"","Kapandı",IF('Vade Sapması'!$D$3&gt;G1885,"Açık · vadesi geçti","Açık · vadesi gelmedi")))</f>
        <v/>
      </c>
      <c r="O1885" s="30" t="str">
        <f aca="false">IF(F1885="","",IF(AND(H1885="",'Vade Sapması'!$D$3&gt;G1885),'Vade Sapması'!$D$3-G1885,0))</f>
        <v/>
      </c>
      <c r="P1885" s="33" t="str">
        <f aca="false">IF(F1885="","",F1885*J1885)</f>
        <v/>
      </c>
      <c r="Q1885" s="33" t="str">
        <f aca="false">IF(F1885="","",F1885*L1885)</f>
        <v/>
      </c>
      <c r="R1885" s="33" t="str">
        <f aca="false">IF(F1885="","",IF(H1885="",F1885,0))</f>
        <v/>
      </c>
      <c r="S1885" s="32" t="str">
        <f aca="false">IF(F1885="","",IF(N(O1885)=0,"",IF(O1885&lt;=30,"1-30",IF(O1885&lt;=60,"31-60",IF(O1885&lt;=90,"61-90","90+")))))</f>
        <v/>
      </c>
      <c r="T1885" s="32" t="str">
        <f aca="false">IF(F1885="","",IF(E1885="","Diğer",E1885))</f>
        <v/>
      </c>
      <c r="U1885" s="32" t="str">
        <f aca="false">IF(OR(F1885="",C1885=""),"",IF(COUNTIF($C$2:C1885,C1885)=1,MAX($U$1:U1884)+1,""))</f>
        <v/>
      </c>
    </row>
    <row r="1886" customFormat="false" ht="15" hidden="false" customHeight="false" outlineLevel="0" collapsed="false">
      <c r="A1886" s="34"/>
      <c r="B1886" s="9"/>
      <c r="C1886" s="34"/>
      <c r="D1886" s="34"/>
      <c r="E1886" s="34"/>
      <c r="F1886" s="35"/>
      <c r="G1886" s="9"/>
      <c r="H1886" s="9"/>
      <c r="I1886" s="34"/>
      <c r="J1886" s="30" t="str">
        <f aca="false">IF(F1886="","",G1886-B1886)</f>
        <v/>
      </c>
      <c r="K1886" s="31" t="str">
        <f aca="false">IF(F1886="","",IF(H1886&lt;&gt;"",H1886,MAX('Vade Sapması'!$D$3,G1886)))</f>
        <v/>
      </c>
      <c r="L1886" s="30" t="str">
        <f aca="false">IF(F1886="","",K1886-B1886)</f>
        <v/>
      </c>
      <c r="M1886" s="30" t="str">
        <f aca="false">IF(F1886="","",L1886-J1886)</f>
        <v/>
      </c>
      <c r="N1886" s="32" t="str">
        <f aca="false">IF(F1886="","",IF(H1886&lt;&gt;"","Kapandı",IF('Vade Sapması'!$D$3&gt;G1886,"Açık · vadesi geçti","Açık · vadesi gelmedi")))</f>
        <v/>
      </c>
      <c r="O1886" s="30" t="str">
        <f aca="false">IF(F1886="","",IF(AND(H1886="",'Vade Sapması'!$D$3&gt;G1886),'Vade Sapması'!$D$3-G1886,0))</f>
        <v/>
      </c>
      <c r="P1886" s="33" t="str">
        <f aca="false">IF(F1886="","",F1886*J1886)</f>
        <v/>
      </c>
      <c r="Q1886" s="33" t="str">
        <f aca="false">IF(F1886="","",F1886*L1886)</f>
        <v/>
      </c>
      <c r="R1886" s="33" t="str">
        <f aca="false">IF(F1886="","",IF(H1886="",F1886,0))</f>
        <v/>
      </c>
      <c r="S1886" s="32" t="str">
        <f aca="false">IF(F1886="","",IF(N(O1886)=0,"",IF(O1886&lt;=30,"1-30",IF(O1886&lt;=60,"31-60",IF(O1886&lt;=90,"61-90","90+")))))</f>
        <v/>
      </c>
      <c r="T1886" s="32" t="str">
        <f aca="false">IF(F1886="","",IF(E1886="","Diğer",E1886))</f>
        <v/>
      </c>
      <c r="U1886" s="32" t="str">
        <f aca="false">IF(OR(F1886="",C1886=""),"",IF(COUNTIF($C$2:C1886,C1886)=1,MAX($U$1:U1885)+1,""))</f>
        <v/>
      </c>
    </row>
    <row r="1887" customFormat="false" ht="15" hidden="false" customHeight="false" outlineLevel="0" collapsed="false">
      <c r="A1887" s="34"/>
      <c r="B1887" s="9"/>
      <c r="C1887" s="34"/>
      <c r="D1887" s="34"/>
      <c r="E1887" s="34"/>
      <c r="F1887" s="35"/>
      <c r="G1887" s="9"/>
      <c r="H1887" s="9"/>
      <c r="I1887" s="34"/>
      <c r="J1887" s="30" t="str">
        <f aca="false">IF(F1887="","",G1887-B1887)</f>
        <v/>
      </c>
      <c r="K1887" s="31" t="str">
        <f aca="false">IF(F1887="","",IF(H1887&lt;&gt;"",H1887,MAX('Vade Sapması'!$D$3,G1887)))</f>
        <v/>
      </c>
      <c r="L1887" s="30" t="str">
        <f aca="false">IF(F1887="","",K1887-B1887)</f>
        <v/>
      </c>
      <c r="M1887" s="30" t="str">
        <f aca="false">IF(F1887="","",L1887-J1887)</f>
        <v/>
      </c>
      <c r="N1887" s="32" t="str">
        <f aca="false">IF(F1887="","",IF(H1887&lt;&gt;"","Kapandı",IF('Vade Sapması'!$D$3&gt;G1887,"Açık · vadesi geçti","Açık · vadesi gelmedi")))</f>
        <v/>
      </c>
      <c r="O1887" s="30" t="str">
        <f aca="false">IF(F1887="","",IF(AND(H1887="",'Vade Sapması'!$D$3&gt;G1887),'Vade Sapması'!$D$3-G1887,0))</f>
        <v/>
      </c>
      <c r="P1887" s="33" t="str">
        <f aca="false">IF(F1887="","",F1887*J1887)</f>
        <v/>
      </c>
      <c r="Q1887" s="33" t="str">
        <f aca="false">IF(F1887="","",F1887*L1887)</f>
        <v/>
      </c>
      <c r="R1887" s="33" t="str">
        <f aca="false">IF(F1887="","",IF(H1887="",F1887,0))</f>
        <v/>
      </c>
      <c r="S1887" s="32" t="str">
        <f aca="false">IF(F1887="","",IF(N(O1887)=0,"",IF(O1887&lt;=30,"1-30",IF(O1887&lt;=60,"31-60",IF(O1887&lt;=90,"61-90","90+")))))</f>
        <v/>
      </c>
      <c r="T1887" s="32" t="str">
        <f aca="false">IF(F1887="","",IF(E1887="","Diğer",E1887))</f>
        <v/>
      </c>
      <c r="U1887" s="32" t="str">
        <f aca="false">IF(OR(F1887="",C1887=""),"",IF(COUNTIF($C$2:C1887,C1887)=1,MAX($U$1:U1886)+1,""))</f>
        <v/>
      </c>
    </row>
    <row r="1888" customFormat="false" ht="15" hidden="false" customHeight="false" outlineLevel="0" collapsed="false">
      <c r="A1888" s="34"/>
      <c r="B1888" s="9"/>
      <c r="C1888" s="34"/>
      <c r="D1888" s="34"/>
      <c r="E1888" s="34"/>
      <c r="F1888" s="35"/>
      <c r="G1888" s="9"/>
      <c r="H1888" s="9"/>
      <c r="I1888" s="34"/>
      <c r="J1888" s="30" t="str">
        <f aca="false">IF(F1888="","",G1888-B1888)</f>
        <v/>
      </c>
      <c r="K1888" s="31" t="str">
        <f aca="false">IF(F1888="","",IF(H1888&lt;&gt;"",H1888,MAX('Vade Sapması'!$D$3,G1888)))</f>
        <v/>
      </c>
      <c r="L1888" s="30" t="str">
        <f aca="false">IF(F1888="","",K1888-B1888)</f>
        <v/>
      </c>
      <c r="M1888" s="30" t="str">
        <f aca="false">IF(F1888="","",L1888-J1888)</f>
        <v/>
      </c>
      <c r="N1888" s="32" t="str">
        <f aca="false">IF(F1888="","",IF(H1888&lt;&gt;"","Kapandı",IF('Vade Sapması'!$D$3&gt;G1888,"Açık · vadesi geçti","Açık · vadesi gelmedi")))</f>
        <v/>
      </c>
      <c r="O1888" s="30" t="str">
        <f aca="false">IF(F1888="","",IF(AND(H1888="",'Vade Sapması'!$D$3&gt;G1888),'Vade Sapması'!$D$3-G1888,0))</f>
        <v/>
      </c>
      <c r="P1888" s="33" t="str">
        <f aca="false">IF(F1888="","",F1888*J1888)</f>
        <v/>
      </c>
      <c r="Q1888" s="33" t="str">
        <f aca="false">IF(F1888="","",F1888*L1888)</f>
        <v/>
      </c>
      <c r="R1888" s="33" t="str">
        <f aca="false">IF(F1888="","",IF(H1888="",F1888,0))</f>
        <v/>
      </c>
      <c r="S1888" s="32" t="str">
        <f aca="false">IF(F1888="","",IF(N(O1888)=0,"",IF(O1888&lt;=30,"1-30",IF(O1888&lt;=60,"31-60",IF(O1888&lt;=90,"61-90","90+")))))</f>
        <v/>
      </c>
      <c r="T1888" s="32" t="str">
        <f aca="false">IF(F1888="","",IF(E1888="","Diğer",E1888))</f>
        <v/>
      </c>
      <c r="U1888" s="32" t="str">
        <f aca="false">IF(OR(F1888="",C1888=""),"",IF(COUNTIF($C$2:C1888,C1888)=1,MAX($U$1:U1887)+1,""))</f>
        <v/>
      </c>
    </row>
    <row r="1889" customFormat="false" ht="15" hidden="false" customHeight="false" outlineLevel="0" collapsed="false">
      <c r="A1889" s="34"/>
      <c r="B1889" s="9"/>
      <c r="C1889" s="34"/>
      <c r="D1889" s="34"/>
      <c r="E1889" s="34"/>
      <c r="F1889" s="35"/>
      <c r="G1889" s="9"/>
      <c r="H1889" s="9"/>
      <c r="I1889" s="34"/>
      <c r="J1889" s="30" t="str">
        <f aca="false">IF(F1889="","",G1889-B1889)</f>
        <v/>
      </c>
      <c r="K1889" s="31" t="str">
        <f aca="false">IF(F1889="","",IF(H1889&lt;&gt;"",H1889,MAX('Vade Sapması'!$D$3,G1889)))</f>
        <v/>
      </c>
      <c r="L1889" s="30" t="str">
        <f aca="false">IF(F1889="","",K1889-B1889)</f>
        <v/>
      </c>
      <c r="M1889" s="30" t="str">
        <f aca="false">IF(F1889="","",L1889-J1889)</f>
        <v/>
      </c>
      <c r="N1889" s="32" t="str">
        <f aca="false">IF(F1889="","",IF(H1889&lt;&gt;"","Kapandı",IF('Vade Sapması'!$D$3&gt;G1889,"Açık · vadesi geçti","Açık · vadesi gelmedi")))</f>
        <v/>
      </c>
      <c r="O1889" s="30" t="str">
        <f aca="false">IF(F1889="","",IF(AND(H1889="",'Vade Sapması'!$D$3&gt;G1889),'Vade Sapması'!$D$3-G1889,0))</f>
        <v/>
      </c>
      <c r="P1889" s="33" t="str">
        <f aca="false">IF(F1889="","",F1889*J1889)</f>
        <v/>
      </c>
      <c r="Q1889" s="33" t="str">
        <f aca="false">IF(F1889="","",F1889*L1889)</f>
        <v/>
      </c>
      <c r="R1889" s="33" t="str">
        <f aca="false">IF(F1889="","",IF(H1889="",F1889,0))</f>
        <v/>
      </c>
      <c r="S1889" s="32" t="str">
        <f aca="false">IF(F1889="","",IF(N(O1889)=0,"",IF(O1889&lt;=30,"1-30",IF(O1889&lt;=60,"31-60",IF(O1889&lt;=90,"61-90","90+")))))</f>
        <v/>
      </c>
      <c r="T1889" s="32" t="str">
        <f aca="false">IF(F1889="","",IF(E1889="","Diğer",E1889))</f>
        <v/>
      </c>
      <c r="U1889" s="32" t="str">
        <f aca="false">IF(OR(F1889="",C1889=""),"",IF(COUNTIF($C$2:C1889,C1889)=1,MAX($U$1:U1888)+1,""))</f>
        <v/>
      </c>
    </row>
    <row r="1890" customFormat="false" ht="15" hidden="false" customHeight="false" outlineLevel="0" collapsed="false">
      <c r="A1890" s="34"/>
      <c r="B1890" s="9"/>
      <c r="C1890" s="34"/>
      <c r="D1890" s="34"/>
      <c r="E1890" s="34"/>
      <c r="F1890" s="35"/>
      <c r="G1890" s="9"/>
      <c r="H1890" s="9"/>
      <c r="I1890" s="34"/>
      <c r="J1890" s="30" t="str">
        <f aca="false">IF(F1890="","",G1890-B1890)</f>
        <v/>
      </c>
      <c r="K1890" s="31" t="str">
        <f aca="false">IF(F1890="","",IF(H1890&lt;&gt;"",H1890,MAX('Vade Sapması'!$D$3,G1890)))</f>
        <v/>
      </c>
      <c r="L1890" s="30" t="str">
        <f aca="false">IF(F1890="","",K1890-B1890)</f>
        <v/>
      </c>
      <c r="M1890" s="30" t="str">
        <f aca="false">IF(F1890="","",L1890-J1890)</f>
        <v/>
      </c>
      <c r="N1890" s="32" t="str">
        <f aca="false">IF(F1890="","",IF(H1890&lt;&gt;"","Kapandı",IF('Vade Sapması'!$D$3&gt;G1890,"Açık · vadesi geçti","Açık · vadesi gelmedi")))</f>
        <v/>
      </c>
      <c r="O1890" s="30" t="str">
        <f aca="false">IF(F1890="","",IF(AND(H1890="",'Vade Sapması'!$D$3&gt;G1890),'Vade Sapması'!$D$3-G1890,0))</f>
        <v/>
      </c>
      <c r="P1890" s="33" t="str">
        <f aca="false">IF(F1890="","",F1890*J1890)</f>
        <v/>
      </c>
      <c r="Q1890" s="33" t="str">
        <f aca="false">IF(F1890="","",F1890*L1890)</f>
        <v/>
      </c>
      <c r="R1890" s="33" t="str">
        <f aca="false">IF(F1890="","",IF(H1890="",F1890,0))</f>
        <v/>
      </c>
      <c r="S1890" s="32" t="str">
        <f aca="false">IF(F1890="","",IF(N(O1890)=0,"",IF(O1890&lt;=30,"1-30",IF(O1890&lt;=60,"31-60",IF(O1890&lt;=90,"61-90","90+")))))</f>
        <v/>
      </c>
      <c r="T1890" s="32" t="str">
        <f aca="false">IF(F1890="","",IF(E1890="","Diğer",E1890))</f>
        <v/>
      </c>
      <c r="U1890" s="32" t="str">
        <f aca="false">IF(OR(F1890="",C1890=""),"",IF(COUNTIF($C$2:C1890,C1890)=1,MAX($U$1:U1889)+1,""))</f>
        <v/>
      </c>
    </row>
    <row r="1891" customFormat="false" ht="15" hidden="false" customHeight="false" outlineLevel="0" collapsed="false">
      <c r="A1891" s="34"/>
      <c r="B1891" s="9"/>
      <c r="C1891" s="34"/>
      <c r="D1891" s="34"/>
      <c r="E1891" s="34"/>
      <c r="F1891" s="35"/>
      <c r="G1891" s="9"/>
      <c r="H1891" s="9"/>
      <c r="I1891" s="34"/>
      <c r="J1891" s="30" t="str">
        <f aca="false">IF(F1891="","",G1891-B1891)</f>
        <v/>
      </c>
      <c r="K1891" s="31" t="str">
        <f aca="false">IF(F1891="","",IF(H1891&lt;&gt;"",H1891,MAX('Vade Sapması'!$D$3,G1891)))</f>
        <v/>
      </c>
      <c r="L1891" s="30" t="str">
        <f aca="false">IF(F1891="","",K1891-B1891)</f>
        <v/>
      </c>
      <c r="M1891" s="30" t="str">
        <f aca="false">IF(F1891="","",L1891-J1891)</f>
        <v/>
      </c>
      <c r="N1891" s="32" t="str">
        <f aca="false">IF(F1891="","",IF(H1891&lt;&gt;"","Kapandı",IF('Vade Sapması'!$D$3&gt;G1891,"Açık · vadesi geçti","Açık · vadesi gelmedi")))</f>
        <v/>
      </c>
      <c r="O1891" s="30" t="str">
        <f aca="false">IF(F1891="","",IF(AND(H1891="",'Vade Sapması'!$D$3&gt;G1891),'Vade Sapması'!$D$3-G1891,0))</f>
        <v/>
      </c>
      <c r="P1891" s="33" t="str">
        <f aca="false">IF(F1891="","",F1891*J1891)</f>
        <v/>
      </c>
      <c r="Q1891" s="33" t="str">
        <f aca="false">IF(F1891="","",F1891*L1891)</f>
        <v/>
      </c>
      <c r="R1891" s="33" t="str">
        <f aca="false">IF(F1891="","",IF(H1891="",F1891,0))</f>
        <v/>
      </c>
      <c r="S1891" s="32" t="str">
        <f aca="false">IF(F1891="","",IF(N(O1891)=0,"",IF(O1891&lt;=30,"1-30",IF(O1891&lt;=60,"31-60",IF(O1891&lt;=90,"61-90","90+")))))</f>
        <v/>
      </c>
      <c r="T1891" s="32" t="str">
        <f aca="false">IF(F1891="","",IF(E1891="","Diğer",E1891))</f>
        <v/>
      </c>
      <c r="U1891" s="32" t="str">
        <f aca="false">IF(OR(F1891="",C1891=""),"",IF(COUNTIF($C$2:C1891,C1891)=1,MAX($U$1:U1890)+1,""))</f>
        <v/>
      </c>
    </row>
    <row r="1892" customFormat="false" ht="15" hidden="false" customHeight="false" outlineLevel="0" collapsed="false">
      <c r="A1892" s="34"/>
      <c r="B1892" s="9"/>
      <c r="C1892" s="34"/>
      <c r="D1892" s="34"/>
      <c r="E1892" s="34"/>
      <c r="F1892" s="35"/>
      <c r="G1892" s="9"/>
      <c r="H1892" s="9"/>
      <c r="I1892" s="34"/>
      <c r="J1892" s="30" t="str">
        <f aca="false">IF(F1892="","",G1892-B1892)</f>
        <v/>
      </c>
      <c r="K1892" s="31" t="str">
        <f aca="false">IF(F1892="","",IF(H1892&lt;&gt;"",H1892,MAX('Vade Sapması'!$D$3,G1892)))</f>
        <v/>
      </c>
      <c r="L1892" s="30" t="str">
        <f aca="false">IF(F1892="","",K1892-B1892)</f>
        <v/>
      </c>
      <c r="M1892" s="30" t="str">
        <f aca="false">IF(F1892="","",L1892-J1892)</f>
        <v/>
      </c>
      <c r="N1892" s="32" t="str">
        <f aca="false">IF(F1892="","",IF(H1892&lt;&gt;"","Kapandı",IF('Vade Sapması'!$D$3&gt;G1892,"Açık · vadesi geçti","Açık · vadesi gelmedi")))</f>
        <v/>
      </c>
      <c r="O1892" s="30" t="str">
        <f aca="false">IF(F1892="","",IF(AND(H1892="",'Vade Sapması'!$D$3&gt;G1892),'Vade Sapması'!$D$3-G1892,0))</f>
        <v/>
      </c>
      <c r="P1892" s="33" t="str">
        <f aca="false">IF(F1892="","",F1892*J1892)</f>
        <v/>
      </c>
      <c r="Q1892" s="33" t="str">
        <f aca="false">IF(F1892="","",F1892*L1892)</f>
        <v/>
      </c>
      <c r="R1892" s="33" t="str">
        <f aca="false">IF(F1892="","",IF(H1892="",F1892,0))</f>
        <v/>
      </c>
      <c r="S1892" s="32" t="str">
        <f aca="false">IF(F1892="","",IF(N(O1892)=0,"",IF(O1892&lt;=30,"1-30",IF(O1892&lt;=60,"31-60",IF(O1892&lt;=90,"61-90","90+")))))</f>
        <v/>
      </c>
      <c r="T1892" s="32" t="str">
        <f aca="false">IF(F1892="","",IF(E1892="","Diğer",E1892))</f>
        <v/>
      </c>
      <c r="U1892" s="32" t="str">
        <f aca="false">IF(OR(F1892="",C1892=""),"",IF(COUNTIF($C$2:C1892,C1892)=1,MAX($U$1:U1891)+1,""))</f>
        <v/>
      </c>
    </row>
    <row r="1893" customFormat="false" ht="15" hidden="false" customHeight="false" outlineLevel="0" collapsed="false">
      <c r="A1893" s="34"/>
      <c r="B1893" s="9"/>
      <c r="C1893" s="34"/>
      <c r="D1893" s="34"/>
      <c r="E1893" s="34"/>
      <c r="F1893" s="35"/>
      <c r="G1893" s="9"/>
      <c r="H1893" s="9"/>
      <c r="I1893" s="34"/>
      <c r="J1893" s="30" t="str">
        <f aca="false">IF(F1893="","",G1893-B1893)</f>
        <v/>
      </c>
      <c r="K1893" s="31" t="str">
        <f aca="false">IF(F1893="","",IF(H1893&lt;&gt;"",H1893,MAX('Vade Sapması'!$D$3,G1893)))</f>
        <v/>
      </c>
      <c r="L1893" s="30" t="str">
        <f aca="false">IF(F1893="","",K1893-B1893)</f>
        <v/>
      </c>
      <c r="M1893" s="30" t="str">
        <f aca="false">IF(F1893="","",L1893-J1893)</f>
        <v/>
      </c>
      <c r="N1893" s="32" t="str">
        <f aca="false">IF(F1893="","",IF(H1893&lt;&gt;"","Kapandı",IF('Vade Sapması'!$D$3&gt;G1893,"Açık · vadesi geçti","Açık · vadesi gelmedi")))</f>
        <v/>
      </c>
      <c r="O1893" s="30" t="str">
        <f aca="false">IF(F1893="","",IF(AND(H1893="",'Vade Sapması'!$D$3&gt;G1893),'Vade Sapması'!$D$3-G1893,0))</f>
        <v/>
      </c>
      <c r="P1893" s="33" t="str">
        <f aca="false">IF(F1893="","",F1893*J1893)</f>
        <v/>
      </c>
      <c r="Q1893" s="33" t="str">
        <f aca="false">IF(F1893="","",F1893*L1893)</f>
        <v/>
      </c>
      <c r="R1893" s="33" t="str">
        <f aca="false">IF(F1893="","",IF(H1893="",F1893,0))</f>
        <v/>
      </c>
      <c r="S1893" s="32" t="str">
        <f aca="false">IF(F1893="","",IF(N(O1893)=0,"",IF(O1893&lt;=30,"1-30",IF(O1893&lt;=60,"31-60",IF(O1893&lt;=90,"61-90","90+")))))</f>
        <v/>
      </c>
      <c r="T1893" s="32" t="str">
        <f aca="false">IF(F1893="","",IF(E1893="","Diğer",E1893))</f>
        <v/>
      </c>
      <c r="U1893" s="32" t="str">
        <f aca="false">IF(OR(F1893="",C1893=""),"",IF(COUNTIF($C$2:C1893,C1893)=1,MAX($U$1:U1892)+1,""))</f>
        <v/>
      </c>
    </row>
    <row r="1894" customFormat="false" ht="15" hidden="false" customHeight="false" outlineLevel="0" collapsed="false">
      <c r="A1894" s="34"/>
      <c r="B1894" s="9"/>
      <c r="C1894" s="34"/>
      <c r="D1894" s="34"/>
      <c r="E1894" s="34"/>
      <c r="F1894" s="35"/>
      <c r="G1894" s="9"/>
      <c r="H1894" s="9"/>
      <c r="I1894" s="34"/>
      <c r="J1894" s="30" t="str">
        <f aca="false">IF(F1894="","",G1894-B1894)</f>
        <v/>
      </c>
      <c r="K1894" s="31" t="str">
        <f aca="false">IF(F1894="","",IF(H1894&lt;&gt;"",H1894,MAX('Vade Sapması'!$D$3,G1894)))</f>
        <v/>
      </c>
      <c r="L1894" s="30" t="str">
        <f aca="false">IF(F1894="","",K1894-B1894)</f>
        <v/>
      </c>
      <c r="M1894" s="30" t="str">
        <f aca="false">IF(F1894="","",L1894-J1894)</f>
        <v/>
      </c>
      <c r="N1894" s="32" t="str">
        <f aca="false">IF(F1894="","",IF(H1894&lt;&gt;"","Kapandı",IF('Vade Sapması'!$D$3&gt;G1894,"Açık · vadesi geçti","Açık · vadesi gelmedi")))</f>
        <v/>
      </c>
      <c r="O1894" s="30" t="str">
        <f aca="false">IF(F1894="","",IF(AND(H1894="",'Vade Sapması'!$D$3&gt;G1894),'Vade Sapması'!$D$3-G1894,0))</f>
        <v/>
      </c>
      <c r="P1894" s="33" t="str">
        <f aca="false">IF(F1894="","",F1894*J1894)</f>
        <v/>
      </c>
      <c r="Q1894" s="33" t="str">
        <f aca="false">IF(F1894="","",F1894*L1894)</f>
        <v/>
      </c>
      <c r="R1894" s="33" t="str">
        <f aca="false">IF(F1894="","",IF(H1894="",F1894,0))</f>
        <v/>
      </c>
      <c r="S1894" s="32" t="str">
        <f aca="false">IF(F1894="","",IF(N(O1894)=0,"",IF(O1894&lt;=30,"1-30",IF(O1894&lt;=60,"31-60",IF(O1894&lt;=90,"61-90","90+")))))</f>
        <v/>
      </c>
      <c r="T1894" s="32" t="str">
        <f aca="false">IF(F1894="","",IF(E1894="","Diğer",E1894))</f>
        <v/>
      </c>
      <c r="U1894" s="32" t="str">
        <f aca="false">IF(OR(F1894="",C1894=""),"",IF(COUNTIF($C$2:C1894,C1894)=1,MAX($U$1:U1893)+1,""))</f>
        <v/>
      </c>
    </row>
    <row r="1895" customFormat="false" ht="15" hidden="false" customHeight="false" outlineLevel="0" collapsed="false">
      <c r="A1895" s="34"/>
      <c r="B1895" s="9"/>
      <c r="C1895" s="34"/>
      <c r="D1895" s="34"/>
      <c r="E1895" s="34"/>
      <c r="F1895" s="35"/>
      <c r="G1895" s="9"/>
      <c r="H1895" s="9"/>
      <c r="I1895" s="34"/>
      <c r="J1895" s="30" t="str">
        <f aca="false">IF(F1895="","",G1895-B1895)</f>
        <v/>
      </c>
      <c r="K1895" s="31" t="str">
        <f aca="false">IF(F1895="","",IF(H1895&lt;&gt;"",H1895,MAX('Vade Sapması'!$D$3,G1895)))</f>
        <v/>
      </c>
      <c r="L1895" s="30" t="str">
        <f aca="false">IF(F1895="","",K1895-B1895)</f>
        <v/>
      </c>
      <c r="M1895" s="30" t="str">
        <f aca="false">IF(F1895="","",L1895-J1895)</f>
        <v/>
      </c>
      <c r="N1895" s="32" t="str">
        <f aca="false">IF(F1895="","",IF(H1895&lt;&gt;"","Kapandı",IF('Vade Sapması'!$D$3&gt;G1895,"Açık · vadesi geçti","Açık · vadesi gelmedi")))</f>
        <v/>
      </c>
      <c r="O1895" s="30" t="str">
        <f aca="false">IF(F1895="","",IF(AND(H1895="",'Vade Sapması'!$D$3&gt;G1895),'Vade Sapması'!$D$3-G1895,0))</f>
        <v/>
      </c>
      <c r="P1895" s="33" t="str">
        <f aca="false">IF(F1895="","",F1895*J1895)</f>
        <v/>
      </c>
      <c r="Q1895" s="33" t="str">
        <f aca="false">IF(F1895="","",F1895*L1895)</f>
        <v/>
      </c>
      <c r="R1895" s="33" t="str">
        <f aca="false">IF(F1895="","",IF(H1895="",F1895,0))</f>
        <v/>
      </c>
      <c r="S1895" s="32" t="str">
        <f aca="false">IF(F1895="","",IF(N(O1895)=0,"",IF(O1895&lt;=30,"1-30",IF(O1895&lt;=60,"31-60",IF(O1895&lt;=90,"61-90","90+")))))</f>
        <v/>
      </c>
      <c r="T1895" s="32" t="str">
        <f aca="false">IF(F1895="","",IF(E1895="","Diğer",E1895))</f>
        <v/>
      </c>
      <c r="U1895" s="32" t="str">
        <f aca="false">IF(OR(F1895="",C1895=""),"",IF(COUNTIF($C$2:C1895,C1895)=1,MAX($U$1:U1894)+1,""))</f>
        <v/>
      </c>
    </row>
    <row r="1896" customFormat="false" ht="15" hidden="false" customHeight="false" outlineLevel="0" collapsed="false">
      <c r="A1896" s="34"/>
      <c r="B1896" s="9"/>
      <c r="C1896" s="34"/>
      <c r="D1896" s="34"/>
      <c r="E1896" s="34"/>
      <c r="F1896" s="35"/>
      <c r="G1896" s="9"/>
      <c r="H1896" s="9"/>
      <c r="I1896" s="34"/>
      <c r="J1896" s="30" t="str">
        <f aca="false">IF(F1896="","",G1896-B1896)</f>
        <v/>
      </c>
      <c r="K1896" s="31" t="str">
        <f aca="false">IF(F1896="","",IF(H1896&lt;&gt;"",H1896,MAX('Vade Sapması'!$D$3,G1896)))</f>
        <v/>
      </c>
      <c r="L1896" s="30" t="str">
        <f aca="false">IF(F1896="","",K1896-B1896)</f>
        <v/>
      </c>
      <c r="M1896" s="30" t="str">
        <f aca="false">IF(F1896="","",L1896-J1896)</f>
        <v/>
      </c>
      <c r="N1896" s="32" t="str">
        <f aca="false">IF(F1896="","",IF(H1896&lt;&gt;"","Kapandı",IF('Vade Sapması'!$D$3&gt;G1896,"Açık · vadesi geçti","Açık · vadesi gelmedi")))</f>
        <v/>
      </c>
      <c r="O1896" s="30" t="str">
        <f aca="false">IF(F1896="","",IF(AND(H1896="",'Vade Sapması'!$D$3&gt;G1896),'Vade Sapması'!$D$3-G1896,0))</f>
        <v/>
      </c>
      <c r="P1896" s="33" t="str">
        <f aca="false">IF(F1896="","",F1896*J1896)</f>
        <v/>
      </c>
      <c r="Q1896" s="33" t="str">
        <f aca="false">IF(F1896="","",F1896*L1896)</f>
        <v/>
      </c>
      <c r="R1896" s="33" t="str">
        <f aca="false">IF(F1896="","",IF(H1896="",F1896,0))</f>
        <v/>
      </c>
      <c r="S1896" s="32" t="str">
        <f aca="false">IF(F1896="","",IF(N(O1896)=0,"",IF(O1896&lt;=30,"1-30",IF(O1896&lt;=60,"31-60",IF(O1896&lt;=90,"61-90","90+")))))</f>
        <v/>
      </c>
      <c r="T1896" s="32" t="str">
        <f aca="false">IF(F1896="","",IF(E1896="","Diğer",E1896))</f>
        <v/>
      </c>
      <c r="U1896" s="32" t="str">
        <f aca="false">IF(OR(F1896="",C1896=""),"",IF(COUNTIF($C$2:C1896,C1896)=1,MAX($U$1:U1895)+1,""))</f>
        <v/>
      </c>
    </row>
    <row r="1897" customFormat="false" ht="15" hidden="false" customHeight="false" outlineLevel="0" collapsed="false">
      <c r="A1897" s="34"/>
      <c r="B1897" s="9"/>
      <c r="C1897" s="34"/>
      <c r="D1897" s="34"/>
      <c r="E1897" s="34"/>
      <c r="F1897" s="35"/>
      <c r="G1897" s="9"/>
      <c r="H1897" s="9"/>
      <c r="I1897" s="34"/>
      <c r="J1897" s="30" t="str">
        <f aca="false">IF(F1897="","",G1897-B1897)</f>
        <v/>
      </c>
      <c r="K1897" s="31" t="str">
        <f aca="false">IF(F1897="","",IF(H1897&lt;&gt;"",H1897,MAX('Vade Sapması'!$D$3,G1897)))</f>
        <v/>
      </c>
      <c r="L1897" s="30" t="str">
        <f aca="false">IF(F1897="","",K1897-B1897)</f>
        <v/>
      </c>
      <c r="M1897" s="30" t="str">
        <f aca="false">IF(F1897="","",L1897-J1897)</f>
        <v/>
      </c>
      <c r="N1897" s="32" t="str">
        <f aca="false">IF(F1897="","",IF(H1897&lt;&gt;"","Kapandı",IF('Vade Sapması'!$D$3&gt;G1897,"Açık · vadesi geçti","Açık · vadesi gelmedi")))</f>
        <v/>
      </c>
      <c r="O1897" s="30" t="str">
        <f aca="false">IF(F1897="","",IF(AND(H1897="",'Vade Sapması'!$D$3&gt;G1897),'Vade Sapması'!$D$3-G1897,0))</f>
        <v/>
      </c>
      <c r="P1897" s="33" t="str">
        <f aca="false">IF(F1897="","",F1897*J1897)</f>
        <v/>
      </c>
      <c r="Q1897" s="33" t="str">
        <f aca="false">IF(F1897="","",F1897*L1897)</f>
        <v/>
      </c>
      <c r="R1897" s="33" t="str">
        <f aca="false">IF(F1897="","",IF(H1897="",F1897,0))</f>
        <v/>
      </c>
      <c r="S1897" s="32" t="str">
        <f aca="false">IF(F1897="","",IF(N(O1897)=0,"",IF(O1897&lt;=30,"1-30",IF(O1897&lt;=60,"31-60",IF(O1897&lt;=90,"61-90","90+")))))</f>
        <v/>
      </c>
      <c r="T1897" s="32" t="str">
        <f aca="false">IF(F1897="","",IF(E1897="","Diğer",E1897))</f>
        <v/>
      </c>
      <c r="U1897" s="32" t="str">
        <f aca="false">IF(OR(F1897="",C1897=""),"",IF(COUNTIF($C$2:C1897,C1897)=1,MAX($U$1:U1896)+1,""))</f>
        <v/>
      </c>
    </row>
    <row r="1898" customFormat="false" ht="15" hidden="false" customHeight="false" outlineLevel="0" collapsed="false">
      <c r="A1898" s="34"/>
      <c r="B1898" s="9"/>
      <c r="C1898" s="34"/>
      <c r="D1898" s="34"/>
      <c r="E1898" s="34"/>
      <c r="F1898" s="35"/>
      <c r="G1898" s="9"/>
      <c r="H1898" s="9"/>
      <c r="I1898" s="34"/>
      <c r="J1898" s="30" t="str">
        <f aca="false">IF(F1898="","",G1898-B1898)</f>
        <v/>
      </c>
      <c r="K1898" s="31" t="str">
        <f aca="false">IF(F1898="","",IF(H1898&lt;&gt;"",H1898,MAX('Vade Sapması'!$D$3,G1898)))</f>
        <v/>
      </c>
      <c r="L1898" s="30" t="str">
        <f aca="false">IF(F1898="","",K1898-B1898)</f>
        <v/>
      </c>
      <c r="M1898" s="30" t="str">
        <f aca="false">IF(F1898="","",L1898-J1898)</f>
        <v/>
      </c>
      <c r="N1898" s="32" t="str">
        <f aca="false">IF(F1898="","",IF(H1898&lt;&gt;"","Kapandı",IF('Vade Sapması'!$D$3&gt;G1898,"Açık · vadesi geçti","Açık · vadesi gelmedi")))</f>
        <v/>
      </c>
      <c r="O1898" s="30" t="str">
        <f aca="false">IF(F1898="","",IF(AND(H1898="",'Vade Sapması'!$D$3&gt;G1898),'Vade Sapması'!$D$3-G1898,0))</f>
        <v/>
      </c>
      <c r="P1898" s="33" t="str">
        <f aca="false">IF(F1898="","",F1898*J1898)</f>
        <v/>
      </c>
      <c r="Q1898" s="33" t="str">
        <f aca="false">IF(F1898="","",F1898*L1898)</f>
        <v/>
      </c>
      <c r="R1898" s="33" t="str">
        <f aca="false">IF(F1898="","",IF(H1898="",F1898,0))</f>
        <v/>
      </c>
      <c r="S1898" s="32" t="str">
        <f aca="false">IF(F1898="","",IF(N(O1898)=0,"",IF(O1898&lt;=30,"1-30",IF(O1898&lt;=60,"31-60",IF(O1898&lt;=90,"61-90","90+")))))</f>
        <v/>
      </c>
      <c r="T1898" s="32" t="str">
        <f aca="false">IF(F1898="","",IF(E1898="","Diğer",E1898))</f>
        <v/>
      </c>
      <c r="U1898" s="32" t="str">
        <f aca="false">IF(OR(F1898="",C1898=""),"",IF(COUNTIF($C$2:C1898,C1898)=1,MAX($U$1:U1897)+1,""))</f>
        <v/>
      </c>
    </row>
    <row r="1899" customFormat="false" ht="15" hidden="false" customHeight="false" outlineLevel="0" collapsed="false">
      <c r="A1899" s="34"/>
      <c r="B1899" s="9"/>
      <c r="C1899" s="34"/>
      <c r="D1899" s="34"/>
      <c r="E1899" s="34"/>
      <c r="F1899" s="35"/>
      <c r="G1899" s="9"/>
      <c r="H1899" s="9"/>
      <c r="I1899" s="34"/>
      <c r="J1899" s="30" t="str">
        <f aca="false">IF(F1899="","",G1899-B1899)</f>
        <v/>
      </c>
      <c r="K1899" s="31" t="str">
        <f aca="false">IF(F1899="","",IF(H1899&lt;&gt;"",H1899,MAX('Vade Sapması'!$D$3,G1899)))</f>
        <v/>
      </c>
      <c r="L1899" s="30" t="str">
        <f aca="false">IF(F1899="","",K1899-B1899)</f>
        <v/>
      </c>
      <c r="M1899" s="30" t="str">
        <f aca="false">IF(F1899="","",L1899-J1899)</f>
        <v/>
      </c>
      <c r="N1899" s="32" t="str">
        <f aca="false">IF(F1899="","",IF(H1899&lt;&gt;"","Kapandı",IF('Vade Sapması'!$D$3&gt;G1899,"Açık · vadesi geçti","Açık · vadesi gelmedi")))</f>
        <v/>
      </c>
      <c r="O1899" s="30" t="str">
        <f aca="false">IF(F1899="","",IF(AND(H1899="",'Vade Sapması'!$D$3&gt;G1899),'Vade Sapması'!$D$3-G1899,0))</f>
        <v/>
      </c>
      <c r="P1899" s="33" t="str">
        <f aca="false">IF(F1899="","",F1899*J1899)</f>
        <v/>
      </c>
      <c r="Q1899" s="33" t="str">
        <f aca="false">IF(F1899="","",F1899*L1899)</f>
        <v/>
      </c>
      <c r="R1899" s="33" t="str">
        <f aca="false">IF(F1899="","",IF(H1899="",F1899,0))</f>
        <v/>
      </c>
      <c r="S1899" s="32" t="str">
        <f aca="false">IF(F1899="","",IF(N(O1899)=0,"",IF(O1899&lt;=30,"1-30",IF(O1899&lt;=60,"31-60",IF(O1899&lt;=90,"61-90","90+")))))</f>
        <v/>
      </c>
      <c r="T1899" s="32" t="str">
        <f aca="false">IF(F1899="","",IF(E1899="","Diğer",E1899))</f>
        <v/>
      </c>
      <c r="U1899" s="32" t="str">
        <f aca="false">IF(OR(F1899="",C1899=""),"",IF(COUNTIF($C$2:C1899,C1899)=1,MAX($U$1:U1898)+1,""))</f>
        <v/>
      </c>
    </row>
    <row r="1900" customFormat="false" ht="15" hidden="false" customHeight="false" outlineLevel="0" collapsed="false">
      <c r="A1900" s="34"/>
      <c r="B1900" s="9"/>
      <c r="C1900" s="34"/>
      <c r="D1900" s="34"/>
      <c r="E1900" s="34"/>
      <c r="F1900" s="35"/>
      <c r="G1900" s="9"/>
      <c r="H1900" s="9"/>
      <c r="I1900" s="34"/>
      <c r="J1900" s="30" t="str">
        <f aca="false">IF(F1900="","",G1900-B1900)</f>
        <v/>
      </c>
      <c r="K1900" s="31" t="str">
        <f aca="false">IF(F1900="","",IF(H1900&lt;&gt;"",H1900,MAX('Vade Sapması'!$D$3,G1900)))</f>
        <v/>
      </c>
      <c r="L1900" s="30" t="str">
        <f aca="false">IF(F1900="","",K1900-B1900)</f>
        <v/>
      </c>
      <c r="M1900" s="30" t="str">
        <f aca="false">IF(F1900="","",L1900-J1900)</f>
        <v/>
      </c>
      <c r="N1900" s="32" t="str">
        <f aca="false">IF(F1900="","",IF(H1900&lt;&gt;"","Kapandı",IF('Vade Sapması'!$D$3&gt;G1900,"Açık · vadesi geçti","Açık · vadesi gelmedi")))</f>
        <v/>
      </c>
      <c r="O1900" s="30" t="str">
        <f aca="false">IF(F1900="","",IF(AND(H1900="",'Vade Sapması'!$D$3&gt;G1900),'Vade Sapması'!$D$3-G1900,0))</f>
        <v/>
      </c>
      <c r="P1900" s="33" t="str">
        <f aca="false">IF(F1900="","",F1900*J1900)</f>
        <v/>
      </c>
      <c r="Q1900" s="33" t="str">
        <f aca="false">IF(F1900="","",F1900*L1900)</f>
        <v/>
      </c>
      <c r="R1900" s="33" t="str">
        <f aca="false">IF(F1900="","",IF(H1900="",F1900,0))</f>
        <v/>
      </c>
      <c r="S1900" s="32" t="str">
        <f aca="false">IF(F1900="","",IF(N(O1900)=0,"",IF(O1900&lt;=30,"1-30",IF(O1900&lt;=60,"31-60",IF(O1900&lt;=90,"61-90","90+")))))</f>
        <v/>
      </c>
      <c r="T1900" s="32" t="str">
        <f aca="false">IF(F1900="","",IF(E1900="","Diğer",E1900))</f>
        <v/>
      </c>
      <c r="U1900" s="32" t="str">
        <f aca="false">IF(OR(F1900="",C1900=""),"",IF(COUNTIF($C$2:C1900,C1900)=1,MAX($U$1:U1899)+1,""))</f>
        <v/>
      </c>
    </row>
    <row r="1901" customFormat="false" ht="15" hidden="false" customHeight="false" outlineLevel="0" collapsed="false">
      <c r="A1901" s="34"/>
      <c r="B1901" s="9"/>
      <c r="C1901" s="34"/>
      <c r="D1901" s="34"/>
      <c r="E1901" s="34"/>
      <c r="F1901" s="35"/>
      <c r="G1901" s="9"/>
      <c r="H1901" s="9"/>
      <c r="I1901" s="34"/>
      <c r="J1901" s="30" t="str">
        <f aca="false">IF(F1901="","",G1901-B1901)</f>
        <v/>
      </c>
      <c r="K1901" s="31" t="str">
        <f aca="false">IF(F1901="","",IF(H1901&lt;&gt;"",H1901,MAX('Vade Sapması'!$D$3,G1901)))</f>
        <v/>
      </c>
      <c r="L1901" s="30" t="str">
        <f aca="false">IF(F1901="","",K1901-B1901)</f>
        <v/>
      </c>
      <c r="M1901" s="30" t="str">
        <f aca="false">IF(F1901="","",L1901-J1901)</f>
        <v/>
      </c>
      <c r="N1901" s="32" t="str">
        <f aca="false">IF(F1901="","",IF(H1901&lt;&gt;"","Kapandı",IF('Vade Sapması'!$D$3&gt;G1901,"Açık · vadesi geçti","Açık · vadesi gelmedi")))</f>
        <v/>
      </c>
      <c r="O1901" s="30" t="str">
        <f aca="false">IF(F1901="","",IF(AND(H1901="",'Vade Sapması'!$D$3&gt;G1901),'Vade Sapması'!$D$3-G1901,0))</f>
        <v/>
      </c>
      <c r="P1901" s="33" t="str">
        <f aca="false">IF(F1901="","",F1901*J1901)</f>
        <v/>
      </c>
      <c r="Q1901" s="33" t="str">
        <f aca="false">IF(F1901="","",F1901*L1901)</f>
        <v/>
      </c>
      <c r="R1901" s="33" t="str">
        <f aca="false">IF(F1901="","",IF(H1901="",F1901,0))</f>
        <v/>
      </c>
      <c r="S1901" s="32" t="str">
        <f aca="false">IF(F1901="","",IF(N(O1901)=0,"",IF(O1901&lt;=30,"1-30",IF(O1901&lt;=60,"31-60",IF(O1901&lt;=90,"61-90","90+")))))</f>
        <v/>
      </c>
      <c r="T1901" s="32" t="str">
        <f aca="false">IF(F1901="","",IF(E1901="","Diğer",E1901))</f>
        <v/>
      </c>
      <c r="U1901" s="32" t="str">
        <f aca="false">IF(OR(F1901="",C1901=""),"",IF(COUNTIF($C$2:C1901,C1901)=1,MAX($U$1:U1900)+1,""))</f>
        <v/>
      </c>
    </row>
    <row r="1902" customFormat="false" ht="15" hidden="false" customHeight="false" outlineLevel="0" collapsed="false">
      <c r="A1902" s="34"/>
      <c r="B1902" s="9"/>
      <c r="C1902" s="34"/>
      <c r="D1902" s="34"/>
      <c r="E1902" s="34"/>
      <c r="F1902" s="35"/>
      <c r="G1902" s="9"/>
      <c r="H1902" s="9"/>
      <c r="I1902" s="34"/>
      <c r="J1902" s="30" t="str">
        <f aca="false">IF(F1902="","",G1902-B1902)</f>
        <v/>
      </c>
      <c r="K1902" s="31" t="str">
        <f aca="false">IF(F1902="","",IF(H1902&lt;&gt;"",H1902,MAX('Vade Sapması'!$D$3,G1902)))</f>
        <v/>
      </c>
      <c r="L1902" s="30" t="str">
        <f aca="false">IF(F1902="","",K1902-B1902)</f>
        <v/>
      </c>
      <c r="M1902" s="30" t="str">
        <f aca="false">IF(F1902="","",L1902-J1902)</f>
        <v/>
      </c>
      <c r="N1902" s="32" t="str">
        <f aca="false">IF(F1902="","",IF(H1902&lt;&gt;"","Kapandı",IF('Vade Sapması'!$D$3&gt;G1902,"Açık · vadesi geçti","Açık · vadesi gelmedi")))</f>
        <v/>
      </c>
      <c r="O1902" s="30" t="str">
        <f aca="false">IF(F1902="","",IF(AND(H1902="",'Vade Sapması'!$D$3&gt;G1902),'Vade Sapması'!$D$3-G1902,0))</f>
        <v/>
      </c>
      <c r="P1902" s="33" t="str">
        <f aca="false">IF(F1902="","",F1902*J1902)</f>
        <v/>
      </c>
      <c r="Q1902" s="33" t="str">
        <f aca="false">IF(F1902="","",F1902*L1902)</f>
        <v/>
      </c>
      <c r="R1902" s="33" t="str">
        <f aca="false">IF(F1902="","",IF(H1902="",F1902,0))</f>
        <v/>
      </c>
      <c r="S1902" s="32" t="str">
        <f aca="false">IF(F1902="","",IF(N(O1902)=0,"",IF(O1902&lt;=30,"1-30",IF(O1902&lt;=60,"31-60",IF(O1902&lt;=90,"61-90","90+")))))</f>
        <v/>
      </c>
      <c r="T1902" s="32" t="str">
        <f aca="false">IF(F1902="","",IF(E1902="","Diğer",E1902))</f>
        <v/>
      </c>
      <c r="U1902" s="32" t="str">
        <f aca="false">IF(OR(F1902="",C1902=""),"",IF(COUNTIF($C$2:C1902,C1902)=1,MAX($U$1:U1901)+1,""))</f>
        <v/>
      </c>
    </row>
    <row r="1903" customFormat="false" ht="15" hidden="false" customHeight="false" outlineLevel="0" collapsed="false">
      <c r="A1903" s="34"/>
      <c r="B1903" s="9"/>
      <c r="C1903" s="34"/>
      <c r="D1903" s="34"/>
      <c r="E1903" s="34"/>
      <c r="F1903" s="35"/>
      <c r="G1903" s="9"/>
      <c r="H1903" s="9"/>
      <c r="I1903" s="34"/>
      <c r="J1903" s="30" t="str">
        <f aca="false">IF(F1903="","",G1903-B1903)</f>
        <v/>
      </c>
      <c r="K1903" s="31" t="str">
        <f aca="false">IF(F1903="","",IF(H1903&lt;&gt;"",H1903,MAX('Vade Sapması'!$D$3,G1903)))</f>
        <v/>
      </c>
      <c r="L1903" s="30" t="str">
        <f aca="false">IF(F1903="","",K1903-B1903)</f>
        <v/>
      </c>
      <c r="M1903" s="30" t="str">
        <f aca="false">IF(F1903="","",L1903-J1903)</f>
        <v/>
      </c>
      <c r="N1903" s="32" t="str">
        <f aca="false">IF(F1903="","",IF(H1903&lt;&gt;"","Kapandı",IF('Vade Sapması'!$D$3&gt;G1903,"Açık · vadesi geçti","Açık · vadesi gelmedi")))</f>
        <v/>
      </c>
      <c r="O1903" s="30" t="str">
        <f aca="false">IF(F1903="","",IF(AND(H1903="",'Vade Sapması'!$D$3&gt;G1903),'Vade Sapması'!$D$3-G1903,0))</f>
        <v/>
      </c>
      <c r="P1903" s="33" t="str">
        <f aca="false">IF(F1903="","",F1903*J1903)</f>
        <v/>
      </c>
      <c r="Q1903" s="33" t="str">
        <f aca="false">IF(F1903="","",F1903*L1903)</f>
        <v/>
      </c>
      <c r="R1903" s="33" t="str">
        <f aca="false">IF(F1903="","",IF(H1903="",F1903,0))</f>
        <v/>
      </c>
      <c r="S1903" s="32" t="str">
        <f aca="false">IF(F1903="","",IF(N(O1903)=0,"",IF(O1903&lt;=30,"1-30",IF(O1903&lt;=60,"31-60",IF(O1903&lt;=90,"61-90","90+")))))</f>
        <v/>
      </c>
      <c r="T1903" s="32" t="str">
        <f aca="false">IF(F1903="","",IF(E1903="","Diğer",E1903))</f>
        <v/>
      </c>
      <c r="U1903" s="32" t="str">
        <f aca="false">IF(OR(F1903="",C1903=""),"",IF(COUNTIF($C$2:C1903,C1903)=1,MAX($U$1:U1902)+1,""))</f>
        <v/>
      </c>
    </row>
    <row r="1904" customFormat="false" ht="15" hidden="false" customHeight="false" outlineLevel="0" collapsed="false">
      <c r="A1904" s="34"/>
      <c r="B1904" s="9"/>
      <c r="C1904" s="34"/>
      <c r="D1904" s="34"/>
      <c r="E1904" s="34"/>
      <c r="F1904" s="35"/>
      <c r="G1904" s="9"/>
      <c r="H1904" s="9"/>
      <c r="I1904" s="34"/>
      <c r="J1904" s="30" t="str">
        <f aca="false">IF(F1904="","",G1904-B1904)</f>
        <v/>
      </c>
      <c r="K1904" s="31" t="str">
        <f aca="false">IF(F1904="","",IF(H1904&lt;&gt;"",H1904,MAX('Vade Sapması'!$D$3,G1904)))</f>
        <v/>
      </c>
      <c r="L1904" s="30" t="str">
        <f aca="false">IF(F1904="","",K1904-B1904)</f>
        <v/>
      </c>
      <c r="M1904" s="30" t="str">
        <f aca="false">IF(F1904="","",L1904-J1904)</f>
        <v/>
      </c>
      <c r="N1904" s="32" t="str">
        <f aca="false">IF(F1904="","",IF(H1904&lt;&gt;"","Kapandı",IF('Vade Sapması'!$D$3&gt;G1904,"Açık · vadesi geçti","Açık · vadesi gelmedi")))</f>
        <v/>
      </c>
      <c r="O1904" s="30" t="str">
        <f aca="false">IF(F1904="","",IF(AND(H1904="",'Vade Sapması'!$D$3&gt;G1904),'Vade Sapması'!$D$3-G1904,0))</f>
        <v/>
      </c>
      <c r="P1904" s="33" t="str">
        <f aca="false">IF(F1904="","",F1904*J1904)</f>
        <v/>
      </c>
      <c r="Q1904" s="33" t="str">
        <f aca="false">IF(F1904="","",F1904*L1904)</f>
        <v/>
      </c>
      <c r="R1904" s="33" t="str">
        <f aca="false">IF(F1904="","",IF(H1904="",F1904,0))</f>
        <v/>
      </c>
      <c r="S1904" s="32" t="str">
        <f aca="false">IF(F1904="","",IF(N(O1904)=0,"",IF(O1904&lt;=30,"1-30",IF(O1904&lt;=60,"31-60",IF(O1904&lt;=90,"61-90","90+")))))</f>
        <v/>
      </c>
      <c r="T1904" s="32" t="str">
        <f aca="false">IF(F1904="","",IF(E1904="","Diğer",E1904))</f>
        <v/>
      </c>
      <c r="U1904" s="32" t="str">
        <f aca="false">IF(OR(F1904="",C1904=""),"",IF(COUNTIF($C$2:C1904,C1904)=1,MAX($U$1:U1903)+1,""))</f>
        <v/>
      </c>
    </row>
    <row r="1905" customFormat="false" ht="15" hidden="false" customHeight="false" outlineLevel="0" collapsed="false">
      <c r="A1905" s="34"/>
      <c r="B1905" s="9"/>
      <c r="C1905" s="34"/>
      <c r="D1905" s="34"/>
      <c r="E1905" s="34"/>
      <c r="F1905" s="35"/>
      <c r="G1905" s="9"/>
      <c r="H1905" s="9"/>
      <c r="I1905" s="34"/>
      <c r="J1905" s="30" t="str">
        <f aca="false">IF(F1905="","",G1905-B1905)</f>
        <v/>
      </c>
      <c r="K1905" s="31" t="str">
        <f aca="false">IF(F1905="","",IF(H1905&lt;&gt;"",H1905,MAX('Vade Sapması'!$D$3,G1905)))</f>
        <v/>
      </c>
      <c r="L1905" s="30" t="str">
        <f aca="false">IF(F1905="","",K1905-B1905)</f>
        <v/>
      </c>
      <c r="M1905" s="30" t="str">
        <f aca="false">IF(F1905="","",L1905-J1905)</f>
        <v/>
      </c>
      <c r="N1905" s="32" t="str">
        <f aca="false">IF(F1905="","",IF(H1905&lt;&gt;"","Kapandı",IF('Vade Sapması'!$D$3&gt;G1905,"Açık · vadesi geçti","Açık · vadesi gelmedi")))</f>
        <v/>
      </c>
      <c r="O1905" s="30" t="str">
        <f aca="false">IF(F1905="","",IF(AND(H1905="",'Vade Sapması'!$D$3&gt;G1905),'Vade Sapması'!$D$3-G1905,0))</f>
        <v/>
      </c>
      <c r="P1905" s="33" t="str">
        <f aca="false">IF(F1905="","",F1905*J1905)</f>
        <v/>
      </c>
      <c r="Q1905" s="33" t="str">
        <f aca="false">IF(F1905="","",F1905*L1905)</f>
        <v/>
      </c>
      <c r="R1905" s="33" t="str">
        <f aca="false">IF(F1905="","",IF(H1905="",F1905,0))</f>
        <v/>
      </c>
      <c r="S1905" s="32" t="str">
        <f aca="false">IF(F1905="","",IF(N(O1905)=0,"",IF(O1905&lt;=30,"1-30",IF(O1905&lt;=60,"31-60",IF(O1905&lt;=90,"61-90","90+")))))</f>
        <v/>
      </c>
      <c r="T1905" s="32" t="str">
        <f aca="false">IF(F1905="","",IF(E1905="","Diğer",E1905))</f>
        <v/>
      </c>
      <c r="U1905" s="32" t="str">
        <f aca="false">IF(OR(F1905="",C1905=""),"",IF(COUNTIF($C$2:C1905,C1905)=1,MAX($U$1:U1904)+1,""))</f>
        <v/>
      </c>
    </row>
    <row r="1906" customFormat="false" ht="15" hidden="false" customHeight="false" outlineLevel="0" collapsed="false">
      <c r="A1906" s="34"/>
      <c r="B1906" s="9"/>
      <c r="C1906" s="34"/>
      <c r="D1906" s="34"/>
      <c r="E1906" s="34"/>
      <c r="F1906" s="35"/>
      <c r="G1906" s="9"/>
      <c r="H1906" s="9"/>
      <c r="I1906" s="34"/>
      <c r="J1906" s="30" t="str">
        <f aca="false">IF(F1906="","",G1906-B1906)</f>
        <v/>
      </c>
      <c r="K1906" s="31" t="str">
        <f aca="false">IF(F1906="","",IF(H1906&lt;&gt;"",H1906,MAX('Vade Sapması'!$D$3,G1906)))</f>
        <v/>
      </c>
      <c r="L1906" s="30" t="str">
        <f aca="false">IF(F1906="","",K1906-B1906)</f>
        <v/>
      </c>
      <c r="M1906" s="30" t="str">
        <f aca="false">IF(F1906="","",L1906-J1906)</f>
        <v/>
      </c>
      <c r="N1906" s="32" t="str">
        <f aca="false">IF(F1906="","",IF(H1906&lt;&gt;"","Kapandı",IF('Vade Sapması'!$D$3&gt;G1906,"Açık · vadesi geçti","Açık · vadesi gelmedi")))</f>
        <v/>
      </c>
      <c r="O1906" s="30" t="str">
        <f aca="false">IF(F1906="","",IF(AND(H1906="",'Vade Sapması'!$D$3&gt;G1906),'Vade Sapması'!$D$3-G1906,0))</f>
        <v/>
      </c>
      <c r="P1906" s="33" t="str">
        <f aca="false">IF(F1906="","",F1906*J1906)</f>
        <v/>
      </c>
      <c r="Q1906" s="33" t="str">
        <f aca="false">IF(F1906="","",F1906*L1906)</f>
        <v/>
      </c>
      <c r="R1906" s="33" t="str">
        <f aca="false">IF(F1906="","",IF(H1906="",F1906,0))</f>
        <v/>
      </c>
      <c r="S1906" s="32" t="str">
        <f aca="false">IF(F1906="","",IF(N(O1906)=0,"",IF(O1906&lt;=30,"1-30",IF(O1906&lt;=60,"31-60",IF(O1906&lt;=90,"61-90","90+")))))</f>
        <v/>
      </c>
      <c r="T1906" s="32" t="str">
        <f aca="false">IF(F1906="","",IF(E1906="","Diğer",E1906))</f>
        <v/>
      </c>
      <c r="U1906" s="32" t="str">
        <f aca="false">IF(OR(F1906="",C1906=""),"",IF(COUNTIF($C$2:C1906,C1906)=1,MAX($U$1:U1905)+1,""))</f>
        <v/>
      </c>
    </row>
    <row r="1907" customFormat="false" ht="15" hidden="false" customHeight="false" outlineLevel="0" collapsed="false">
      <c r="A1907" s="34"/>
      <c r="B1907" s="9"/>
      <c r="C1907" s="34"/>
      <c r="D1907" s="34"/>
      <c r="E1907" s="34"/>
      <c r="F1907" s="35"/>
      <c r="G1907" s="9"/>
      <c r="H1907" s="9"/>
      <c r="I1907" s="34"/>
      <c r="J1907" s="30" t="str">
        <f aca="false">IF(F1907="","",G1907-B1907)</f>
        <v/>
      </c>
      <c r="K1907" s="31" t="str">
        <f aca="false">IF(F1907="","",IF(H1907&lt;&gt;"",H1907,MAX('Vade Sapması'!$D$3,G1907)))</f>
        <v/>
      </c>
      <c r="L1907" s="30" t="str">
        <f aca="false">IF(F1907="","",K1907-B1907)</f>
        <v/>
      </c>
      <c r="M1907" s="30" t="str">
        <f aca="false">IF(F1907="","",L1907-J1907)</f>
        <v/>
      </c>
      <c r="N1907" s="32" t="str">
        <f aca="false">IF(F1907="","",IF(H1907&lt;&gt;"","Kapandı",IF('Vade Sapması'!$D$3&gt;G1907,"Açık · vadesi geçti","Açık · vadesi gelmedi")))</f>
        <v/>
      </c>
      <c r="O1907" s="30" t="str">
        <f aca="false">IF(F1907="","",IF(AND(H1907="",'Vade Sapması'!$D$3&gt;G1907),'Vade Sapması'!$D$3-G1907,0))</f>
        <v/>
      </c>
      <c r="P1907" s="33" t="str">
        <f aca="false">IF(F1907="","",F1907*J1907)</f>
        <v/>
      </c>
      <c r="Q1907" s="33" t="str">
        <f aca="false">IF(F1907="","",F1907*L1907)</f>
        <v/>
      </c>
      <c r="R1907" s="33" t="str">
        <f aca="false">IF(F1907="","",IF(H1907="",F1907,0))</f>
        <v/>
      </c>
      <c r="S1907" s="32" t="str">
        <f aca="false">IF(F1907="","",IF(N(O1907)=0,"",IF(O1907&lt;=30,"1-30",IF(O1907&lt;=60,"31-60",IF(O1907&lt;=90,"61-90","90+")))))</f>
        <v/>
      </c>
      <c r="T1907" s="32" t="str">
        <f aca="false">IF(F1907="","",IF(E1907="","Diğer",E1907))</f>
        <v/>
      </c>
      <c r="U1907" s="32" t="str">
        <f aca="false">IF(OR(F1907="",C1907=""),"",IF(COUNTIF($C$2:C1907,C1907)=1,MAX($U$1:U1906)+1,""))</f>
        <v/>
      </c>
    </row>
    <row r="1908" customFormat="false" ht="15" hidden="false" customHeight="false" outlineLevel="0" collapsed="false">
      <c r="A1908" s="34"/>
      <c r="B1908" s="9"/>
      <c r="C1908" s="34"/>
      <c r="D1908" s="34"/>
      <c r="E1908" s="34"/>
      <c r="F1908" s="35"/>
      <c r="G1908" s="9"/>
      <c r="H1908" s="9"/>
      <c r="I1908" s="34"/>
      <c r="J1908" s="30" t="str">
        <f aca="false">IF(F1908="","",G1908-B1908)</f>
        <v/>
      </c>
      <c r="K1908" s="31" t="str">
        <f aca="false">IF(F1908="","",IF(H1908&lt;&gt;"",H1908,MAX('Vade Sapması'!$D$3,G1908)))</f>
        <v/>
      </c>
      <c r="L1908" s="30" t="str">
        <f aca="false">IF(F1908="","",K1908-B1908)</f>
        <v/>
      </c>
      <c r="M1908" s="30" t="str">
        <f aca="false">IF(F1908="","",L1908-J1908)</f>
        <v/>
      </c>
      <c r="N1908" s="32" t="str">
        <f aca="false">IF(F1908="","",IF(H1908&lt;&gt;"","Kapandı",IF('Vade Sapması'!$D$3&gt;G1908,"Açık · vadesi geçti","Açık · vadesi gelmedi")))</f>
        <v/>
      </c>
      <c r="O1908" s="30" t="str">
        <f aca="false">IF(F1908="","",IF(AND(H1908="",'Vade Sapması'!$D$3&gt;G1908),'Vade Sapması'!$D$3-G1908,0))</f>
        <v/>
      </c>
      <c r="P1908" s="33" t="str">
        <f aca="false">IF(F1908="","",F1908*J1908)</f>
        <v/>
      </c>
      <c r="Q1908" s="33" t="str">
        <f aca="false">IF(F1908="","",F1908*L1908)</f>
        <v/>
      </c>
      <c r="R1908" s="33" t="str">
        <f aca="false">IF(F1908="","",IF(H1908="",F1908,0))</f>
        <v/>
      </c>
      <c r="S1908" s="32" t="str">
        <f aca="false">IF(F1908="","",IF(N(O1908)=0,"",IF(O1908&lt;=30,"1-30",IF(O1908&lt;=60,"31-60",IF(O1908&lt;=90,"61-90","90+")))))</f>
        <v/>
      </c>
      <c r="T1908" s="32" t="str">
        <f aca="false">IF(F1908="","",IF(E1908="","Diğer",E1908))</f>
        <v/>
      </c>
      <c r="U1908" s="32" t="str">
        <f aca="false">IF(OR(F1908="",C1908=""),"",IF(COUNTIF($C$2:C1908,C1908)=1,MAX($U$1:U1907)+1,""))</f>
        <v/>
      </c>
    </row>
    <row r="1909" customFormat="false" ht="15" hidden="false" customHeight="false" outlineLevel="0" collapsed="false">
      <c r="A1909" s="34"/>
      <c r="B1909" s="9"/>
      <c r="C1909" s="34"/>
      <c r="D1909" s="34"/>
      <c r="E1909" s="34"/>
      <c r="F1909" s="35"/>
      <c r="G1909" s="9"/>
      <c r="H1909" s="9"/>
      <c r="I1909" s="34"/>
      <c r="J1909" s="30" t="str">
        <f aca="false">IF(F1909="","",G1909-B1909)</f>
        <v/>
      </c>
      <c r="K1909" s="31" t="str">
        <f aca="false">IF(F1909="","",IF(H1909&lt;&gt;"",H1909,MAX('Vade Sapması'!$D$3,G1909)))</f>
        <v/>
      </c>
      <c r="L1909" s="30" t="str">
        <f aca="false">IF(F1909="","",K1909-B1909)</f>
        <v/>
      </c>
      <c r="M1909" s="30" t="str">
        <f aca="false">IF(F1909="","",L1909-J1909)</f>
        <v/>
      </c>
      <c r="N1909" s="32" t="str">
        <f aca="false">IF(F1909="","",IF(H1909&lt;&gt;"","Kapandı",IF('Vade Sapması'!$D$3&gt;G1909,"Açık · vadesi geçti","Açık · vadesi gelmedi")))</f>
        <v/>
      </c>
      <c r="O1909" s="30" t="str">
        <f aca="false">IF(F1909="","",IF(AND(H1909="",'Vade Sapması'!$D$3&gt;G1909),'Vade Sapması'!$D$3-G1909,0))</f>
        <v/>
      </c>
      <c r="P1909" s="33" t="str">
        <f aca="false">IF(F1909="","",F1909*J1909)</f>
        <v/>
      </c>
      <c r="Q1909" s="33" t="str">
        <f aca="false">IF(F1909="","",F1909*L1909)</f>
        <v/>
      </c>
      <c r="R1909" s="33" t="str">
        <f aca="false">IF(F1909="","",IF(H1909="",F1909,0))</f>
        <v/>
      </c>
      <c r="S1909" s="32" t="str">
        <f aca="false">IF(F1909="","",IF(N(O1909)=0,"",IF(O1909&lt;=30,"1-30",IF(O1909&lt;=60,"31-60",IF(O1909&lt;=90,"61-90","90+")))))</f>
        <v/>
      </c>
      <c r="T1909" s="32" t="str">
        <f aca="false">IF(F1909="","",IF(E1909="","Diğer",E1909))</f>
        <v/>
      </c>
      <c r="U1909" s="32" t="str">
        <f aca="false">IF(OR(F1909="",C1909=""),"",IF(COUNTIF($C$2:C1909,C1909)=1,MAX($U$1:U1908)+1,""))</f>
        <v/>
      </c>
    </row>
    <row r="1910" customFormat="false" ht="15" hidden="false" customHeight="false" outlineLevel="0" collapsed="false">
      <c r="A1910" s="34"/>
      <c r="B1910" s="9"/>
      <c r="C1910" s="34"/>
      <c r="D1910" s="34"/>
      <c r="E1910" s="34"/>
      <c r="F1910" s="35"/>
      <c r="G1910" s="9"/>
      <c r="H1910" s="9"/>
      <c r="I1910" s="34"/>
      <c r="J1910" s="30" t="str">
        <f aca="false">IF(F1910="","",G1910-B1910)</f>
        <v/>
      </c>
      <c r="K1910" s="31" t="str">
        <f aca="false">IF(F1910="","",IF(H1910&lt;&gt;"",H1910,MAX('Vade Sapması'!$D$3,G1910)))</f>
        <v/>
      </c>
      <c r="L1910" s="30" t="str">
        <f aca="false">IF(F1910="","",K1910-B1910)</f>
        <v/>
      </c>
      <c r="M1910" s="30" t="str">
        <f aca="false">IF(F1910="","",L1910-J1910)</f>
        <v/>
      </c>
      <c r="N1910" s="32" t="str">
        <f aca="false">IF(F1910="","",IF(H1910&lt;&gt;"","Kapandı",IF('Vade Sapması'!$D$3&gt;G1910,"Açık · vadesi geçti","Açık · vadesi gelmedi")))</f>
        <v/>
      </c>
      <c r="O1910" s="30" t="str">
        <f aca="false">IF(F1910="","",IF(AND(H1910="",'Vade Sapması'!$D$3&gt;G1910),'Vade Sapması'!$D$3-G1910,0))</f>
        <v/>
      </c>
      <c r="P1910" s="33" t="str">
        <f aca="false">IF(F1910="","",F1910*J1910)</f>
        <v/>
      </c>
      <c r="Q1910" s="33" t="str">
        <f aca="false">IF(F1910="","",F1910*L1910)</f>
        <v/>
      </c>
      <c r="R1910" s="33" t="str">
        <f aca="false">IF(F1910="","",IF(H1910="",F1910,0))</f>
        <v/>
      </c>
      <c r="S1910" s="32" t="str">
        <f aca="false">IF(F1910="","",IF(N(O1910)=0,"",IF(O1910&lt;=30,"1-30",IF(O1910&lt;=60,"31-60",IF(O1910&lt;=90,"61-90","90+")))))</f>
        <v/>
      </c>
      <c r="T1910" s="32" t="str">
        <f aca="false">IF(F1910="","",IF(E1910="","Diğer",E1910))</f>
        <v/>
      </c>
      <c r="U1910" s="32" t="str">
        <f aca="false">IF(OR(F1910="",C1910=""),"",IF(COUNTIF($C$2:C1910,C1910)=1,MAX($U$1:U1909)+1,""))</f>
        <v/>
      </c>
    </row>
    <row r="1911" customFormat="false" ht="15" hidden="false" customHeight="false" outlineLevel="0" collapsed="false">
      <c r="A1911" s="34"/>
      <c r="B1911" s="9"/>
      <c r="C1911" s="34"/>
      <c r="D1911" s="34"/>
      <c r="E1911" s="34"/>
      <c r="F1911" s="35"/>
      <c r="G1911" s="9"/>
      <c r="H1911" s="9"/>
      <c r="I1911" s="34"/>
      <c r="J1911" s="30" t="str">
        <f aca="false">IF(F1911="","",G1911-B1911)</f>
        <v/>
      </c>
      <c r="K1911" s="31" t="str">
        <f aca="false">IF(F1911="","",IF(H1911&lt;&gt;"",H1911,MAX('Vade Sapması'!$D$3,G1911)))</f>
        <v/>
      </c>
      <c r="L1911" s="30" t="str">
        <f aca="false">IF(F1911="","",K1911-B1911)</f>
        <v/>
      </c>
      <c r="M1911" s="30" t="str">
        <f aca="false">IF(F1911="","",L1911-J1911)</f>
        <v/>
      </c>
      <c r="N1911" s="32" t="str">
        <f aca="false">IF(F1911="","",IF(H1911&lt;&gt;"","Kapandı",IF('Vade Sapması'!$D$3&gt;G1911,"Açık · vadesi geçti","Açık · vadesi gelmedi")))</f>
        <v/>
      </c>
      <c r="O1911" s="30" t="str">
        <f aca="false">IF(F1911="","",IF(AND(H1911="",'Vade Sapması'!$D$3&gt;G1911),'Vade Sapması'!$D$3-G1911,0))</f>
        <v/>
      </c>
      <c r="P1911" s="33" t="str">
        <f aca="false">IF(F1911="","",F1911*J1911)</f>
        <v/>
      </c>
      <c r="Q1911" s="33" t="str">
        <f aca="false">IF(F1911="","",F1911*L1911)</f>
        <v/>
      </c>
      <c r="R1911" s="33" t="str">
        <f aca="false">IF(F1911="","",IF(H1911="",F1911,0))</f>
        <v/>
      </c>
      <c r="S1911" s="32" t="str">
        <f aca="false">IF(F1911="","",IF(N(O1911)=0,"",IF(O1911&lt;=30,"1-30",IF(O1911&lt;=60,"31-60",IF(O1911&lt;=90,"61-90","90+")))))</f>
        <v/>
      </c>
      <c r="T1911" s="32" t="str">
        <f aca="false">IF(F1911="","",IF(E1911="","Diğer",E1911))</f>
        <v/>
      </c>
      <c r="U1911" s="32" t="str">
        <f aca="false">IF(OR(F1911="",C1911=""),"",IF(COUNTIF($C$2:C1911,C1911)=1,MAX($U$1:U1910)+1,""))</f>
        <v/>
      </c>
    </row>
    <row r="1912" customFormat="false" ht="15" hidden="false" customHeight="false" outlineLevel="0" collapsed="false">
      <c r="A1912" s="34"/>
      <c r="B1912" s="9"/>
      <c r="C1912" s="34"/>
      <c r="D1912" s="34"/>
      <c r="E1912" s="34"/>
      <c r="F1912" s="35"/>
      <c r="G1912" s="9"/>
      <c r="H1912" s="9"/>
      <c r="I1912" s="34"/>
      <c r="J1912" s="30" t="str">
        <f aca="false">IF(F1912="","",G1912-B1912)</f>
        <v/>
      </c>
      <c r="K1912" s="31" t="str">
        <f aca="false">IF(F1912="","",IF(H1912&lt;&gt;"",H1912,MAX('Vade Sapması'!$D$3,G1912)))</f>
        <v/>
      </c>
      <c r="L1912" s="30" t="str">
        <f aca="false">IF(F1912="","",K1912-B1912)</f>
        <v/>
      </c>
      <c r="M1912" s="30" t="str">
        <f aca="false">IF(F1912="","",L1912-J1912)</f>
        <v/>
      </c>
      <c r="N1912" s="32" t="str">
        <f aca="false">IF(F1912="","",IF(H1912&lt;&gt;"","Kapandı",IF('Vade Sapması'!$D$3&gt;G1912,"Açık · vadesi geçti","Açık · vadesi gelmedi")))</f>
        <v/>
      </c>
      <c r="O1912" s="30" t="str">
        <f aca="false">IF(F1912="","",IF(AND(H1912="",'Vade Sapması'!$D$3&gt;G1912),'Vade Sapması'!$D$3-G1912,0))</f>
        <v/>
      </c>
      <c r="P1912" s="33" t="str">
        <f aca="false">IF(F1912="","",F1912*J1912)</f>
        <v/>
      </c>
      <c r="Q1912" s="33" t="str">
        <f aca="false">IF(F1912="","",F1912*L1912)</f>
        <v/>
      </c>
      <c r="R1912" s="33" t="str">
        <f aca="false">IF(F1912="","",IF(H1912="",F1912,0))</f>
        <v/>
      </c>
      <c r="S1912" s="32" t="str">
        <f aca="false">IF(F1912="","",IF(N(O1912)=0,"",IF(O1912&lt;=30,"1-30",IF(O1912&lt;=60,"31-60",IF(O1912&lt;=90,"61-90","90+")))))</f>
        <v/>
      </c>
      <c r="T1912" s="32" t="str">
        <f aca="false">IF(F1912="","",IF(E1912="","Diğer",E1912))</f>
        <v/>
      </c>
      <c r="U1912" s="32" t="str">
        <f aca="false">IF(OR(F1912="",C1912=""),"",IF(COUNTIF($C$2:C1912,C1912)=1,MAX($U$1:U1911)+1,""))</f>
        <v/>
      </c>
    </row>
    <row r="1913" customFormat="false" ht="15" hidden="false" customHeight="false" outlineLevel="0" collapsed="false">
      <c r="A1913" s="34"/>
      <c r="B1913" s="9"/>
      <c r="C1913" s="34"/>
      <c r="D1913" s="34"/>
      <c r="E1913" s="34"/>
      <c r="F1913" s="35"/>
      <c r="G1913" s="9"/>
      <c r="H1913" s="9"/>
      <c r="I1913" s="34"/>
      <c r="J1913" s="30" t="str">
        <f aca="false">IF(F1913="","",G1913-B1913)</f>
        <v/>
      </c>
      <c r="K1913" s="31" t="str">
        <f aca="false">IF(F1913="","",IF(H1913&lt;&gt;"",H1913,MAX('Vade Sapması'!$D$3,G1913)))</f>
        <v/>
      </c>
      <c r="L1913" s="30" t="str">
        <f aca="false">IF(F1913="","",K1913-B1913)</f>
        <v/>
      </c>
      <c r="M1913" s="30" t="str">
        <f aca="false">IF(F1913="","",L1913-J1913)</f>
        <v/>
      </c>
      <c r="N1913" s="32" t="str">
        <f aca="false">IF(F1913="","",IF(H1913&lt;&gt;"","Kapandı",IF('Vade Sapması'!$D$3&gt;G1913,"Açık · vadesi geçti","Açık · vadesi gelmedi")))</f>
        <v/>
      </c>
      <c r="O1913" s="30" t="str">
        <f aca="false">IF(F1913="","",IF(AND(H1913="",'Vade Sapması'!$D$3&gt;G1913),'Vade Sapması'!$D$3-G1913,0))</f>
        <v/>
      </c>
      <c r="P1913" s="33" t="str">
        <f aca="false">IF(F1913="","",F1913*J1913)</f>
        <v/>
      </c>
      <c r="Q1913" s="33" t="str">
        <f aca="false">IF(F1913="","",F1913*L1913)</f>
        <v/>
      </c>
      <c r="R1913" s="33" t="str">
        <f aca="false">IF(F1913="","",IF(H1913="",F1913,0))</f>
        <v/>
      </c>
      <c r="S1913" s="32" t="str">
        <f aca="false">IF(F1913="","",IF(N(O1913)=0,"",IF(O1913&lt;=30,"1-30",IF(O1913&lt;=60,"31-60",IF(O1913&lt;=90,"61-90","90+")))))</f>
        <v/>
      </c>
      <c r="T1913" s="32" t="str">
        <f aca="false">IF(F1913="","",IF(E1913="","Diğer",E1913))</f>
        <v/>
      </c>
      <c r="U1913" s="32" t="str">
        <f aca="false">IF(OR(F1913="",C1913=""),"",IF(COUNTIF($C$2:C1913,C1913)=1,MAX($U$1:U1912)+1,""))</f>
        <v/>
      </c>
    </row>
    <row r="1914" customFormat="false" ht="15" hidden="false" customHeight="false" outlineLevel="0" collapsed="false">
      <c r="A1914" s="34"/>
      <c r="B1914" s="9"/>
      <c r="C1914" s="34"/>
      <c r="D1914" s="34"/>
      <c r="E1914" s="34"/>
      <c r="F1914" s="35"/>
      <c r="G1914" s="9"/>
      <c r="H1914" s="9"/>
      <c r="I1914" s="34"/>
      <c r="J1914" s="30" t="str">
        <f aca="false">IF(F1914="","",G1914-B1914)</f>
        <v/>
      </c>
      <c r="K1914" s="31" t="str">
        <f aca="false">IF(F1914="","",IF(H1914&lt;&gt;"",H1914,MAX('Vade Sapması'!$D$3,G1914)))</f>
        <v/>
      </c>
      <c r="L1914" s="30" t="str">
        <f aca="false">IF(F1914="","",K1914-B1914)</f>
        <v/>
      </c>
      <c r="M1914" s="30" t="str">
        <f aca="false">IF(F1914="","",L1914-J1914)</f>
        <v/>
      </c>
      <c r="N1914" s="32" t="str">
        <f aca="false">IF(F1914="","",IF(H1914&lt;&gt;"","Kapandı",IF('Vade Sapması'!$D$3&gt;G1914,"Açık · vadesi geçti","Açık · vadesi gelmedi")))</f>
        <v/>
      </c>
      <c r="O1914" s="30" t="str">
        <f aca="false">IF(F1914="","",IF(AND(H1914="",'Vade Sapması'!$D$3&gt;G1914),'Vade Sapması'!$D$3-G1914,0))</f>
        <v/>
      </c>
      <c r="P1914" s="33" t="str">
        <f aca="false">IF(F1914="","",F1914*J1914)</f>
        <v/>
      </c>
      <c r="Q1914" s="33" t="str">
        <f aca="false">IF(F1914="","",F1914*L1914)</f>
        <v/>
      </c>
      <c r="R1914" s="33" t="str">
        <f aca="false">IF(F1914="","",IF(H1914="",F1914,0))</f>
        <v/>
      </c>
      <c r="S1914" s="32" t="str">
        <f aca="false">IF(F1914="","",IF(N(O1914)=0,"",IF(O1914&lt;=30,"1-30",IF(O1914&lt;=60,"31-60",IF(O1914&lt;=90,"61-90","90+")))))</f>
        <v/>
      </c>
      <c r="T1914" s="32" t="str">
        <f aca="false">IF(F1914="","",IF(E1914="","Diğer",E1914))</f>
        <v/>
      </c>
      <c r="U1914" s="32" t="str">
        <f aca="false">IF(OR(F1914="",C1914=""),"",IF(COUNTIF($C$2:C1914,C1914)=1,MAX($U$1:U1913)+1,""))</f>
        <v/>
      </c>
    </row>
    <row r="1915" customFormat="false" ht="15" hidden="false" customHeight="false" outlineLevel="0" collapsed="false">
      <c r="A1915" s="34"/>
      <c r="B1915" s="9"/>
      <c r="C1915" s="34"/>
      <c r="D1915" s="34"/>
      <c r="E1915" s="34"/>
      <c r="F1915" s="35"/>
      <c r="G1915" s="9"/>
      <c r="H1915" s="9"/>
      <c r="I1915" s="34"/>
      <c r="J1915" s="30" t="str">
        <f aca="false">IF(F1915="","",G1915-B1915)</f>
        <v/>
      </c>
      <c r="K1915" s="31" t="str">
        <f aca="false">IF(F1915="","",IF(H1915&lt;&gt;"",H1915,MAX('Vade Sapması'!$D$3,G1915)))</f>
        <v/>
      </c>
      <c r="L1915" s="30" t="str">
        <f aca="false">IF(F1915="","",K1915-B1915)</f>
        <v/>
      </c>
      <c r="M1915" s="30" t="str">
        <f aca="false">IF(F1915="","",L1915-J1915)</f>
        <v/>
      </c>
      <c r="N1915" s="32" t="str">
        <f aca="false">IF(F1915="","",IF(H1915&lt;&gt;"","Kapandı",IF('Vade Sapması'!$D$3&gt;G1915,"Açık · vadesi geçti","Açık · vadesi gelmedi")))</f>
        <v/>
      </c>
      <c r="O1915" s="30" t="str">
        <f aca="false">IF(F1915="","",IF(AND(H1915="",'Vade Sapması'!$D$3&gt;G1915),'Vade Sapması'!$D$3-G1915,0))</f>
        <v/>
      </c>
      <c r="P1915" s="33" t="str">
        <f aca="false">IF(F1915="","",F1915*J1915)</f>
        <v/>
      </c>
      <c r="Q1915" s="33" t="str">
        <f aca="false">IF(F1915="","",F1915*L1915)</f>
        <v/>
      </c>
      <c r="R1915" s="33" t="str">
        <f aca="false">IF(F1915="","",IF(H1915="",F1915,0))</f>
        <v/>
      </c>
      <c r="S1915" s="32" t="str">
        <f aca="false">IF(F1915="","",IF(N(O1915)=0,"",IF(O1915&lt;=30,"1-30",IF(O1915&lt;=60,"31-60",IF(O1915&lt;=90,"61-90","90+")))))</f>
        <v/>
      </c>
      <c r="T1915" s="32" t="str">
        <f aca="false">IF(F1915="","",IF(E1915="","Diğer",E1915))</f>
        <v/>
      </c>
      <c r="U1915" s="32" t="str">
        <f aca="false">IF(OR(F1915="",C1915=""),"",IF(COUNTIF($C$2:C1915,C1915)=1,MAX($U$1:U1914)+1,""))</f>
        <v/>
      </c>
    </row>
    <row r="1916" customFormat="false" ht="15" hidden="false" customHeight="false" outlineLevel="0" collapsed="false">
      <c r="A1916" s="34"/>
      <c r="B1916" s="9"/>
      <c r="C1916" s="34"/>
      <c r="D1916" s="34"/>
      <c r="E1916" s="34"/>
      <c r="F1916" s="35"/>
      <c r="G1916" s="9"/>
      <c r="H1916" s="9"/>
      <c r="I1916" s="34"/>
      <c r="J1916" s="30" t="str">
        <f aca="false">IF(F1916="","",G1916-B1916)</f>
        <v/>
      </c>
      <c r="K1916" s="31" t="str">
        <f aca="false">IF(F1916="","",IF(H1916&lt;&gt;"",H1916,MAX('Vade Sapması'!$D$3,G1916)))</f>
        <v/>
      </c>
      <c r="L1916" s="30" t="str">
        <f aca="false">IF(F1916="","",K1916-B1916)</f>
        <v/>
      </c>
      <c r="M1916" s="30" t="str">
        <f aca="false">IF(F1916="","",L1916-J1916)</f>
        <v/>
      </c>
      <c r="N1916" s="32" t="str">
        <f aca="false">IF(F1916="","",IF(H1916&lt;&gt;"","Kapandı",IF('Vade Sapması'!$D$3&gt;G1916,"Açık · vadesi geçti","Açık · vadesi gelmedi")))</f>
        <v/>
      </c>
      <c r="O1916" s="30" t="str">
        <f aca="false">IF(F1916="","",IF(AND(H1916="",'Vade Sapması'!$D$3&gt;G1916),'Vade Sapması'!$D$3-G1916,0))</f>
        <v/>
      </c>
      <c r="P1916" s="33" t="str">
        <f aca="false">IF(F1916="","",F1916*J1916)</f>
        <v/>
      </c>
      <c r="Q1916" s="33" t="str">
        <f aca="false">IF(F1916="","",F1916*L1916)</f>
        <v/>
      </c>
      <c r="R1916" s="33" t="str">
        <f aca="false">IF(F1916="","",IF(H1916="",F1916,0))</f>
        <v/>
      </c>
      <c r="S1916" s="32" t="str">
        <f aca="false">IF(F1916="","",IF(N(O1916)=0,"",IF(O1916&lt;=30,"1-30",IF(O1916&lt;=60,"31-60",IF(O1916&lt;=90,"61-90","90+")))))</f>
        <v/>
      </c>
      <c r="T1916" s="32" t="str">
        <f aca="false">IF(F1916="","",IF(E1916="","Diğer",E1916))</f>
        <v/>
      </c>
      <c r="U1916" s="32" t="str">
        <f aca="false">IF(OR(F1916="",C1916=""),"",IF(COUNTIF($C$2:C1916,C1916)=1,MAX($U$1:U1915)+1,""))</f>
        <v/>
      </c>
    </row>
    <row r="1917" customFormat="false" ht="15" hidden="false" customHeight="false" outlineLevel="0" collapsed="false">
      <c r="A1917" s="34"/>
      <c r="B1917" s="9"/>
      <c r="C1917" s="34"/>
      <c r="D1917" s="34"/>
      <c r="E1917" s="34"/>
      <c r="F1917" s="35"/>
      <c r="G1917" s="9"/>
      <c r="H1917" s="9"/>
      <c r="I1917" s="34"/>
      <c r="J1917" s="30" t="str">
        <f aca="false">IF(F1917="","",G1917-B1917)</f>
        <v/>
      </c>
      <c r="K1917" s="31" t="str">
        <f aca="false">IF(F1917="","",IF(H1917&lt;&gt;"",H1917,MAX('Vade Sapması'!$D$3,G1917)))</f>
        <v/>
      </c>
      <c r="L1917" s="30" t="str">
        <f aca="false">IF(F1917="","",K1917-B1917)</f>
        <v/>
      </c>
      <c r="M1917" s="30" t="str">
        <f aca="false">IF(F1917="","",L1917-J1917)</f>
        <v/>
      </c>
      <c r="N1917" s="32" t="str">
        <f aca="false">IF(F1917="","",IF(H1917&lt;&gt;"","Kapandı",IF('Vade Sapması'!$D$3&gt;G1917,"Açık · vadesi geçti","Açık · vadesi gelmedi")))</f>
        <v/>
      </c>
      <c r="O1917" s="30" t="str">
        <f aca="false">IF(F1917="","",IF(AND(H1917="",'Vade Sapması'!$D$3&gt;G1917),'Vade Sapması'!$D$3-G1917,0))</f>
        <v/>
      </c>
      <c r="P1917" s="33" t="str">
        <f aca="false">IF(F1917="","",F1917*J1917)</f>
        <v/>
      </c>
      <c r="Q1917" s="33" t="str">
        <f aca="false">IF(F1917="","",F1917*L1917)</f>
        <v/>
      </c>
      <c r="R1917" s="33" t="str">
        <f aca="false">IF(F1917="","",IF(H1917="",F1917,0))</f>
        <v/>
      </c>
      <c r="S1917" s="32" t="str">
        <f aca="false">IF(F1917="","",IF(N(O1917)=0,"",IF(O1917&lt;=30,"1-30",IF(O1917&lt;=60,"31-60",IF(O1917&lt;=90,"61-90","90+")))))</f>
        <v/>
      </c>
      <c r="T1917" s="32" t="str">
        <f aca="false">IF(F1917="","",IF(E1917="","Diğer",E1917))</f>
        <v/>
      </c>
      <c r="U1917" s="32" t="str">
        <f aca="false">IF(OR(F1917="",C1917=""),"",IF(COUNTIF($C$2:C1917,C1917)=1,MAX($U$1:U1916)+1,""))</f>
        <v/>
      </c>
    </row>
    <row r="1918" customFormat="false" ht="15" hidden="false" customHeight="false" outlineLevel="0" collapsed="false">
      <c r="A1918" s="34"/>
      <c r="B1918" s="9"/>
      <c r="C1918" s="34"/>
      <c r="D1918" s="34"/>
      <c r="E1918" s="34"/>
      <c r="F1918" s="35"/>
      <c r="G1918" s="9"/>
      <c r="H1918" s="9"/>
      <c r="I1918" s="34"/>
      <c r="J1918" s="30" t="str">
        <f aca="false">IF(F1918="","",G1918-B1918)</f>
        <v/>
      </c>
      <c r="K1918" s="31" t="str">
        <f aca="false">IF(F1918="","",IF(H1918&lt;&gt;"",H1918,MAX('Vade Sapması'!$D$3,G1918)))</f>
        <v/>
      </c>
      <c r="L1918" s="30" t="str">
        <f aca="false">IF(F1918="","",K1918-B1918)</f>
        <v/>
      </c>
      <c r="M1918" s="30" t="str">
        <f aca="false">IF(F1918="","",L1918-J1918)</f>
        <v/>
      </c>
      <c r="N1918" s="32" t="str">
        <f aca="false">IF(F1918="","",IF(H1918&lt;&gt;"","Kapandı",IF('Vade Sapması'!$D$3&gt;G1918,"Açık · vadesi geçti","Açık · vadesi gelmedi")))</f>
        <v/>
      </c>
      <c r="O1918" s="30" t="str">
        <f aca="false">IF(F1918="","",IF(AND(H1918="",'Vade Sapması'!$D$3&gt;G1918),'Vade Sapması'!$D$3-G1918,0))</f>
        <v/>
      </c>
      <c r="P1918" s="33" t="str">
        <f aca="false">IF(F1918="","",F1918*J1918)</f>
        <v/>
      </c>
      <c r="Q1918" s="33" t="str">
        <f aca="false">IF(F1918="","",F1918*L1918)</f>
        <v/>
      </c>
      <c r="R1918" s="33" t="str">
        <f aca="false">IF(F1918="","",IF(H1918="",F1918,0))</f>
        <v/>
      </c>
      <c r="S1918" s="32" t="str">
        <f aca="false">IF(F1918="","",IF(N(O1918)=0,"",IF(O1918&lt;=30,"1-30",IF(O1918&lt;=60,"31-60",IF(O1918&lt;=90,"61-90","90+")))))</f>
        <v/>
      </c>
      <c r="T1918" s="32" t="str">
        <f aca="false">IF(F1918="","",IF(E1918="","Diğer",E1918))</f>
        <v/>
      </c>
      <c r="U1918" s="32" t="str">
        <f aca="false">IF(OR(F1918="",C1918=""),"",IF(COUNTIF($C$2:C1918,C1918)=1,MAX($U$1:U1917)+1,""))</f>
        <v/>
      </c>
    </row>
    <row r="1919" customFormat="false" ht="15" hidden="false" customHeight="false" outlineLevel="0" collapsed="false">
      <c r="A1919" s="34"/>
      <c r="B1919" s="9"/>
      <c r="C1919" s="34"/>
      <c r="D1919" s="34"/>
      <c r="E1919" s="34"/>
      <c r="F1919" s="35"/>
      <c r="G1919" s="9"/>
      <c r="H1919" s="9"/>
      <c r="I1919" s="34"/>
      <c r="J1919" s="30" t="str">
        <f aca="false">IF(F1919="","",G1919-B1919)</f>
        <v/>
      </c>
      <c r="K1919" s="31" t="str">
        <f aca="false">IF(F1919="","",IF(H1919&lt;&gt;"",H1919,MAX('Vade Sapması'!$D$3,G1919)))</f>
        <v/>
      </c>
      <c r="L1919" s="30" t="str">
        <f aca="false">IF(F1919="","",K1919-B1919)</f>
        <v/>
      </c>
      <c r="M1919" s="30" t="str">
        <f aca="false">IF(F1919="","",L1919-J1919)</f>
        <v/>
      </c>
      <c r="N1919" s="32" t="str">
        <f aca="false">IF(F1919="","",IF(H1919&lt;&gt;"","Kapandı",IF('Vade Sapması'!$D$3&gt;G1919,"Açık · vadesi geçti","Açık · vadesi gelmedi")))</f>
        <v/>
      </c>
      <c r="O1919" s="30" t="str">
        <f aca="false">IF(F1919="","",IF(AND(H1919="",'Vade Sapması'!$D$3&gt;G1919),'Vade Sapması'!$D$3-G1919,0))</f>
        <v/>
      </c>
      <c r="P1919" s="33" t="str">
        <f aca="false">IF(F1919="","",F1919*J1919)</f>
        <v/>
      </c>
      <c r="Q1919" s="33" t="str">
        <f aca="false">IF(F1919="","",F1919*L1919)</f>
        <v/>
      </c>
      <c r="R1919" s="33" t="str">
        <f aca="false">IF(F1919="","",IF(H1919="",F1919,0))</f>
        <v/>
      </c>
      <c r="S1919" s="32" t="str">
        <f aca="false">IF(F1919="","",IF(N(O1919)=0,"",IF(O1919&lt;=30,"1-30",IF(O1919&lt;=60,"31-60",IF(O1919&lt;=90,"61-90","90+")))))</f>
        <v/>
      </c>
      <c r="T1919" s="32" t="str">
        <f aca="false">IF(F1919="","",IF(E1919="","Diğer",E1919))</f>
        <v/>
      </c>
      <c r="U1919" s="32" t="str">
        <f aca="false">IF(OR(F1919="",C1919=""),"",IF(COUNTIF($C$2:C1919,C1919)=1,MAX($U$1:U1918)+1,""))</f>
        <v/>
      </c>
    </row>
    <row r="1920" customFormat="false" ht="15" hidden="false" customHeight="false" outlineLevel="0" collapsed="false">
      <c r="A1920" s="34"/>
      <c r="B1920" s="9"/>
      <c r="C1920" s="34"/>
      <c r="D1920" s="34"/>
      <c r="E1920" s="34"/>
      <c r="F1920" s="35"/>
      <c r="G1920" s="9"/>
      <c r="H1920" s="9"/>
      <c r="I1920" s="34"/>
      <c r="J1920" s="30" t="str">
        <f aca="false">IF(F1920="","",G1920-B1920)</f>
        <v/>
      </c>
      <c r="K1920" s="31" t="str">
        <f aca="false">IF(F1920="","",IF(H1920&lt;&gt;"",H1920,MAX('Vade Sapması'!$D$3,G1920)))</f>
        <v/>
      </c>
      <c r="L1920" s="30" t="str">
        <f aca="false">IF(F1920="","",K1920-B1920)</f>
        <v/>
      </c>
      <c r="M1920" s="30" t="str">
        <f aca="false">IF(F1920="","",L1920-J1920)</f>
        <v/>
      </c>
      <c r="N1920" s="32" t="str">
        <f aca="false">IF(F1920="","",IF(H1920&lt;&gt;"","Kapandı",IF('Vade Sapması'!$D$3&gt;G1920,"Açık · vadesi geçti","Açık · vadesi gelmedi")))</f>
        <v/>
      </c>
      <c r="O1920" s="30" t="str">
        <f aca="false">IF(F1920="","",IF(AND(H1920="",'Vade Sapması'!$D$3&gt;G1920),'Vade Sapması'!$D$3-G1920,0))</f>
        <v/>
      </c>
      <c r="P1920" s="33" t="str">
        <f aca="false">IF(F1920="","",F1920*J1920)</f>
        <v/>
      </c>
      <c r="Q1920" s="33" t="str">
        <f aca="false">IF(F1920="","",F1920*L1920)</f>
        <v/>
      </c>
      <c r="R1920" s="33" t="str">
        <f aca="false">IF(F1920="","",IF(H1920="",F1920,0))</f>
        <v/>
      </c>
      <c r="S1920" s="32" t="str">
        <f aca="false">IF(F1920="","",IF(N(O1920)=0,"",IF(O1920&lt;=30,"1-30",IF(O1920&lt;=60,"31-60",IF(O1920&lt;=90,"61-90","90+")))))</f>
        <v/>
      </c>
      <c r="T1920" s="32" t="str">
        <f aca="false">IF(F1920="","",IF(E1920="","Diğer",E1920))</f>
        <v/>
      </c>
      <c r="U1920" s="32" t="str">
        <f aca="false">IF(OR(F1920="",C1920=""),"",IF(COUNTIF($C$2:C1920,C1920)=1,MAX($U$1:U1919)+1,""))</f>
        <v/>
      </c>
    </row>
    <row r="1921" customFormat="false" ht="15" hidden="false" customHeight="false" outlineLevel="0" collapsed="false">
      <c r="A1921" s="34"/>
      <c r="B1921" s="9"/>
      <c r="C1921" s="34"/>
      <c r="D1921" s="34"/>
      <c r="E1921" s="34"/>
      <c r="F1921" s="35"/>
      <c r="G1921" s="9"/>
      <c r="H1921" s="9"/>
      <c r="I1921" s="34"/>
      <c r="J1921" s="30" t="str">
        <f aca="false">IF(F1921="","",G1921-B1921)</f>
        <v/>
      </c>
      <c r="K1921" s="31" t="str">
        <f aca="false">IF(F1921="","",IF(H1921&lt;&gt;"",H1921,MAX('Vade Sapması'!$D$3,G1921)))</f>
        <v/>
      </c>
      <c r="L1921" s="30" t="str">
        <f aca="false">IF(F1921="","",K1921-B1921)</f>
        <v/>
      </c>
      <c r="M1921" s="30" t="str">
        <f aca="false">IF(F1921="","",L1921-J1921)</f>
        <v/>
      </c>
      <c r="N1921" s="32" t="str">
        <f aca="false">IF(F1921="","",IF(H1921&lt;&gt;"","Kapandı",IF('Vade Sapması'!$D$3&gt;G1921,"Açık · vadesi geçti","Açık · vadesi gelmedi")))</f>
        <v/>
      </c>
      <c r="O1921" s="30" t="str">
        <f aca="false">IF(F1921="","",IF(AND(H1921="",'Vade Sapması'!$D$3&gt;G1921),'Vade Sapması'!$D$3-G1921,0))</f>
        <v/>
      </c>
      <c r="P1921" s="33" t="str">
        <f aca="false">IF(F1921="","",F1921*J1921)</f>
        <v/>
      </c>
      <c r="Q1921" s="33" t="str">
        <f aca="false">IF(F1921="","",F1921*L1921)</f>
        <v/>
      </c>
      <c r="R1921" s="33" t="str">
        <f aca="false">IF(F1921="","",IF(H1921="",F1921,0))</f>
        <v/>
      </c>
      <c r="S1921" s="32" t="str">
        <f aca="false">IF(F1921="","",IF(N(O1921)=0,"",IF(O1921&lt;=30,"1-30",IF(O1921&lt;=60,"31-60",IF(O1921&lt;=90,"61-90","90+")))))</f>
        <v/>
      </c>
      <c r="T1921" s="32" t="str">
        <f aca="false">IF(F1921="","",IF(E1921="","Diğer",E1921))</f>
        <v/>
      </c>
      <c r="U1921" s="32" t="str">
        <f aca="false">IF(OR(F1921="",C1921=""),"",IF(COUNTIF($C$2:C1921,C1921)=1,MAX($U$1:U1920)+1,""))</f>
        <v/>
      </c>
    </row>
    <row r="1922" customFormat="false" ht="15" hidden="false" customHeight="false" outlineLevel="0" collapsed="false">
      <c r="A1922" s="34"/>
      <c r="B1922" s="9"/>
      <c r="C1922" s="34"/>
      <c r="D1922" s="34"/>
      <c r="E1922" s="34"/>
      <c r="F1922" s="35"/>
      <c r="G1922" s="9"/>
      <c r="H1922" s="9"/>
      <c r="I1922" s="34"/>
      <c r="J1922" s="30" t="str">
        <f aca="false">IF(F1922="","",G1922-B1922)</f>
        <v/>
      </c>
      <c r="K1922" s="31" t="str">
        <f aca="false">IF(F1922="","",IF(H1922&lt;&gt;"",H1922,MAX('Vade Sapması'!$D$3,G1922)))</f>
        <v/>
      </c>
      <c r="L1922" s="30" t="str">
        <f aca="false">IF(F1922="","",K1922-B1922)</f>
        <v/>
      </c>
      <c r="M1922" s="30" t="str">
        <f aca="false">IF(F1922="","",L1922-J1922)</f>
        <v/>
      </c>
      <c r="N1922" s="32" t="str">
        <f aca="false">IF(F1922="","",IF(H1922&lt;&gt;"","Kapandı",IF('Vade Sapması'!$D$3&gt;G1922,"Açık · vadesi geçti","Açık · vadesi gelmedi")))</f>
        <v/>
      </c>
      <c r="O1922" s="30" t="str">
        <f aca="false">IF(F1922="","",IF(AND(H1922="",'Vade Sapması'!$D$3&gt;G1922),'Vade Sapması'!$D$3-G1922,0))</f>
        <v/>
      </c>
      <c r="P1922" s="33" t="str">
        <f aca="false">IF(F1922="","",F1922*J1922)</f>
        <v/>
      </c>
      <c r="Q1922" s="33" t="str">
        <f aca="false">IF(F1922="","",F1922*L1922)</f>
        <v/>
      </c>
      <c r="R1922" s="33" t="str">
        <f aca="false">IF(F1922="","",IF(H1922="",F1922,0))</f>
        <v/>
      </c>
      <c r="S1922" s="32" t="str">
        <f aca="false">IF(F1922="","",IF(N(O1922)=0,"",IF(O1922&lt;=30,"1-30",IF(O1922&lt;=60,"31-60",IF(O1922&lt;=90,"61-90","90+")))))</f>
        <v/>
      </c>
      <c r="T1922" s="32" t="str">
        <f aca="false">IF(F1922="","",IF(E1922="","Diğer",E1922))</f>
        <v/>
      </c>
      <c r="U1922" s="32" t="str">
        <f aca="false">IF(OR(F1922="",C1922=""),"",IF(COUNTIF($C$2:C1922,C1922)=1,MAX($U$1:U1921)+1,""))</f>
        <v/>
      </c>
    </row>
    <row r="1923" customFormat="false" ht="15" hidden="false" customHeight="false" outlineLevel="0" collapsed="false">
      <c r="A1923" s="34"/>
      <c r="B1923" s="9"/>
      <c r="C1923" s="34"/>
      <c r="D1923" s="34"/>
      <c r="E1923" s="34"/>
      <c r="F1923" s="35"/>
      <c r="G1923" s="9"/>
      <c r="H1923" s="9"/>
      <c r="I1923" s="34"/>
      <c r="J1923" s="30" t="str">
        <f aca="false">IF(F1923="","",G1923-B1923)</f>
        <v/>
      </c>
      <c r="K1923" s="31" t="str">
        <f aca="false">IF(F1923="","",IF(H1923&lt;&gt;"",H1923,MAX('Vade Sapması'!$D$3,G1923)))</f>
        <v/>
      </c>
      <c r="L1923" s="30" t="str">
        <f aca="false">IF(F1923="","",K1923-B1923)</f>
        <v/>
      </c>
      <c r="M1923" s="30" t="str">
        <f aca="false">IF(F1923="","",L1923-J1923)</f>
        <v/>
      </c>
      <c r="N1923" s="32" t="str">
        <f aca="false">IF(F1923="","",IF(H1923&lt;&gt;"","Kapandı",IF('Vade Sapması'!$D$3&gt;G1923,"Açık · vadesi geçti","Açık · vadesi gelmedi")))</f>
        <v/>
      </c>
      <c r="O1923" s="30" t="str">
        <f aca="false">IF(F1923="","",IF(AND(H1923="",'Vade Sapması'!$D$3&gt;G1923),'Vade Sapması'!$D$3-G1923,0))</f>
        <v/>
      </c>
      <c r="P1923" s="33" t="str">
        <f aca="false">IF(F1923="","",F1923*J1923)</f>
        <v/>
      </c>
      <c r="Q1923" s="33" t="str">
        <f aca="false">IF(F1923="","",F1923*L1923)</f>
        <v/>
      </c>
      <c r="R1923" s="33" t="str">
        <f aca="false">IF(F1923="","",IF(H1923="",F1923,0))</f>
        <v/>
      </c>
      <c r="S1923" s="32" t="str">
        <f aca="false">IF(F1923="","",IF(N(O1923)=0,"",IF(O1923&lt;=30,"1-30",IF(O1923&lt;=60,"31-60",IF(O1923&lt;=90,"61-90","90+")))))</f>
        <v/>
      </c>
      <c r="T1923" s="32" t="str">
        <f aca="false">IF(F1923="","",IF(E1923="","Diğer",E1923))</f>
        <v/>
      </c>
      <c r="U1923" s="32" t="str">
        <f aca="false">IF(OR(F1923="",C1923=""),"",IF(COUNTIF($C$2:C1923,C1923)=1,MAX($U$1:U1922)+1,""))</f>
        <v/>
      </c>
    </row>
    <row r="1924" customFormat="false" ht="15" hidden="false" customHeight="false" outlineLevel="0" collapsed="false">
      <c r="A1924" s="34"/>
      <c r="B1924" s="9"/>
      <c r="C1924" s="34"/>
      <c r="D1924" s="34"/>
      <c r="E1924" s="34"/>
      <c r="F1924" s="35"/>
      <c r="G1924" s="9"/>
      <c r="H1924" s="9"/>
      <c r="I1924" s="34"/>
      <c r="J1924" s="30" t="str">
        <f aca="false">IF(F1924="","",G1924-B1924)</f>
        <v/>
      </c>
      <c r="K1924" s="31" t="str">
        <f aca="false">IF(F1924="","",IF(H1924&lt;&gt;"",H1924,MAX('Vade Sapması'!$D$3,G1924)))</f>
        <v/>
      </c>
      <c r="L1924" s="30" t="str">
        <f aca="false">IF(F1924="","",K1924-B1924)</f>
        <v/>
      </c>
      <c r="M1924" s="30" t="str">
        <f aca="false">IF(F1924="","",L1924-J1924)</f>
        <v/>
      </c>
      <c r="N1924" s="32" t="str">
        <f aca="false">IF(F1924="","",IF(H1924&lt;&gt;"","Kapandı",IF('Vade Sapması'!$D$3&gt;G1924,"Açık · vadesi geçti","Açık · vadesi gelmedi")))</f>
        <v/>
      </c>
      <c r="O1924" s="30" t="str">
        <f aca="false">IF(F1924="","",IF(AND(H1924="",'Vade Sapması'!$D$3&gt;G1924),'Vade Sapması'!$D$3-G1924,0))</f>
        <v/>
      </c>
      <c r="P1924" s="33" t="str">
        <f aca="false">IF(F1924="","",F1924*J1924)</f>
        <v/>
      </c>
      <c r="Q1924" s="33" t="str">
        <f aca="false">IF(F1924="","",F1924*L1924)</f>
        <v/>
      </c>
      <c r="R1924" s="33" t="str">
        <f aca="false">IF(F1924="","",IF(H1924="",F1924,0))</f>
        <v/>
      </c>
      <c r="S1924" s="32" t="str">
        <f aca="false">IF(F1924="","",IF(N(O1924)=0,"",IF(O1924&lt;=30,"1-30",IF(O1924&lt;=60,"31-60",IF(O1924&lt;=90,"61-90","90+")))))</f>
        <v/>
      </c>
      <c r="T1924" s="32" t="str">
        <f aca="false">IF(F1924="","",IF(E1924="","Diğer",E1924))</f>
        <v/>
      </c>
      <c r="U1924" s="32" t="str">
        <f aca="false">IF(OR(F1924="",C1924=""),"",IF(COUNTIF($C$2:C1924,C1924)=1,MAX($U$1:U1923)+1,""))</f>
        <v/>
      </c>
    </row>
    <row r="1925" customFormat="false" ht="15" hidden="false" customHeight="false" outlineLevel="0" collapsed="false">
      <c r="A1925" s="34"/>
      <c r="B1925" s="9"/>
      <c r="C1925" s="34"/>
      <c r="D1925" s="34"/>
      <c r="E1925" s="34"/>
      <c r="F1925" s="35"/>
      <c r="G1925" s="9"/>
      <c r="H1925" s="9"/>
      <c r="I1925" s="34"/>
      <c r="J1925" s="30" t="str">
        <f aca="false">IF(F1925="","",G1925-B1925)</f>
        <v/>
      </c>
      <c r="K1925" s="31" t="str">
        <f aca="false">IF(F1925="","",IF(H1925&lt;&gt;"",H1925,MAX('Vade Sapması'!$D$3,G1925)))</f>
        <v/>
      </c>
      <c r="L1925" s="30" t="str">
        <f aca="false">IF(F1925="","",K1925-B1925)</f>
        <v/>
      </c>
      <c r="M1925" s="30" t="str">
        <f aca="false">IF(F1925="","",L1925-J1925)</f>
        <v/>
      </c>
      <c r="N1925" s="32" t="str">
        <f aca="false">IF(F1925="","",IF(H1925&lt;&gt;"","Kapandı",IF('Vade Sapması'!$D$3&gt;G1925,"Açık · vadesi geçti","Açık · vadesi gelmedi")))</f>
        <v/>
      </c>
      <c r="O1925" s="30" t="str">
        <f aca="false">IF(F1925="","",IF(AND(H1925="",'Vade Sapması'!$D$3&gt;G1925),'Vade Sapması'!$D$3-G1925,0))</f>
        <v/>
      </c>
      <c r="P1925" s="33" t="str">
        <f aca="false">IF(F1925="","",F1925*J1925)</f>
        <v/>
      </c>
      <c r="Q1925" s="33" t="str">
        <f aca="false">IF(F1925="","",F1925*L1925)</f>
        <v/>
      </c>
      <c r="R1925" s="33" t="str">
        <f aca="false">IF(F1925="","",IF(H1925="",F1925,0))</f>
        <v/>
      </c>
      <c r="S1925" s="32" t="str">
        <f aca="false">IF(F1925="","",IF(N(O1925)=0,"",IF(O1925&lt;=30,"1-30",IF(O1925&lt;=60,"31-60",IF(O1925&lt;=90,"61-90","90+")))))</f>
        <v/>
      </c>
      <c r="T1925" s="32" t="str">
        <f aca="false">IF(F1925="","",IF(E1925="","Diğer",E1925))</f>
        <v/>
      </c>
      <c r="U1925" s="32" t="str">
        <f aca="false">IF(OR(F1925="",C1925=""),"",IF(COUNTIF($C$2:C1925,C1925)=1,MAX($U$1:U1924)+1,""))</f>
        <v/>
      </c>
    </row>
    <row r="1926" customFormat="false" ht="15" hidden="false" customHeight="false" outlineLevel="0" collapsed="false">
      <c r="A1926" s="34"/>
      <c r="B1926" s="9"/>
      <c r="C1926" s="34"/>
      <c r="D1926" s="34"/>
      <c r="E1926" s="34"/>
      <c r="F1926" s="35"/>
      <c r="G1926" s="9"/>
      <c r="H1926" s="9"/>
      <c r="I1926" s="34"/>
      <c r="J1926" s="30" t="str">
        <f aca="false">IF(F1926="","",G1926-B1926)</f>
        <v/>
      </c>
      <c r="K1926" s="31" t="str">
        <f aca="false">IF(F1926="","",IF(H1926&lt;&gt;"",H1926,MAX('Vade Sapması'!$D$3,G1926)))</f>
        <v/>
      </c>
      <c r="L1926" s="30" t="str">
        <f aca="false">IF(F1926="","",K1926-B1926)</f>
        <v/>
      </c>
      <c r="M1926" s="30" t="str">
        <f aca="false">IF(F1926="","",L1926-J1926)</f>
        <v/>
      </c>
      <c r="N1926" s="32" t="str">
        <f aca="false">IF(F1926="","",IF(H1926&lt;&gt;"","Kapandı",IF('Vade Sapması'!$D$3&gt;G1926,"Açık · vadesi geçti","Açık · vadesi gelmedi")))</f>
        <v/>
      </c>
      <c r="O1926" s="30" t="str">
        <f aca="false">IF(F1926="","",IF(AND(H1926="",'Vade Sapması'!$D$3&gt;G1926),'Vade Sapması'!$D$3-G1926,0))</f>
        <v/>
      </c>
      <c r="P1926" s="33" t="str">
        <f aca="false">IF(F1926="","",F1926*J1926)</f>
        <v/>
      </c>
      <c r="Q1926" s="33" t="str">
        <f aca="false">IF(F1926="","",F1926*L1926)</f>
        <v/>
      </c>
      <c r="R1926" s="33" t="str">
        <f aca="false">IF(F1926="","",IF(H1926="",F1926,0))</f>
        <v/>
      </c>
      <c r="S1926" s="32" t="str">
        <f aca="false">IF(F1926="","",IF(N(O1926)=0,"",IF(O1926&lt;=30,"1-30",IF(O1926&lt;=60,"31-60",IF(O1926&lt;=90,"61-90","90+")))))</f>
        <v/>
      </c>
      <c r="T1926" s="32" t="str">
        <f aca="false">IF(F1926="","",IF(E1926="","Diğer",E1926))</f>
        <v/>
      </c>
      <c r="U1926" s="32" t="str">
        <f aca="false">IF(OR(F1926="",C1926=""),"",IF(COUNTIF($C$2:C1926,C1926)=1,MAX($U$1:U1925)+1,""))</f>
        <v/>
      </c>
    </row>
    <row r="1927" customFormat="false" ht="15" hidden="false" customHeight="false" outlineLevel="0" collapsed="false">
      <c r="A1927" s="34"/>
      <c r="B1927" s="9"/>
      <c r="C1927" s="34"/>
      <c r="D1927" s="34"/>
      <c r="E1927" s="34"/>
      <c r="F1927" s="35"/>
      <c r="G1927" s="9"/>
      <c r="H1927" s="9"/>
      <c r="I1927" s="34"/>
      <c r="J1927" s="30" t="str">
        <f aca="false">IF(F1927="","",G1927-B1927)</f>
        <v/>
      </c>
      <c r="K1927" s="31" t="str">
        <f aca="false">IF(F1927="","",IF(H1927&lt;&gt;"",H1927,MAX('Vade Sapması'!$D$3,G1927)))</f>
        <v/>
      </c>
      <c r="L1927" s="30" t="str">
        <f aca="false">IF(F1927="","",K1927-B1927)</f>
        <v/>
      </c>
      <c r="M1927" s="30" t="str">
        <f aca="false">IF(F1927="","",L1927-J1927)</f>
        <v/>
      </c>
      <c r="N1927" s="32" t="str">
        <f aca="false">IF(F1927="","",IF(H1927&lt;&gt;"","Kapandı",IF('Vade Sapması'!$D$3&gt;G1927,"Açık · vadesi geçti","Açık · vadesi gelmedi")))</f>
        <v/>
      </c>
      <c r="O1927" s="30" t="str">
        <f aca="false">IF(F1927="","",IF(AND(H1927="",'Vade Sapması'!$D$3&gt;G1927),'Vade Sapması'!$D$3-G1927,0))</f>
        <v/>
      </c>
      <c r="P1927" s="33" t="str">
        <f aca="false">IF(F1927="","",F1927*J1927)</f>
        <v/>
      </c>
      <c r="Q1927" s="33" t="str">
        <f aca="false">IF(F1927="","",F1927*L1927)</f>
        <v/>
      </c>
      <c r="R1927" s="33" t="str">
        <f aca="false">IF(F1927="","",IF(H1927="",F1927,0))</f>
        <v/>
      </c>
      <c r="S1927" s="32" t="str">
        <f aca="false">IF(F1927="","",IF(N(O1927)=0,"",IF(O1927&lt;=30,"1-30",IF(O1927&lt;=60,"31-60",IF(O1927&lt;=90,"61-90","90+")))))</f>
        <v/>
      </c>
      <c r="T1927" s="32" t="str">
        <f aca="false">IF(F1927="","",IF(E1927="","Diğer",E1927))</f>
        <v/>
      </c>
      <c r="U1927" s="32" t="str">
        <f aca="false">IF(OR(F1927="",C1927=""),"",IF(COUNTIF($C$2:C1927,C1927)=1,MAX($U$1:U1926)+1,""))</f>
        <v/>
      </c>
    </row>
    <row r="1928" customFormat="false" ht="15" hidden="false" customHeight="false" outlineLevel="0" collapsed="false">
      <c r="A1928" s="34"/>
      <c r="B1928" s="9"/>
      <c r="C1928" s="34"/>
      <c r="D1928" s="34"/>
      <c r="E1928" s="34"/>
      <c r="F1928" s="35"/>
      <c r="G1928" s="9"/>
      <c r="H1928" s="9"/>
      <c r="I1928" s="34"/>
      <c r="J1928" s="30" t="str">
        <f aca="false">IF(F1928="","",G1928-B1928)</f>
        <v/>
      </c>
      <c r="K1928" s="31" t="str">
        <f aca="false">IF(F1928="","",IF(H1928&lt;&gt;"",H1928,MAX('Vade Sapması'!$D$3,G1928)))</f>
        <v/>
      </c>
      <c r="L1928" s="30" t="str">
        <f aca="false">IF(F1928="","",K1928-B1928)</f>
        <v/>
      </c>
      <c r="M1928" s="30" t="str">
        <f aca="false">IF(F1928="","",L1928-J1928)</f>
        <v/>
      </c>
      <c r="N1928" s="32" t="str">
        <f aca="false">IF(F1928="","",IF(H1928&lt;&gt;"","Kapandı",IF('Vade Sapması'!$D$3&gt;G1928,"Açık · vadesi geçti","Açık · vadesi gelmedi")))</f>
        <v/>
      </c>
      <c r="O1928" s="30" t="str">
        <f aca="false">IF(F1928="","",IF(AND(H1928="",'Vade Sapması'!$D$3&gt;G1928),'Vade Sapması'!$D$3-G1928,0))</f>
        <v/>
      </c>
      <c r="P1928" s="33" t="str">
        <f aca="false">IF(F1928="","",F1928*J1928)</f>
        <v/>
      </c>
      <c r="Q1928" s="33" t="str">
        <f aca="false">IF(F1928="","",F1928*L1928)</f>
        <v/>
      </c>
      <c r="R1928" s="33" t="str">
        <f aca="false">IF(F1928="","",IF(H1928="",F1928,0))</f>
        <v/>
      </c>
      <c r="S1928" s="32" t="str">
        <f aca="false">IF(F1928="","",IF(N(O1928)=0,"",IF(O1928&lt;=30,"1-30",IF(O1928&lt;=60,"31-60",IF(O1928&lt;=90,"61-90","90+")))))</f>
        <v/>
      </c>
      <c r="T1928" s="32" t="str">
        <f aca="false">IF(F1928="","",IF(E1928="","Diğer",E1928))</f>
        <v/>
      </c>
      <c r="U1928" s="32" t="str">
        <f aca="false">IF(OR(F1928="",C1928=""),"",IF(COUNTIF($C$2:C1928,C1928)=1,MAX($U$1:U1927)+1,""))</f>
        <v/>
      </c>
    </row>
    <row r="1929" customFormat="false" ht="15" hidden="false" customHeight="false" outlineLevel="0" collapsed="false">
      <c r="A1929" s="34"/>
      <c r="B1929" s="9"/>
      <c r="C1929" s="34"/>
      <c r="D1929" s="34"/>
      <c r="E1929" s="34"/>
      <c r="F1929" s="35"/>
      <c r="G1929" s="9"/>
      <c r="H1929" s="9"/>
      <c r="I1929" s="34"/>
      <c r="J1929" s="30" t="str">
        <f aca="false">IF(F1929="","",G1929-B1929)</f>
        <v/>
      </c>
      <c r="K1929" s="31" t="str">
        <f aca="false">IF(F1929="","",IF(H1929&lt;&gt;"",H1929,MAX('Vade Sapması'!$D$3,G1929)))</f>
        <v/>
      </c>
      <c r="L1929" s="30" t="str">
        <f aca="false">IF(F1929="","",K1929-B1929)</f>
        <v/>
      </c>
      <c r="M1929" s="30" t="str">
        <f aca="false">IF(F1929="","",L1929-J1929)</f>
        <v/>
      </c>
      <c r="N1929" s="32" t="str">
        <f aca="false">IF(F1929="","",IF(H1929&lt;&gt;"","Kapandı",IF('Vade Sapması'!$D$3&gt;G1929,"Açık · vadesi geçti","Açık · vadesi gelmedi")))</f>
        <v/>
      </c>
      <c r="O1929" s="30" t="str">
        <f aca="false">IF(F1929="","",IF(AND(H1929="",'Vade Sapması'!$D$3&gt;G1929),'Vade Sapması'!$D$3-G1929,0))</f>
        <v/>
      </c>
      <c r="P1929" s="33" t="str">
        <f aca="false">IF(F1929="","",F1929*J1929)</f>
        <v/>
      </c>
      <c r="Q1929" s="33" t="str">
        <f aca="false">IF(F1929="","",F1929*L1929)</f>
        <v/>
      </c>
      <c r="R1929" s="33" t="str">
        <f aca="false">IF(F1929="","",IF(H1929="",F1929,0))</f>
        <v/>
      </c>
      <c r="S1929" s="32" t="str">
        <f aca="false">IF(F1929="","",IF(N(O1929)=0,"",IF(O1929&lt;=30,"1-30",IF(O1929&lt;=60,"31-60",IF(O1929&lt;=90,"61-90","90+")))))</f>
        <v/>
      </c>
      <c r="T1929" s="32" t="str">
        <f aca="false">IF(F1929="","",IF(E1929="","Diğer",E1929))</f>
        <v/>
      </c>
      <c r="U1929" s="32" t="str">
        <f aca="false">IF(OR(F1929="",C1929=""),"",IF(COUNTIF($C$2:C1929,C1929)=1,MAX($U$1:U1928)+1,""))</f>
        <v/>
      </c>
    </row>
    <row r="1930" customFormat="false" ht="15" hidden="false" customHeight="false" outlineLevel="0" collapsed="false">
      <c r="A1930" s="34"/>
      <c r="B1930" s="9"/>
      <c r="C1930" s="34"/>
      <c r="D1930" s="34"/>
      <c r="E1930" s="34"/>
      <c r="F1930" s="35"/>
      <c r="G1930" s="9"/>
      <c r="H1930" s="9"/>
      <c r="I1930" s="34"/>
      <c r="J1930" s="30" t="str">
        <f aca="false">IF(F1930="","",G1930-B1930)</f>
        <v/>
      </c>
      <c r="K1930" s="31" t="str">
        <f aca="false">IF(F1930="","",IF(H1930&lt;&gt;"",H1930,MAX('Vade Sapması'!$D$3,G1930)))</f>
        <v/>
      </c>
      <c r="L1930" s="30" t="str">
        <f aca="false">IF(F1930="","",K1930-B1930)</f>
        <v/>
      </c>
      <c r="M1930" s="30" t="str">
        <f aca="false">IF(F1930="","",L1930-J1930)</f>
        <v/>
      </c>
      <c r="N1930" s="32" t="str">
        <f aca="false">IF(F1930="","",IF(H1930&lt;&gt;"","Kapandı",IF('Vade Sapması'!$D$3&gt;G1930,"Açık · vadesi geçti","Açık · vadesi gelmedi")))</f>
        <v/>
      </c>
      <c r="O1930" s="30" t="str">
        <f aca="false">IF(F1930="","",IF(AND(H1930="",'Vade Sapması'!$D$3&gt;G1930),'Vade Sapması'!$D$3-G1930,0))</f>
        <v/>
      </c>
      <c r="P1930" s="33" t="str">
        <f aca="false">IF(F1930="","",F1930*J1930)</f>
        <v/>
      </c>
      <c r="Q1930" s="33" t="str">
        <f aca="false">IF(F1930="","",F1930*L1930)</f>
        <v/>
      </c>
      <c r="R1930" s="33" t="str">
        <f aca="false">IF(F1930="","",IF(H1930="",F1930,0))</f>
        <v/>
      </c>
      <c r="S1930" s="32" t="str">
        <f aca="false">IF(F1930="","",IF(N(O1930)=0,"",IF(O1930&lt;=30,"1-30",IF(O1930&lt;=60,"31-60",IF(O1930&lt;=90,"61-90","90+")))))</f>
        <v/>
      </c>
      <c r="T1930" s="32" t="str">
        <f aca="false">IF(F1930="","",IF(E1930="","Diğer",E1930))</f>
        <v/>
      </c>
      <c r="U1930" s="32" t="str">
        <f aca="false">IF(OR(F1930="",C1930=""),"",IF(COUNTIF($C$2:C1930,C1930)=1,MAX($U$1:U1929)+1,""))</f>
        <v/>
      </c>
    </row>
    <row r="1931" customFormat="false" ht="15" hidden="false" customHeight="false" outlineLevel="0" collapsed="false">
      <c r="A1931" s="34"/>
      <c r="B1931" s="9"/>
      <c r="C1931" s="34"/>
      <c r="D1931" s="34"/>
      <c r="E1931" s="34"/>
      <c r="F1931" s="35"/>
      <c r="G1931" s="9"/>
      <c r="H1931" s="9"/>
      <c r="I1931" s="34"/>
      <c r="J1931" s="30" t="str">
        <f aca="false">IF(F1931="","",G1931-B1931)</f>
        <v/>
      </c>
      <c r="K1931" s="31" t="str">
        <f aca="false">IF(F1931="","",IF(H1931&lt;&gt;"",H1931,MAX('Vade Sapması'!$D$3,G1931)))</f>
        <v/>
      </c>
      <c r="L1931" s="30" t="str">
        <f aca="false">IF(F1931="","",K1931-B1931)</f>
        <v/>
      </c>
      <c r="M1931" s="30" t="str">
        <f aca="false">IF(F1931="","",L1931-J1931)</f>
        <v/>
      </c>
      <c r="N1931" s="32" t="str">
        <f aca="false">IF(F1931="","",IF(H1931&lt;&gt;"","Kapandı",IF('Vade Sapması'!$D$3&gt;G1931,"Açık · vadesi geçti","Açık · vadesi gelmedi")))</f>
        <v/>
      </c>
      <c r="O1931" s="30" t="str">
        <f aca="false">IF(F1931="","",IF(AND(H1931="",'Vade Sapması'!$D$3&gt;G1931),'Vade Sapması'!$D$3-G1931,0))</f>
        <v/>
      </c>
      <c r="P1931" s="33" t="str">
        <f aca="false">IF(F1931="","",F1931*J1931)</f>
        <v/>
      </c>
      <c r="Q1931" s="33" t="str">
        <f aca="false">IF(F1931="","",F1931*L1931)</f>
        <v/>
      </c>
      <c r="R1931" s="33" t="str">
        <f aca="false">IF(F1931="","",IF(H1931="",F1931,0))</f>
        <v/>
      </c>
      <c r="S1931" s="32" t="str">
        <f aca="false">IF(F1931="","",IF(N(O1931)=0,"",IF(O1931&lt;=30,"1-30",IF(O1931&lt;=60,"31-60",IF(O1931&lt;=90,"61-90","90+")))))</f>
        <v/>
      </c>
      <c r="T1931" s="32" t="str">
        <f aca="false">IF(F1931="","",IF(E1931="","Diğer",E1931))</f>
        <v/>
      </c>
      <c r="U1931" s="32" t="str">
        <f aca="false">IF(OR(F1931="",C1931=""),"",IF(COUNTIF($C$2:C1931,C1931)=1,MAX($U$1:U1930)+1,""))</f>
        <v/>
      </c>
    </row>
    <row r="1932" customFormat="false" ht="15" hidden="false" customHeight="false" outlineLevel="0" collapsed="false">
      <c r="A1932" s="34"/>
      <c r="B1932" s="9"/>
      <c r="C1932" s="34"/>
      <c r="D1932" s="34"/>
      <c r="E1932" s="34"/>
      <c r="F1932" s="35"/>
      <c r="G1932" s="9"/>
      <c r="H1932" s="9"/>
      <c r="I1932" s="34"/>
      <c r="J1932" s="30" t="str">
        <f aca="false">IF(F1932="","",G1932-B1932)</f>
        <v/>
      </c>
      <c r="K1932" s="31" t="str">
        <f aca="false">IF(F1932="","",IF(H1932&lt;&gt;"",H1932,MAX('Vade Sapması'!$D$3,G1932)))</f>
        <v/>
      </c>
      <c r="L1932" s="30" t="str">
        <f aca="false">IF(F1932="","",K1932-B1932)</f>
        <v/>
      </c>
      <c r="M1932" s="30" t="str">
        <f aca="false">IF(F1932="","",L1932-J1932)</f>
        <v/>
      </c>
      <c r="N1932" s="32" t="str">
        <f aca="false">IF(F1932="","",IF(H1932&lt;&gt;"","Kapandı",IF('Vade Sapması'!$D$3&gt;G1932,"Açık · vadesi geçti","Açık · vadesi gelmedi")))</f>
        <v/>
      </c>
      <c r="O1932" s="30" t="str">
        <f aca="false">IF(F1932="","",IF(AND(H1932="",'Vade Sapması'!$D$3&gt;G1932),'Vade Sapması'!$D$3-G1932,0))</f>
        <v/>
      </c>
      <c r="P1932" s="33" t="str">
        <f aca="false">IF(F1932="","",F1932*J1932)</f>
        <v/>
      </c>
      <c r="Q1932" s="33" t="str">
        <f aca="false">IF(F1932="","",F1932*L1932)</f>
        <v/>
      </c>
      <c r="R1932" s="33" t="str">
        <f aca="false">IF(F1932="","",IF(H1932="",F1932,0))</f>
        <v/>
      </c>
      <c r="S1932" s="32" t="str">
        <f aca="false">IF(F1932="","",IF(N(O1932)=0,"",IF(O1932&lt;=30,"1-30",IF(O1932&lt;=60,"31-60",IF(O1932&lt;=90,"61-90","90+")))))</f>
        <v/>
      </c>
      <c r="T1932" s="32" t="str">
        <f aca="false">IF(F1932="","",IF(E1932="","Diğer",E1932))</f>
        <v/>
      </c>
      <c r="U1932" s="32" t="str">
        <f aca="false">IF(OR(F1932="",C1932=""),"",IF(COUNTIF($C$2:C1932,C1932)=1,MAX($U$1:U1931)+1,""))</f>
        <v/>
      </c>
    </row>
    <row r="1933" customFormat="false" ht="15" hidden="false" customHeight="false" outlineLevel="0" collapsed="false">
      <c r="A1933" s="34"/>
      <c r="B1933" s="9"/>
      <c r="C1933" s="34"/>
      <c r="D1933" s="34"/>
      <c r="E1933" s="34"/>
      <c r="F1933" s="35"/>
      <c r="G1933" s="9"/>
      <c r="H1933" s="9"/>
      <c r="I1933" s="34"/>
      <c r="J1933" s="30" t="str">
        <f aca="false">IF(F1933="","",G1933-B1933)</f>
        <v/>
      </c>
      <c r="K1933" s="31" t="str">
        <f aca="false">IF(F1933="","",IF(H1933&lt;&gt;"",H1933,MAX('Vade Sapması'!$D$3,G1933)))</f>
        <v/>
      </c>
      <c r="L1933" s="30" t="str">
        <f aca="false">IF(F1933="","",K1933-B1933)</f>
        <v/>
      </c>
      <c r="M1933" s="30" t="str">
        <f aca="false">IF(F1933="","",L1933-J1933)</f>
        <v/>
      </c>
      <c r="N1933" s="32" t="str">
        <f aca="false">IF(F1933="","",IF(H1933&lt;&gt;"","Kapandı",IF('Vade Sapması'!$D$3&gt;G1933,"Açık · vadesi geçti","Açık · vadesi gelmedi")))</f>
        <v/>
      </c>
      <c r="O1933" s="30" t="str">
        <f aca="false">IF(F1933="","",IF(AND(H1933="",'Vade Sapması'!$D$3&gt;G1933),'Vade Sapması'!$D$3-G1933,0))</f>
        <v/>
      </c>
      <c r="P1933" s="33" t="str">
        <f aca="false">IF(F1933="","",F1933*J1933)</f>
        <v/>
      </c>
      <c r="Q1933" s="33" t="str">
        <f aca="false">IF(F1933="","",F1933*L1933)</f>
        <v/>
      </c>
      <c r="R1933" s="33" t="str">
        <f aca="false">IF(F1933="","",IF(H1933="",F1933,0))</f>
        <v/>
      </c>
      <c r="S1933" s="32" t="str">
        <f aca="false">IF(F1933="","",IF(N(O1933)=0,"",IF(O1933&lt;=30,"1-30",IF(O1933&lt;=60,"31-60",IF(O1933&lt;=90,"61-90","90+")))))</f>
        <v/>
      </c>
      <c r="T1933" s="32" t="str">
        <f aca="false">IF(F1933="","",IF(E1933="","Diğer",E1933))</f>
        <v/>
      </c>
      <c r="U1933" s="32" t="str">
        <f aca="false">IF(OR(F1933="",C1933=""),"",IF(COUNTIF($C$2:C1933,C1933)=1,MAX($U$1:U1932)+1,""))</f>
        <v/>
      </c>
    </row>
    <row r="1934" customFormat="false" ht="15" hidden="false" customHeight="false" outlineLevel="0" collapsed="false">
      <c r="A1934" s="34"/>
      <c r="B1934" s="9"/>
      <c r="C1934" s="34"/>
      <c r="D1934" s="34"/>
      <c r="E1934" s="34"/>
      <c r="F1934" s="35"/>
      <c r="G1934" s="9"/>
      <c r="H1934" s="9"/>
      <c r="I1934" s="34"/>
      <c r="J1934" s="30" t="str">
        <f aca="false">IF(F1934="","",G1934-B1934)</f>
        <v/>
      </c>
      <c r="K1934" s="31" t="str">
        <f aca="false">IF(F1934="","",IF(H1934&lt;&gt;"",H1934,MAX('Vade Sapması'!$D$3,G1934)))</f>
        <v/>
      </c>
      <c r="L1934" s="30" t="str">
        <f aca="false">IF(F1934="","",K1934-B1934)</f>
        <v/>
      </c>
      <c r="M1934" s="30" t="str">
        <f aca="false">IF(F1934="","",L1934-J1934)</f>
        <v/>
      </c>
      <c r="N1934" s="32" t="str">
        <f aca="false">IF(F1934="","",IF(H1934&lt;&gt;"","Kapandı",IF('Vade Sapması'!$D$3&gt;G1934,"Açık · vadesi geçti","Açık · vadesi gelmedi")))</f>
        <v/>
      </c>
      <c r="O1934" s="30" t="str">
        <f aca="false">IF(F1934="","",IF(AND(H1934="",'Vade Sapması'!$D$3&gt;G1934),'Vade Sapması'!$D$3-G1934,0))</f>
        <v/>
      </c>
      <c r="P1934" s="33" t="str">
        <f aca="false">IF(F1934="","",F1934*J1934)</f>
        <v/>
      </c>
      <c r="Q1934" s="33" t="str">
        <f aca="false">IF(F1934="","",F1934*L1934)</f>
        <v/>
      </c>
      <c r="R1934" s="33" t="str">
        <f aca="false">IF(F1934="","",IF(H1934="",F1934,0))</f>
        <v/>
      </c>
      <c r="S1934" s="32" t="str">
        <f aca="false">IF(F1934="","",IF(N(O1934)=0,"",IF(O1934&lt;=30,"1-30",IF(O1934&lt;=60,"31-60",IF(O1934&lt;=90,"61-90","90+")))))</f>
        <v/>
      </c>
      <c r="T1934" s="32" t="str">
        <f aca="false">IF(F1934="","",IF(E1934="","Diğer",E1934))</f>
        <v/>
      </c>
      <c r="U1934" s="32" t="str">
        <f aca="false">IF(OR(F1934="",C1934=""),"",IF(COUNTIF($C$2:C1934,C1934)=1,MAX($U$1:U1933)+1,""))</f>
        <v/>
      </c>
    </row>
    <row r="1935" customFormat="false" ht="15" hidden="false" customHeight="false" outlineLevel="0" collapsed="false">
      <c r="A1935" s="34"/>
      <c r="B1935" s="9"/>
      <c r="C1935" s="34"/>
      <c r="D1935" s="34"/>
      <c r="E1935" s="34"/>
      <c r="F1935" s="35"/>
      <c r="G1935" s="9"/>
      <c r="H1935" s="9"/>
      <c r="I1935" s="34"/>
      <c r="J1935" s="30" t="str">
        <f aca="false">IF(F1935="","",G1935-B1935)</f>
        <v/>
      </c>
      <c r="K1935" s="31" t="str">
        <f aca="false">IF(F1935="","",IF(H1935&lt;&gt;"",H1935,MAX('Vade Sapması'!$D$3,G1935)))</f>
        <v/>
      </c>
      <c r="L1935" s="30" t="str">
        <f aca="false">IF(F1935="","",K1935-B1935)</f>
        <v/>
      </c>
      <c r="M1935" s="30" t="str">
        <f aca="false">IF(F1935="","",L1935-J1935)</f>
        <v/>
      </c>
      <c r="N1935" s="32" t="str">
        <f aca="false">IF(F1935="","",IF(H1935&lt;&gt;"","Kapandı",IF('Vade Sapması'!$D$3&gt;G1935,"Açık · vadesi geçti","Açık · vadesi gelmedi")))</f>
        <v/>
      </c>
      <c r="O1935" s="30" t="str">
        <f aca="false">IF(F1935="","",IF(AND(H1935="",'Vade Sapması'!$D$3&gt;G1935),'Vade Sapması'!$D$3-G1935,0))</f>
        <v/>
      </c>
      <c r="P1935" s="33" t="str">
        <f aca="false">IF(F1935="","",F1935*J1935)</f>
        <v/>
      </c>
      <c r="Q1935" s="33" t="str">
        <f aca="false">IF(F1935="","",F1935*L1935)</f>
        <v/>
      </c>
      <c r="R1935" s="33" t="str">
        <f aca="false">IF(F1935="","",IF(H1935="",F1935,0))</f>
        <v/>
      </c>
      <c r="S1935" s="32" t="str">
        <f aca="false">IF(F1935="","",IF(N(O1935)=0,"",IF(O1935&lt;=30,"1-30",IF(O1935&lt;=60,"31-60",IF(O1935&lt;=90,"61-90","90+")))))</f>
        <v/>
      </c>
      <c r="T1935" s="32" t="str">
        <f aca="false">IF(F1935="","",IF(E1935="","Diğer",E1935))</f>
        <v/>
      </c>
      <c r="U1935" s="32" t="str">
        <f aca="false">IF(OR(F1935="",C1935=""),"",IF(COUNTIF($C$2:C1935,C1935)=1,MAX($U$1:U1934)+1,""))</f>
        <v/>
      </c>
    </row>
    <row r="1936" customFormat="false" ht="15" hidden="false" customHeight="false" outlineLevel="0" collapsed="false">
      <c r="A1936" s="34"/>
      <c r="B1936" s="9"/>
      <c r="C1936" s="34"/>
      <c r="D1936" s="34"/>
      <c r="E1936" s="34"/>
      <c r="F1936" s="35"/>
      <c r="G1936" s="9"/>
      <c r="H1936" s="9"/>
      <c r="I1936" s="34"/>
      <c r="J1936" s="30" t="str">
        <f aca="false">IF(F1936="","",G1936-B1936)</f>
        <v/>
      </c>
      <c r="K1936" s="31" t="str">
        <f aca="false">IF(F1936="","",IF(H1936&lt;&gt;"",H1936,MAX('Vade Sapması'!$D$3,G1936)))</f>
        <v/>
      </c>
      <c r="L1936" s="30" t="str">
        <f aca="false">IF(F1936="","",K1936-B1936)</f>
        <v/>
      </c>
      <c r="M1936" s="30" t="str">
        <f aca="false">IF(F1936="","",L1936-J1936)</f>
        <v/>
      </c>
      <c r="N1936" s="32" t="str">
        <f aca="false">IF(F1936="","",IF(H1936&lt;&gt;"","Kapandı",IF('Vade Sapması'!$D$3&gt;G1936,"Açık · vadesi geçti","Açık · vadesi gelmedi")))</f>
        <v/>
      </c>
      <c r="O1936" s="30" t="str">
        <f aca="false">IF(F1936="","",IF(AND(H1936="",'Vade Sapması'!$D$3&gt;G1936),'Vade Sapması'!$D$3-G1936,0))</f>
        <v/>
      </c>
      <c r="P1936" s="33" t="str">
        <f aca="false">IF(F1936="","",F1936*J1936)</f>
        <v/>
      </c>
      <c r="Q1936" s="33" t="str">
        <f aca="false">IF(F1936="","",F1936*L1936)</f>
        <v/>
      </c>
      <c r="R1936" s="33" t="str">
        <f aca="false">IF(F1936="","",IF(H1936="",F1936,0))</f>
        <v/>
      </c>
      <c r="S1936" s="32" t="str">
        <f aca="false">IF(F1936="","",IF(N(O1936)=0,"",IF(O1936&lt;=30,"1-30",IF(O1936&lt;=60,"31-60",IF(O1936&lt;=90,"61-90","90+")))))</f>
        <v/>
      </c>
      <c r="T1936" s="32" t="str">
        <f aca="false">IF(F1936="","",IF(E1936="","Diğer",E1936))</f>
        <v/>
      </c>
      <c r="U1936" s="32" t="str">
        <f aca="false">IF(OR(F1936="",C1936=""),"",IF(COUNTIF($C$2:C1936,C1936)=1,MAX($U$1:U1935)+1,""))</f>
        <v/>
      </c>
    </row>
    <row r="1937" customFormat="false" ht="15" hidden="false" customHeight="false" outlineLevel="0" collapsed="false">
      <c r="A1937" s="34"/>
      <c r="B1937" s="9"/>
      <c r="C1937" s="34"/>
      <c r="D1937" s="34"/>
      <c r="E1937" s="34"/>
      <c r="F1937" s="35"/>
      <c r="G1937" s="9"/>
      <c r="H1937" s="9"/>
      <c r="I1937" s="34"/>
      <c r="J1937" s="30" t="str">
        <f aca="false">IF(F1937="","",G1937-B1937)</f>
        <v/>
      </c>
      <c r="K1937" s="31" t="str">
        <f aca="false">IF(F1937="","",IF(H1937&lt;&gt;"",H1937,MAX('Vade Sapması'!$D$3,G1937)))</f>
        <v/>
      </c>
      <c r="L1937" s="30" t="str">
        <f aca="false">IF(F1937="","",K1937-B1937)</f>
        <v/>
      </c>
      <c r="M1937" s="30" t="str">
        <f aca="false">IF(F1937="","",L1937-J1937)</f>
        <v/>
      </c>
      <c r="N1937" s="32" t="str">
        <f aca="false">IF(F1937="","",IF(H1937&lt;&gt;"","Kapandı",IF('Vade Sapması'!$D$3&gt;G1937,"Açık · vadesi geçti","Açık · vadesi gelmedi")))</f>
        <v/>
      </c>
      <c r="O1937" s="30" t="str">
        <f aca="false">IF(F1937="","",IF(AND(H1937="",'Vade Sapması'!$D$3&gt;G1937),'Vade Sapması'!$D$3-G1937,0))</f>
        <v/>
      </c>
      <c r="P1937" s="33" t="str">
        <f aca="false">IF(F1937="","",F1937*J1937)</f>
        <v/>
      </c>
      <c r="Q1937" s="33" t="str">
        <f aca="false">IF(F1937="","",F1937*L1937)</f>
        <v/>
      </c>
      <c r="R1937" s="33" t="str">
        <f aca="false">IF(F1937="","",IF(H1937="",F1937,0))</f>
        <v/>
      </c>
      <c r="S1937" s="32" t="str">
        <f aca="false">IF(F1937="","",IF(N(O1937)=0,"",IF(O1937&lt;=30,"1-30",IF(O1937&lt;=60,"31-60",IF(O1937&lt;=90,"61-90","90+")))))</f>
        <v/>
      </c>
      <c r="T1937" s="32" t="str">
        <f aca="false">IF(F1937="","",IF(E1937="","Diğer",E1937))</f>
        <v/>
      </c>
      <c r="U1937" s="32" t="str">
        <f aca="false">IF(OR(F1937="",C1937=""),"",IF(COUNTIF($C$2:C1937,C1937)=1,MAX($U$1:U1936)+1,""))</f>
        <v/>
      </c>
    </row>
    <row r="1938" customFormat="false" ht="15" hidden="false" customHeight="false" outlineLevel="0" collapsed="false">
      <c r="A1938" s="34"/>
      <c r="B1938" s="9"/>
      <c r="C1938" s="34"/>
      <c r="D1938" s="34"/>
      <c r="E1938" s="34"/>
      <c r="F1938" s="35"/>
      <c r="G1938" s="9"/>
      <c r="H1938" s="9"/>
      <c r="I1938" s="34"/>
      <c r="J1938" s="30" t="str">
        <f aca="false">IF(F1938="","",G1938-B1938)</f>
        <v/>
      </c>
      <c r="K1938" s="31" t="str">
        <f aca="false">IF(F1938="","",IF(H1938&lt;&gt;"",H1938,MAX('Vade Sapması'!$D$3,G1938)))</f>
        <v/>
      </c>
      <c r="L1938" s="30" t="str">
        <f aca="false">IF(F1938="","",K1938-B1938)</f>
        <v/>
      </c>
      <c r="M1938" s="30" t="str">
        <f aca="false">IF(F1938="","",L1938-J1938)</f>
        <v/>
      </c>
      <c r="N1938" s="32" t="str">
        <f aca="false">IF(F1938="","",IF(H1938&lt;&gt;"","Kapandı",IF('Vade Sapması'!$D$3&gt;G1938,"Açık · vadesi geçti","Açık · vadesi gelmedi")))</f>
        <v/>
      </c>
      <c r="O1938" s="30" t="str">
        <f aca="false">IF(F1938="","",IF(AND(H1938="",'Vade Sapması'!$D$3&gt;G1938),'Vade Sapması'!$D$3-G1938,0))</f>
        <v/>
      </c>
      <c r="P1938" s="33" t="str">
        <f aca="false">IF(F1938="","",F1938*J1938)</f>
        <v/>
      </c>
      <c r="Q1938" s="33" t="str">
        <f aca="false">IF(F1938="","",F1938*L1938)</f>
        <v/>
      </c>
      <c r="R1938" s="33" t="str">
        <f aca="false">IF(F1938="","",IF(H1938="",F1938,0))</f>
        <v/>
      </c>
      <c r="S1938" s="32" t="str">
        <f aca="false">IF(F1938="","",IF(N(O1938)=0,"",IF(O1938&lt;=30,"1-30",IF(O1938&lt;=60,"31-60",IF(O1938&lt;=90,"61-90","90+")))))</f>
        <v/>
      </c>
      <c r="T1938" s="32" t="str">
        <f aca="false">IF(F1938="","",IF(E1938="","Diğer",E1938))</f>
        <v/>
      </c>
      <c r="U1938" s="32" t="str">
        <f aca="false">IF(OR(F1938="",C1938=""),"",IF(COUNTIF($C$2:C1938,C1938)=1,MAX($U$1:U1937)+1,""))</f>
        <v/>
      </c>
    </row>
    <row r="1939" customFormat="false" ht="15" hidden="false" customHeight="false" outlineLevel="0" collapsed="false">
      <c r="A1939" s="34"/>
      <c r="B1939" s="9"/>
      <c r="C1939" s="34"/>
      <c r="D1939" s="34"/>
      <c r="E1939" s="34"/>
      <c r="F1939" s="35"/>
      <c r="G1939" s="9"/>
      <c r="H1939" s="9"/>
      <c r="I1939" s="34"/>
      <c r="J1939" s="30" t="str">
        <f aca="false">IF(F1939="","",G1939-B1939)</f>
        <v/>
      </c>
      <c r="K1939" s="31" t="str">
        <f aca="false">IF(F1939="","",IF(H1939&lt;&gt;"",H1939,MAX('Vade Sapması'!$D$3,G1939)))</f>
        <v/>
      </c>
      <c r="L1939" s="30" t="str">
        <f aca="false">IF(F1939="","",K1939-B1939)</f>
        <v/>
      </c>
      <c r="M1939" s="30" t="str">
        <f aca="false">IF(F1939="","",L1939-J1939)</f>
        <v/>
      </c>
      <c r="N1939" s="32" t="str">
        <f aca="false">IF(F1939="","",IF(H1939&lt;&gt;"","Kapandı",IF('Vade Sapması'!$D$3&gt;G1939,"Açık · vadesi geçti","Açık · vadesi gelmedi")))</f>
        <v/>
      </c>
      <c r="O1939" s="30" t="str">
        <f aca="false">IF(F1939="","",IF(AND(H1939="",'Vade Sapması'!$D$3&gt;G1939),'Vade Sapması'!$D$3-G1939,0))</f>
        <v/>
      </c>
      <c r="P1939" s="33" t="str">
        <f aca="false">IF(F1939="","",F1939*J1939)</f>
        <v/>
      </c>
      <c r="Q1939" s="33" t="str">
        <f aca="false">IF(F1939="","",F1939*L1939)</f>
        <v/>
      </c>
      <c r="R1939" s="33" t="str">
        <f aca="false">IF(F1939="","",IF(H1939="",F1939,0))</f>
        <v/>
      </c>
      <c r="S1939" s="32" t="str">
        <f aca="false">IF(F1939="","",IF(N(O1939)=0,"",IF(O1939&lt;=30,"1-30",IF(O1939&lt;=60,"31-60",IF(O1939&lt;=90,"61-90","90+")))))</f>
        <v/>
      </c>
      <c r="T1939" s="32" t="str">
        <f aca="false">IF(F1939="","",IF(E1939="","Diğer",E1939))</f>
        <v/>
      </c>
      <c r="U1939" s="32" t="str">
        <f aca="false">IF(OR(F1939="",C1939=""),"",IF(COUNTIF($C$2:C1939,C1939)=1,MAX($U$1:U1938)+1,""))</f>
        <v/>
      </c>
    </row>
    <row r="1940" customFormat="false" ht="15" hidden="false" customHeight="false" outlineLevel="0" collapsed="false">
      <c r="A1940" s="34"/>
      <c r="B1940" s="9"/>
      <c r="C1940" s="34"/>
      <c r="D1940" s="34"/>
      <c r="E1940" s="34"/>
      <c r="F1940" s="35"/>
      <c r="G1940" s="9"/>
      <c r="H1940" s="9"/>
      <c r="I1940" s="34"/>
      <c r="J1940" s="30" t="str">
        <f aca="false">IF(F1940="","",G1940-B1940)</f>
        <v/>
      </c>
      <c r="K1940" s="31" t="str">
        <f aca="false">IF(F1940="","",IF(H1940&lt;&gt;"",H1940,MAX('Vade Sapması'!$D$3,G1940)))</f>
        <v/>
      </c>
      <c r="L1940" s="30" t="str">
        <f aca="false">IF(F1940="","",K1940-B1940)</f>
        <v/>
      </c>
      <c r="M1940" s="30" t="str">
        <f aca="false">IF(F1940="","",L1940-J1940)</f>
        <v/>
      </c>
      <c r="N1940" s="32" t="str">
        <f aca="false">IF(F1940="","",IF(H1940&lt;&gt;"","Kapandı",IF('Vade Sapması'!$D$3&gt;G1940,"Açık · vadesi geçti","Açık · vadesi gelmedi")))</f>
        <v/>
      </c>
      <c r="O1940" s="30" t="str">
        <f aca="false">IF(F1940="","",IF(AND(H1940="",'Vade Sapması'!$D$3&gt;G1940),'Vade Sapması'!$D$3-G1940,0))</f>
        <v/>
      </c>
      <c r="P1940" s="33" t="str">
        <f aca="false">IF(F1940="","",F1940*J1940)</f>
        <v/>
      </c>
      <c r="Q1940" s="33" t="str">
        <f aca="false">IF(F1940="","",F1940*L1940)</f>
        <v/>
      </c>
      <c r="R1940" s="33" t="str">
        <f aca="false">IF(F1940="","",IF(H1940="",F1940,0))</f>
        <v/>
      </c>
      <c r="S1940" s="32" t="str">
        <f aca="false">IF(F1940="","",IF(N(O1940)=0,"",IF(O1940&lt;=30,"1-30",IF(O1940&lt;=60,"31-60",IF(O1940&lt;=90,"61-90","90+")))))</f>
        <v/>
      </c>
      <c r="T1940" s="32" t="str">
        <f aca="false">IF(F1940="","",IF(E1940="","Diğer",E1940))</f>
        <v/>
      </c>
      <c r="U1940" s="32" t="str">
        <f aca="false">IF(OR(F1940="",C1940=""),"",IF(COUNTIF($C$2:C1940,C1940)=1,MAX($U$1:U1939)+1,""))</f>
        <v/>
      </c>
    </row>
    <row r="1941" customFormat="false" ht="15" hidden="false" customHeight="false" outlineLevel="0" collapsed="false">
      <c r="A1941" s="34"/>
      <c r="B1941" s="9"/>
      <c r="C1941" s="34"/>
      <c r="D1941" s="34"/>
      <c r="E1941" s="34"/>
      <c r="F1941" s="35"/>
      <c r="G1941" s="9"/>
      <c r="H1941" s="9"/>
      <c r="I1941" s="34"/>
      <c r="J1941" s="30" t="str">
        <f aca="false">IF(F1941="","",G1941-B1941)</f>
        <v/>
      </c>
      <c r="K1941" s="31" t="str">
        <f aca="false">IF(F1941="","",IF(H1941&lt;&gt;"",H1941,MAX('Vade Sapması'!$D$3,G1941)))</f>
        <v/>
      </c>
      <c r="L1941" s="30" t="str">
        <f aca="false">IF(F1941="","",K1941-B1941)</f>
        <v/>
      </c>
      <c r="M1941" s="30" t="str">
        <f aca="false">IF(F1941="","",L1941-J1941)</f>
        <v/>
      </c>
      <c r="N1941" s="32" t="str">
        <f aca="false">IF(F1941="","",IF(H1941&lt;&gt;"","Kapandı",IF('Vade Sapması'!$D$3&gt;G1941,"Açık · vadesi geçti","Açık · vadesi gelmedi")))</f>
        <v/>
      </c>
      <c r="O1941" s="30" t="str">
        <f aca="false">IF(F1941="","",IF(AND(H1941="",'Vade Sapması'!$D$3&gt;G1941),'Vade Sapması'!$D$3-G1941,0))</f>
        <v/>
      </c>
      <c r="P1941" s="33" t="str">
        <f aca="false">IF(F1941="","",F1941*J1941)</f>
        <v/>
      </c>
      <c r="Q1941" s="33" t="str">
        <f aca="false">IF(F1941="","",F1941*L1941)</f>
        <v/>
      </c>
      <c r="R1941" s="33" t="str">
        <f aca="false">IF(F1941="","",IF(H1941="",F1941,0))</f>
        <v/>
      </c>
      <c r="S1941" s="32" t="str">
        <f aca="false">IF(F1941="","",IF(N(O1941)=0,"",IF(O1941&lt;=30,"1-30",IF(O1941&lt;=60,"31-60",IF(O1941&lt;=90,"61-90","90+")))))</f>
        <v/>
      </c>
      <c r="T1941" s="32" t="str">
        <f aca="false">IF(F1941="","",IF(E1941="","Diğer",E1941))</f>
        <v/>
      </c>
      <c r="U1941" s="32" t="str">
        <f aca="false">IF(OR(F1941="",C1941=""),"",IF(COUNTIF($C$2:C1941,C1941)=1,MAX($U$1:U1940)+1,""))</f>
        <v/>
      </c>
    </row>
    <row r="1942" customFormat="false" ht="15" hidden="false" customHeight="false" outlineLevel="0" collapsed="false">
      <c r="A1942" s="34"/>
      <c r="B1942" s="9"/>
      <c r="C1942" s="34"/>
      <c r="D1942" s="34"/>
      <c r="E1942" s="34"/>
      <c r="F1942" s="35"/>
      <c r="G1942" s="9"/>
      <c r="H1942" s="9"/>
      <c r="I1942" s="34"/>
      <c r="J1942" s="30" t="str">
        <f aca="false">IF(F1942="","",G1942-B1942)</f>
        <v/>
      </c>
      <c r="K1942" s="31" t="str">
        <f aca="false">IF(F1942="","",IF(H1942&lt;&gt;"",H1942,MAX('Vade Sapması'!$D$3,G1942)))</f>
        <v/>
      </c>
      <c r="L1942" s="30" t="str">
        <f aca="false">IF(F1942="","",K1942-B1942)</f>
        <v/>
      </c>
      <c r="M1942" s="30" t="str">
        <f aca="false">IF(F1942="","",L1942-J1942)</f>
        <v/>
      </c>
      <c r="N1942" s="32" t="str">
        <f aca="false">IF(F1942="","",IF(H1942&lt;&gt;"","Kapandı",IF('Vade Sapması'!$D$3&gt;G1942,"Açık · vadesi geçti","Açık · vadesi gelmedi")))</f>
        <v/>
      </c>
      <c r="O1942" s="30" t="str">
        <f aca="false">IF(F1942="","",IF(AND(H1942="",'Vade Sapması'!$D$3&gt;G1942),'Vade Sapması'!$D$3-G1942,0))</f>
        <v/>
      </c>
      <c r="P1942" s="33" t="str">
        <f aca="false">IF(F1942="","",F1942*J1942)</f>
        <v/>
      </c>
      <c r="Q1942" s="33" t="str">
        <f aca="false">IF(F1942="","",F1942*L1942)</f>
        <v/>
      </c>
      <c r="R1942" s="33" t="str">
        <f aca="false">IF(F1942="","",IF(H1942="",F1942,0))</f>
        <v/>
      </c>
      <c r="S1942" s="32" t="str">
        <f aca="false">IF(F1942="","",IF(N(O1942)=0,"",IF(O1942&lt;=30,"1-30",IF(O1942&lt;=60,"31-60",IF(O1942&lt;=90,"61-90","90+")))))</f>
        <v/>
      </c>
      <c r="T1942" s="32" t="str">
        <f aca="false">IF(F1942="","",IF(E1942="","Diğer",E1942))</f>
        <v/>
      </c>
      <c r="U1942" s="32" t="str">
        <f aca="false">IF(OR(F1942="",C1942=""),"",IF(COUNTIF($C$2:C1942,C1942)=1,MAX($U$1:U1941)+1,""))</f>
        <v/>
      </c>
    </row>
    <row r="1943" customFormat="false" ht="15" hidden="false" customHeight="false" outlineLevel="0" collapsed="false">
      <c r="A1943" s="34"/>
      <c r="B1943" s="9"/>
      <c r="C1943" s="34"/>
      <c r="D1943" s="34"/>
      <c r="E1943" s="34"/>
      <c r="F1943" s="35"/>
      <c r="G1943" s="9"/>
      <c r="H1943" s="9"/>
      <c r="I1943" s="34"/>
      <c r="J1943" s="30" t="str">
        <f aca="false">IF(F1943="","",G1943-B1943)</f>
        <v/>
      </c>
      <c r="K1943" s="31" t="str">
        <f aca="false">IF(F1943="","",IF(H1943&lt;&gt;"",H1943,MAX('Vade Sapması'!$D$3,G1943)))</f>
        <v/>
      </c>
      <c r="L1943" s="30" t="str">
        <f aca="false">IF(F1943="","",K1943-B1943)</f>
        <v/>
      </c>
      <c r="M1943" s="30" t="str">
        <f aca="false">IF(F1943="","",L1943-J1943)</f>
        <v/>
      </c>
      <c r="N1943" s="32" t="str">
        <f aca="false">IF(F1943="","",IF(H1943&lt;&gt;"","Kapandı",IF('Vade Sapması'!$D$3&gt;G1943,"Açık · vadesi geçti","Açık · vadesi gelmedi")))</f>
        <v/>
      </c>
      <c r="O1943" s="30" t="str">
        <f aca="false">IF(F1943="","",IF(AND(H1943="",'Vade Sapması'!$D$3&gt;G1943),'Vade Sapması'!$D$3-G1943,0))</f>
        <v/>
      </c>
      <c r="P1943" s="33" t="str">
        <f aca="false">IF(F1943="","",F1943*J1943)</f>
        <v/>
      </c>
      <c r="Q1943" s="33" t="str">
        <f aca="false">IF(F1943="","",F1943*L1943)</f>
        <v/>
      </c>
      <c r="R1943" s="33" t="str">
        <f aca="false">IF(F1943="","",IF(H1943="",F1943,0))</f>
        <v/>
      </c>
      <c r="S1943" s="32" t="str">
        <f aca="false">IF(F1943="","",IF(N(O1943)=0,"",IF(O1943&lt;=30,"1-30",IF(O1943&lt;=60,"31-60",IF(O1943&lt;=90,"61-90","90+")))))</f>
        <v/>
      </c>
      <c r="T1943" s="32" t="str">
        <f aca="false">IF(F1943="","",IF(E1943="","Diğer",E1943))</f>
        <v/>
      </c>
      <c r="U1943" s="32" t="str">
        <f aca="false">IF(OR(F1943="",C1943=""),"",IF(COUNTIF($C$2:C1943,C1943)=1,MAX($U$1:U1942)+1,""))</f>
        <v/>
      </c>
    </row>
    <row r="1944" customFormat="false" ht="15" hidden="false" customHeight="false" outlineLevel="0" collapsed="false">
      <c r="A1944" s="34"/>
      <c r="B1944" s="9"/>
      <c r="C1944" s="34"/>
      <c r="D1944" s="34"/>
      <c r="E1944" s="34"/>
      <c r="F1944" s="35"/>
      <c r="G1944" s="9"/>
      <c r="H1944" s="9"/>
      <c r="I1944" s="34"/>
      <c r="J1944" s="30" t="str">
        <f aca="false">IF(F1944="","",G1944-B1944)</f>
        <v/>
      </c>
      <c r="K1944" s="31" t="str">
        <f aca="false">IF(F1944="","",IF(H1944&lt;&gt;"",H1944,MAX('Vade Sapması'!$D$3,G1944)))</f>
        <v/>
      </c>
      <c r="L1944" s="30" t="str">
        <f aca="false">IF(F1944="","",K1944-B1944)</f>
        <v/>
      </c>
      <c r="M1944" s="30" t="str">
        <f aca="false">IF(F1944="","",L1944-J1944)</f>
        <v/>
      </c>
      <c r="N1944" s="32" t="str">
        <f aca="false">IF(F1944="","",IF(H1944&lt;&gt;"","Kapandı",IF('Vade Sapması'!$D$3&gt;G1944,"Açık · vadesi geçti","Açık · vadesi gelmedi")))</f>
        <v/>
      </c>
      <c r="O1944" s="30" t="str">
        <f aca="false">IF(F1944="","",IF(AND(H1944="",'Vade Sapması'!$D$3&gt;G1944),'Vade Sapması'!$D$3-G1944,0))</f>
        <v/>
      </c>
      <c r="P1944" s="33" t="str">
        <f aca="false">IF(F1944="","",F1944*J1944)</f>
        <v/>
      </c>
      <c r="Q1944" s="33" t="str">
        <f aca="false">IF(F1944="","",F1944*L1944)</f>
        <v/>
      </c>
      <c r="R1944" s="33" t="str">
        <f aca="false">IF(F1944="","",IF(H1944="",F1944,0))</f>
        <v/>
      </c>
      <c r="S1944" s="32" t="str">
        <f aca="false">IF(F1944="","",IF(N(O1944)=0,"",IF(O1944&lt;=30,"1-30",IF(O1944&lt;=60,"31-60",IF(O1944&lt;=90,"61-90","90+")))))</f>
        <v/>
      </c>
      <c r="T1944" s="32" t="str">
        <f aca="false">IF(F1944="","",IF(E1944="","Diğer",E1944))</f>
        <v/>
      </c>
      <c r="U1944" s="32" t="str">
        <f aca="false">IF(OR(F1944="",C1944=""),"",IF(COUNTIF($C$2:C1944,C1944)=1,MAX($U$1:U1943)+1,""))</f>
        <v/>
      </c>
    </row>
    <row r="1945" customFormat="false" ht="15" hidden="false" customHeight="false" outlineLevel="0" collapsed="false">
      <c r="A1945" s="34"/>
      <c r="B1945" s="9"/>
      <c r="C1945" s="34"/>
      <c r="D1945" s="34"/>
      <c r="E1945" s="34"/>
      <c r="F1945" s="35"/>
      <c r="G1945" s="9"/>
      <c r="H1945" s="9"/>
      <c r="I1945" s="34"/>
      <c r="J1945" s="30" t="str">
        <f aca="false">IF(F1945="","",G1945-B1945)</f>
        <v/>
      </c>
      <c r="K1945" s="31" t="str">
        <f aca="false">IF(F1945="","",IF(H1945&lt;&gt;"",H1945,MAX('Vade Sapması'!$D$3,G1945)))</f>
        <v/>
      </c>
      <c r="L1945" s="30" t="str">
        <f aca="false">IF(F1945="","",K1945-B1945)</f>
        <v/>
      </c>
      <c r="M1945" s="30" t="str">
        <f aca="false">IF(F1945="","",L1945-J1945)</f>
        <v/>
      </c>
      <c r="N1945" s="32" t="str">
        <f aca="false">IF(F1945="","",IF(H1945&lt;&gt;"","Kapandı",IF('Vade Sapması'!$D$3&gt;G1945,"Açık · vadesi geçti","Açık · vadesi gelmedi")))</f>
        <v/>
      </c>
      <c r="O1945" s="30" t="str">
        <f aca="false">IF(F1945="","",IF(AND(H1945="",'Vade Sapması'!$D$3&gt;G1945),'Vade Sapması'!$D$3-G1945,0))</f>
        <v/>
      </c>
      <c r="P1945" s="33" t="str">
        <f aca="false">IF(F1945="","",F1945*J1945)</f>
        <v/>
      </c>
      <c r="Q1945" s="33" t="str">
        <f aca="false">IF(F1945="","",F1945*L1945)</f>
        <v/>
      </c>
      <c r="R1945" s="33" t="str">
        <f aca="false">IF(F1945="","",IF(H1945="",F1945,0))</f>
        <v/>
      </c>
      <c r="S1945" s="32" t="str">
        <f aca="false">IF(F1945="","",IF(N(O1945)=0,"",IF(O1945&lt;=30,"1-30",IF(O1945&lt;=60,"31-60",IF(O1945&lt;=90,"61-90","90+")))))</f>
        <v/>
      </c>
      <c r="T1945" s="32" t="str">
        <f aca="false">IF(F1945="","",IF(E1945="","Diğer",E1945))</f>
        <v/>
      </c>
      <c r="U1945" s="32" t="str">
        <f aca="false">IF(OR(F1945="",C1945=""),"",IF(COUNTIF($C$2:C1945,C1945)=1,MAX($U$1:U1944)+1,""))</f>
        <v/>
      </c>
    </row>
    <row r="1946" customFormat="false" ht="15" hidden="false" customHeight="false" outlineLevel="0" collapsed="false">
      <c r="A1946" s="34"/>
      <c r="B1946" s="9"/>
      <c r="C1946" s="34"/>
      <c r="D1946" s="34"/>
      <c r="E1946" s="34"/>
      <c r="F1946" s="35"/>
      <c r="G1946" s="9"/>
      <c r="H1946" s="9"/>
      <c r="I1946" s="34"/>
      <c r="J1946" s="30" t="str">
        <f aca="false">IF(F1946="","",G1946-B1946)</f>
        <v/>
      </c>
      <c r="K1946" s="31" t="str">
        <f aca="false">IF(F1946="","",IF(H1946&lt;&gt;"",H1946,MAX('Vade Sapması'!$D$3,G1946)))</f>
        <v/>
      </c>
      <c r="L1946" s="30" t="str">
        <f aca="false">IF(F1946="","",K1946-B1946)</f>
        <v/>
      </c>
      <c r="M1946" s="30" t="str">
        <f aca="false">IF(F1946="","",L1946-J1946)</f>
        <v/>
      </c>
      <c r="N1946" s="32" t="str">
        <f aca="false">IF(F1946="","",IF(H1946&lt;&gt;"","Kapandı",IF('Vade Sapması'!$D$3&gt;G1946,"Açık · vadesi geçti","Açık · vadesi gelmedi")))</f>
        <v/>
      </c>
      <c r="O1946" s="30" t="str">
        <f aca="false">IF(F1946="","",IF(AND(H1946="",'Vade Sapması'!$D$3&gt;G1946),'Vade Sapması'!$D$3-G1946,0))</f>
        <v/>
      </c>
      <c r="P1946" s="33" t="str">
        <f aca="false">IF(F1946="","",F1946*J1946)</f>
        <v/>
      </c>
      <c r="Q1946" s="33" t="str">
        <f aca="false">IF(F1946="","",F1946*L1946)</f>
        <v/>
      </c>
      <c r="R1946" s="33" t="str">
        <f aca="false">IF(F1946="","",IF(H1946="",F1946,0))</f>
        <v/>
      </c>
      <c r="S1946" s="32" t="str">
        <f aca="false">IF(F1946="","",IF(N(O1946)=0,"",IF(O1946&lt;=30,"1-30",IF(O1946&lt;=60,"31-60",IF(O1946&lt;=90,"61-90","90+")))))</f>
        <v/>
      </c>
      <c r="T1946" s="32" t="str">
        <f aca="false">IF(F1946="","",IF(E1946="","Diğer",E1946))</f>
        <v/>
      </c>
      <c r="U1946" s="32" t="str">
        <f aca="false">IF(OR(F1946="",C1946=""),"",IF(COUNTIF($C$2:C1946,C1946)=1,MAX($U$1:U1945)+1,""))</f>
        <v/>
      </c>
    </row>
    <row r="1947" customFormat="false" ht="15" hidden="false" customHeight="false" outlineLevel="0" collapsed="false">
      <c r="A1947" s="34"/>
      <c r="B1947" s="9"/>
      <c r="C1947" s="34"/>
      <c r="D1947" s="34"/>
      <c r="E1947" s="34"/>
      <c r="F1947" s="35"/>
      <c r="G1947" s="9"/>
      <c r="H1947" s="9"/>
      <c r="I1947" s="34"/>
      <c r="J1947" s="30" t="str">
        <f aca="false">IF(F1947="","",G1947-B1947)</f>
        <v/>
      </c>
      <c r="K1947" s="31" t="str">
        <f aca="false">IF(F1947="","",IF(H1947&lt;&gt;"",H1947,MAX('Vade Sapması'!$D$3,G1947)))</f>
        <v/>
      </c>
      <c r="L1947" s="30" t="str">
        <f aca="false">IF(F1947="","",K1947-B1947)</f>
        <v/>
      </c>
      <c r="M1947" s="30" t="str">
        <f aca="false">IF(F1947="","",L1947-J1947)</f>
        <v/>
      </c>
      <c r="N1947" s="32" t="str">
        <f aca="false">IF(F1947="","",IF(H1947&lt;&gt;"","Kapandı",IF('Vade Sapması'!$D$3&gt;G1947,"Açık · vadesi geçti","Açık · vadesi gelmedi")))</f>
        <v/>
      </c>
      <c r="O1947" s="30" t="str">
        <f aca="false">IF(F1947="","",IF(AND(H1947="",'Vade Sapması'!$D$3&gt;G1947),'Vade Sapması'!$D$3-G1947,0))</f>
        <v/>
      </c>
      <c r="P1947" s="33" t="str">
        <f aca="false">IF(F1947="","",F1947*J1947)</f>
        <v/>
      </c>
      <c r="Q1947" s="33" t="str">
        <f aca="false">IF(F1947="","",F1947*L1947)</f>
        <v/>
      </c>
      <c r="R1947" s="33" t="str">
        <f aca="false">IF(F1947="","",IF(H1947="",F1947,0))</f>
        <v/>
      </c>
      <c r="S1947" s="32" t="str">
        <f aca="false">IF(F1947="","",IF(N(O1947)=0,"",IF(O1947&lt;=30,"1-30",IF(O1947&lt;=60,"31-60",IF(O1947&lt;=90,"61-90","90+")))))</f>
        <v/>
      </c>
      <c r="T1947" s="32" t="str">
        <f aca="false">IF(F1947="","",IF(E1947="","Diğer",E1947))</f>
        <v/>
      </c>
      <c r="U1947" s="32" t="str">
        <f aca="false">IF(OR(F1947="",C1947=""),"",IF(COUNTIF($C$2:C1947,C1947)=1,MAX($U$1:U1946)+1,""))</f>
        <v/>
      </c>
    </row>
    <row r="1948" customFormat="false" ht="15" hidden="false" customHeight="false" outlineLevel="0" collapsed="false">
      <c r="A1948" s="34"/>
      <c r="B1948" s="9"/>
      <c r="C1948" s="34"/>
      <c r="D1948" s="34"/>
      <c r="E1948" s="34"/>
      <c r="F1948" s="35"/>
      <c r="G1948" s="9"/>
      <c r="H1948" s="9"/>
      <c r="I1948" s="34"/>
      <c r="J1948" s="30" t="str">
        <f aca="false">IF(F1948="","",G1948-B1948)</f>
        <v/>
      </c>
      <c r="K1948" s="31" t="str">
        <f aca="false">IF(F1948="","",IF(H1948&lt;&gt;"",H1948,MAX('Vade Sapması'!$D$3,G1948)))</f>
        <v/>
      </c>
      <c r="L1948" s="30" t="str">
        <f aca="false">IF(F1948="","",K1948-B1948)</f>
        <v/>
      </c>
      <c r="M1948" s="30" t="str">
        <f aca="false">IF(F1948="","",L1948-J1948)</f>
        <v/>
      </c>
      <c r="N1948" s="32" t="str">
        <f aca="false">IF(F1948="","",IF(H1948&lt;&gt;"","Kapandı",IF('Vade Sapması'!$D$3&gt;G1948,"Açık · vadesi geçti","Açık · vadesi gelmedi")))</f>
        <v/>
      </c>
      <c r="O1948" s="30" t="str">
        <f aca="false">IF(F1948="","",IF(AND(H1948="",'Vade Sapması'!$D$3&gt;G1948),'Vade Sapması'!$D$3-G1948,0))</f>
        <v/>
      </c>
      <c r="P1948" s="33" t="str">
        <f aca="false">IF(F1948="","",F1948*J1948)</f>
        <v/>
      </c>
      <c r="Q1948" s="33" t="str">
        <f aca="false">IF(F1948="","",F1948*L1948)</f>
        <v/>
      </c>
      <c r="R1948" s="33" t="str">
        <f aca="false">IF(F1948="","",IF(H1948="",F1948,0))</f>
        <v/>
      </c>
      <c r="S1948" s="32" t="str">
        <f aca="false">IF(F1948="","",IF(N(O1948)=0,"",IF(O1948&lt;=30,"1-30",IF(O1948&lt;=60,"31-60",IF(O1948&lt;=90,"61-90","90+")))))</f>
        <v/>
      </c>
      <c r="T1948" s="32" t="str">
        <f aca="false">IF(F1948="","",IF(E1948="","Diğer",E1948))</f>
        <v/>
      </c>
      <c r="U1948" s="32" t="str">
        <f aca="false">IF(OR(F1948="",C1948=""),"",IF(COUNTIF($C$2:C1948,C1948)=1,MAX($U$1:U1947)+1,""))</f>
        <v/>
      </c>
    </row>
    <row r="1949" customFormat="false" ht="15" hidden="false" customHeight="false" outlineLevel="0" collapsed="false">
      <c r="A1949" s="34"/>
      <c r="B1949" s="9"/>
      <c r="C1949" s="34"/>
      <c r="D1949" s="34"/>
      <c r="E1949" s="34"/>
      <c r="F1949" s="35"/>
      <c r="G1949" s="9"/>
      <c r="H1949" s="9"/>
      <c r="I1949" s="34"/>
      <c r="J1949" s="30" t="str">
        <f aca="false">IF(F1949="","",G1949-B1949)</f>
        <v/>
      </c>
      <c r="K1949" s="31" t="str">
        <f aca="false">IF(F1949="","",IF(H1949&lt;&gt;"",H1949,MAX('Vade Sapması'!$D$3,G1949)))</f>
        <v/>
      </c>
      <c r="L1949" s="30" t="str">
        <f aca="false">IF(F1949="","",K1949-B1949)</f>
        <v/>
      </c>
      <c r="M1949" s="30" t="str">
        <f aca="false">IF(F1949="","",L1949-J1949)</f>
        <v/>
      </c>
      <c r="N1949" s="32" t="str">
        <f aca="false">IF(F1949="","",IF(H1949&lt;&gt;"","Kapandı",IF('Vade Sapması'!$D$3&gt;G1949,"Açık · vadesi geçti","Açık · vadesi gelmedi")))</f>
        <v/>
      </c>
      <c r="O1949" s="30" t="str">
        <f aca="false">IF(F1949="","",IF(AND(H1949="",'Vade Sapması'!$D$3&gt;G1949),'Vade Sapması'!$D$3-G1949,0))</f>
        <v/>
      </c>
      <c r="P1949" s="33" t="str">
        <f aca="false">IF(F1949="","",F1949*J1949)</f>
        <v/>
      </c>
      <c r="Q1949" s="33" t="str">
        <f aca="false">IF(F1949="","",F1949*L1949)</f>
        <v/>
      </c>
      <c r="R1949" s="33" t="str">
        <f aca="false">IF(F1949="","",IF(H1949="",F1949,0))</f>
        <v/>
      </c>
      <c r="S1949" s="32" t="str">
        <f aca="false">IF(F1949="","",IF(N(O1949)=0,"",IF(O1949&lt;=30,"1-30",IF(O1949&lt;=60,"31-60",IF(O1949&lt;=90,"61-90","90+")))))</f>
        <v/>
      </c>
      <c r="T1949" s="32" t="str">
        <f aca="false">IF(F1949="","",IF(E1949="","Diğer",E1949))</f>
        <v/>
      </c>
      <c r="U1949" s="32" t="str">
        <f aca="false">IF(OR(F1949="",C1949=""),"",IF(COUNTIF($C$2:C1949,C1949)=1,MAX($U$1:U1948)+1,""))</f>
        <v/>
      </c>
    </row>
    <row r="1950" customFormat="false" ht="15" hidden="false" customHeight="false" outlineLevel="0" collapsed="false">
      <c r="A1950" s="34"/>
      <c r="B1950" s="9"/>
      <c r="C1950" s="34"/>
      <c r="D1950" s="34"/>
      <c r="E1950" s="34"/>
      <c r="F1950" s="35"/>
      <c r="G1950" s="9"/>
      <c r="H1950" s="9"/>
      <c r="I1950" s="34"/>
      <c r="J1950" s="30" t="str">
        <f aca="false">IF(F1950="","",G1950-B1950)</f>
        <v/>
      </c>
      <c r="K1950" s="31" t="str">
        <f aca="false">IF(F1950="","",IF(H1950&lt;&gt;"",H1950,MAX('Vade Sapması'!$D$3,G1950)))</f>
        <v/>
      </c>
      <c r="L1950" s="30" t="str">
        <f aca="false">IF(F1950="","",K1950-B1950)</f>
        <v/>
      </c>
      <c r="M1950" s="30" t="str">
        <f aca="false">IF(F1950="","",L1950-J1950)</f>
        <v/>
      </c>
      <c r="N1950" s="32" t="str">
        <f aca="false">IF(F1950="","",IF(H1950&lt;&gt;"","Kapandı",IF('Vade Sapması'!$D$3&gt;G1950,"Açık · vadesi geçti","Açık · vadesi gelmedi")))</f>
        <v/>
      </c>
      <c r="O1950" s="30" t="str">
        <f aca="false">IF(F1950="","",IF(AND(H1950="",'Vade Sapması'!$D$3&gt;G1950),'Vade Sapması'!$D$3-G1950,0))</f>
        <v/>
      </c>
      <c r="P1950" s="33" t="str">
        <f aca="false">IF(F1950="","",F1950*J1950)</f>
        <v/>
      </c>
      <c r="Q1950" s="33" t="str">
        <f aca="false">IF(F1950="","",F1950*L1950)</f>
        <v/>
      </c>
      <c r="R1950" s="33" t="str">
        <f aca="false">IF(F1950="","",IF(H1950="",F1950,0))</f>
        <v/>
      </c>
      <c r="S1950" s="32" t="str">
        <f aca="false">IF(F1950="","",IF(N(O1950)=0,"",IF(O1950&lt;=30,"1-30",IF(O1950&lt;=60,"31-60",IF(O1950&lt;=90,"61-90","90+")))))</f>
        <v/>
      </c>
      <c r="T1950" s="32" t="str">
        <f aca="false">IF(F1950="","",IF(E1950="","Diğer",E1950))</f>
        <v/>
      </c>
      <c r="U1950" s="32" t="str">
        <f aca="false">IF(OR(F1950="",C1950=""),"",IF(COUNTIF($C$2:C1950,C1950)=1,MAX($U$1:U1949)+1,""))</f>
        <v/>
      </c>
    </row>
    <row r="1951" customFormat="false" ht="15" hidden="false" customHeight="false" outlineLevel="0" collapsed="false">
      <c r="A1951" s="34"/>
      <c r="B1951" s="9"/>
      <c r="C1951" s="34"/>
      <c r="D1951" s="34"/>
      <c r="E1951" s="34"/>
      <c r="F1951" s="35"/>
      <c r="G1951" s="9"/>
      <c r="H1951" s="9"/>
      <c r="I1951" s="34"/>
      <c r="J1951" s="30" t="str">
        <f aca="false">IF(F1951="","",G1951-B1951)</f>
        <v/>
      </c>
      <c r="K1951" s="31" t="str">
        <f aca="false">IF(F1951="","",IF(H1951&lt;&gt;"",H1951,MAX('Vade Sapması'!$D$3,G1951)))</f>
        <v/>
      </c>
      <c r="L1951" s="30" t="str">
        <f aca="false">IF(F1951="","",K1951-B1951)</f>
        <v/>
      </c>
      <c r="M1951" s="30" t="str">
        <f aca="false">IF(F1951="","",L1951-J1951)</f>
        <v/>
      </c>
      <c r="N1951" s="32" t="str">
        <f aca="false">IF(F1951="","",IF(H1951&lt;&gt;"","Kapandı",IF('Vade Sapması'!$D$3&gt;G1951,"Açık · vadesi geçti","Açık · vadesi gelmedi")))</f>
        <v/>
      </c>
      <c r="O1951" s="30" t="str">
        <f aca="false">IF(F1951="","",IF(AND(H1951="",'Vade Sapması'!$D$3&gt;G1951),'Vade Sapması'!$D$3-G1951,0))</f>
        <v/>
      </c>
      <c r="P1951" s="33" t="str">
        <f aca="false">IF(F1951="","",F1951*J1951)</f>
        <v/>
      </c>
      <c r="Q1951" s="33" t="str">
        <f aca="false">IF(F1951="","",F1951*L1951)</f>
        <v/>
      </c>
      <c r="R1951" s="33" t="str">
        <f aca="false">IF(F1951="","",IF(H1951="",F1951,0))</f>
        <v/>
      </c>
      <c r="S1951" s="32" t="str">
        <f aca="false">IF(F1951="","",IF(N(O1951)=0,"",IF(O1951&lt;=30,"1-30",IF(O1951&lt;=60,"31-60",IF(O1951&lt;=90,"61-90","90+")))))</f>
        <v/>
      </c>
      <c r="T1951" s="32" t="str">
        <f aca="false">IF(F1951="","",IF(E1951="","Diğer",E1951))</f>
        <v/>
      </c>
      <c r="U1951" s="32" t="str">
        <f aca="false">IF(OR(F1951="",C1951=""),"",IF(COUNTIF($C$2:C1951,C1951)=1,MAX($U$1:U1950)+1,""))</f>
        <v/>
      </c>
    </row>
    <row r="1952" customFormat="false" ht="15" hidden="false" customHeight="false" outlineLevel="0" collapsed="false">
      <c r="A1952" s="34"/>
      <c r="B1952" s="9"/>
      <c r="C1952" s="34"/>
      <c r="D1952" s="34"/>
      <c r="E1952" s="34"/>
      <c r="F1952" s="35"/>
      <c r="G1952" s="9"/>
      <c r="H1952" s="9"/>
      <c r="I1952" s="34"/>
      <c r="J1952" s="30" t="str">
        <f aca="false">IF(F1952="","",G1952-B1952)</f>
        <v/>
      </c>
      <c r="K1952" s="31" t="str">
        <f aca="false">IF(F1952="","",IF(H1952&lt;&gt;"",H1952,MAX('Vade Sapması'!$D$3,G1952)))</f>
        <v/>
      </c>
      <c r="L1952" s="30" t="str">
        <f aca="false">IF(F1952="","",K1952-B1952)</f>
        <v/>
      </c>
      <c r="M1952" s="30" t="str">
        <f aca="false">IF(F1952="","",L1952-J1952)</f>
        <v/>
      </c>
      <c r="N1952" s="32" t="str">
        <f aca="false">IF(F1952="","",IF(H1952&lt;&gt;"","Kapandı",IF('Vade Sapması'!$D$3&gt;G1952,"Açık · vadesi geçti","Açık · vadesi gelmedi")))</f>
        <v/>
      </c>
      <c r="O1952" s="30" t="str">
        <f aca="false">IF(F1952="","",IF(AND(H1952="",'Vade Sapması'!$D$3&gt;G1952),'Vade Sapması'!$D$3-G1952,0))</f>
        <v/>
      </c>
      <c r="P1952" s="33" t="str">
        <f aca="false">IF(F1952="","",F1952*J1952)</f>
        <v/>
      </c>
      <c r="Q1952" s="33" t="str">
        <f aca="false">IF(F1952="","",F1952*L1952)</f>
        <v/>
      </c>
      <c r="R1952" s="33" t="str">
        <f aca="false">IF(F1952="","",IF(H1952="",F1952,0))</f>
        <v/>
      </c>
      <c r="S1952" s="32" t="str">
        <f aca="false">IF(F1952="","",IF(N(O1952)=0,"",IF(O1952&lt;=30,"1-30",IF(O1952&lt;=60,"31-60",IF(O1952&lt;=90,"61-90","90+")))))</f>
        <v/>
      </c>
      <c r="T1952" s="32" t="str">
        <f aca="false">IF(F1952="","",IF(E1952="","Diğer",E1952))</f>
        <v/>
      </c>
      <c r="U1952" s="32" t="str">
        <f aca="false">IF(OR(F1952="",C1952=""),"",IF(COUNTIF($C$2:C1952,C1952)=1,MAX($U$1:U1951)+1,""))</f>
        <v/>
      </c>
    </row>
    <row r="1953" customFormat="false" ht="15" hidden="false" customHeight="false" outlineLevel="0" collapsed="false">
      <c r="A1953" s="34"/>
      <c r="B1953" s="9"/>
      <c r="C1953" s="34"/>
      <c r="D1953" s="34"/>
      <c r="E1953" s="34"/>
      <c r="F1953" s="35"/>
      <c r="G1953" s="9"/>
      <c r="H1953" s="9"/>
      <c r="I1953" s="34"/>
      <c r="J1953" s="30" t="str">
        <f aca="false">IF(F1953="","",G1953-B1953)</f>
        <v/>
      </c>
      <c r="K1953" s="31" t="str">
        <f aca="false">IF(F1953="","",IF(H1953&lt;&gt;"",H1953,MAX('Vade Sapması'!$D$3,G1953)))</f>
        <v/>
      </c>
      <c r="L1953" s="30" t="str">
        <f aca="false">IF(F1953="","",K1953-B1953)</f>
        <v/>
      </c>
      <c r="M1953" s="30" t="str">
        <f aca="false">IF(F1953="","",L1953-J1953)</f>
        <v/>
      </c>
      <c r="N1953" s="32" t="str">
        <f aca="false">IF(F1953="","",IF(H1953&lt;&gt;"","Kapandı",IF('Vade Sapması'!$D$3&gt;G1953,"Açık · vadesi geçti","Açık · vadesi gelmedi")))</f>
        <v/>
      </c>
      <c r="O1953" s="30" t="str">
        <f aca="false">IF(F1953="","",IF(AND(H1953="",'Vade Sapması'!$D$3&gt;G1953),'Vade Sapması'!$D$3-G1953,0))</f>
        <v/>
      </c>
      <c r="P1953" s="33" t="str">
        <f aca="false">IF(F1953="","",F1953*J1953)</f>
        <v/>
      </c>
      <c r="Q1953" s="33" t="str">
        <f aca="false">IF(F1953="","",F1953*L1953)</f>
        <v/>
      </c>
      <c r="R1953" s="33" t="str">
        <f aca="false">IF(F1953="","",IF(H1953="",F1953,0))</f>
        <v/>
      </c>
      <c r="S1953" s="32" t="str">
        <f aca="false">IF(F1953="","",IF(N(O1953)=0,"",IF(O1953&lt;=30,"1-30",IF(O1953&lt;=60,"31-60",IF(O1953&lt;=90,"61-90","90+")))))</f>
        <v/>
      </c>
      <c r="T1953" s="32" t="str">
        <f aca="false">IF(F1953="","",IF(E1953="","Diğer",E1953))</f>
        <v/>
      </c>
      <c r="U1953" s="32" t="str">
        <f aca="false">IF(OR(F1953="",C1953=""),"",IF(COUNTIF($C$2:C1953,C1953)=1,MAX($U$1:U1952)+1,""))</f>
        <v/>
      </c>
    </row>
    <row r="1954" customFormat="false" ht="15" hidden="false" customHeight="false" outlineLevel="0" collapsed="false">
      <c r="A1954" s="34"/>
      <c r="B1954" s="9"/>
      <c r="C1954" s="34"/>
      <c r="D1954" s="34"/>
      <c r="E1954" s="34"/>
      <c r="F1954" s="35"/>
      <c r="G1954" s="9"/>
      <c r="H1954" s="9"/>
      <c r="I1954" s="34"/>
      <c r="J1954" s="30" t="str">
        <f aca="false">IF(F1954="","",G1954-B1954)</f>
        <v/>
      </c>
      <c r="K1954" s="31" t="str">
        <f aca="false">IF(F1954="","",IF(H1954&lt;&gt;"",H1954,MAX('Vade Sapması'!$D$3,G1954)))</f>
        <v/>
      </c>
      <c r="L1954" s="30" t="str">
        <f aca="false">IF(F1954="","",K1954-B1954)</f>
        <v/>
      </c>
      <c r="M1954" s="30" t="str">
        <f aca="false">IF(F1954="","",L1954-J1954)</f>
        <v/>
      </c>
      <c r="N1954" s="32" t="str">
        <f aca="false">IF(F1954="","",IF(H1954&lt;&gt;"","Kapandı",IF('Vade Sapması'!$D$3&gt;G1954,"Açık · vadesi geçti","Açık · vadesi gelmedi")))</f>
        <v/>
      </c>
      <c r="O1954" s="30" t="str">
        <f aca="false">IF(F1954="","",IF(AND(H1954="",'Vade Sapması'!$D$3&gt;G1954),'Vade Sapması'!$D$3-G1954,0))</f>
        <v/>
      </c>
      <c r="P1954" s="33" t="str">
        <f aca="false">IF(F1954="","",F1954*J1954)</f>
        <v/>
      </c>
      <c r="Q1954" s="33" t="str">
        <f aca="false">IF(F1954="","",F1954*L1954)</f>
        <v/>
      </c>
      <c r="R1954" s="33" t="str">
        <f aca="false">IF(F1954="","",IF(H1954="",F1954,0))</f>
        <v/>
      </c>
      <c r="S1954" s="32" t="str">
        <f aca="false">IF(F1954="","",IF(N(O1954)=0,"",IF(O1954&lt;=30,"1-30",IF(O1954&lt;=60,"31-60",IF(O1954&lt;=90,"61-90","90+")))))</f>
        <v/>
      </c>
      <c r="T1954" s="32" t="str">
        <f aca="false">IF(F1954="","",IF(E1954="","Diğer",E1954))</f>
        <v/>
      </c>
      <c r="U1954" s="32" t="str">
        <f aca="false">IF(OR(F1954="",C1954=""),"",IF(COUNTIF($C$2:C1954,C1954)=1,MAX($U$1:U1953)+1,""))</f>
        <v/>
      </c>
    </row>
    <row r="1955" customFormat="false" ht="15" hidden="false" customHeight="false" outlineLevel="0" collapsed="false">
      <c r="A1955" s="34"/>
      <c r="B1955" s="9"/>
      <c r="C1955" s="34"/>
      <c r="D1955" s="34"/>
      <c r="E1955" s="34"/>
      <c r="F1955" s="35"/>
      <c r="G1955" s="9"/>
      <c r="H1955" s="9"/>
      <c r="I1955" s="34"/>
      <c r="J1955" s="30" t="str">
        <f aca="false">IF(F1955="","",G1955-B1955)</f>
        <v/>
      </c>
      <c r="K1955" s="31" t="str">
        <f aca="false">IF(F1955="","",IF(H1955&lt;&gt;"",H1955,MAX('Vade Sapması'!$D$3,G1955)))</f>
        <v/>
      </c>
      <c r="L1955" s="30" t="str">
        <f aca="false">IF(F1955="","",K1955-B1955)</f>
        <v/>
      </c>
      <c r="M1955" s="30" t="str">
        <f aca="false">IF(F1955="","",L1955-J1955)</f>
        <v/>
      </c>
      <c r="N1955" s="32" t="str">
        <f aca="false">IF(F1955="","",IF(H1955&lt;&gt;"","Kapandı",IF('Vade Sapması'!$D$3&gt;G1955,"Açık · vadesi geçti","Açık · vadesi gelmedi")))</f>
        <v/>
      </c>
      <c r="O1955" s="30" t="str">
        <f aca="false">IF(F1955="","",IF(AND(H1955="",'Vade Sapması'!$D$3&gt;G1955),'Vade Sapması'!$D$3-G1955,0))</f>
        <v/>
      </c>
      <c r="P1955" s="33" t="str">
        <f aca="false">IF(F1955="","",F1955*J1955)</f>
        <v/>
      </c>
      <c r="Q1955" s="33" t="str">
        <f aca="false">IF(F1955="","",F1955*L1955)</f>
        <v/>
      </c>
      <c r="R1955" s="33" t="str">
        <f aca="false">IF(F1955="","",IF(H1955="",F1955,0))</f>
        <v/>
      </c>
      <c r="S1955" s="32" t="str">
        <f aca="false">IF(F1955="","",IF(N(O1955)=0,"",IF(O1955&lt;=30,"1-30",IF(O1955&lt;=60,"31-60",IF(O1955&lt;=90,"61-90","90+")))))</f>
        <v/>
      </c>
      <c r="T1955" s="32" t="str">
        <f aca="false">IF(F1955="","",IF(E1955="","Diğer",E1955))</f>
        <v/>
      </c>
      <c r="U1955" s="32" t="str">
        <f aca="false">IF(OR(F1955="",C1955=""),"",IF(COUNTIF($C$2:C1955,C1955)=1,MAX($U$1:U1954)+1,""))</f>
        <v/>
      </c>
    </row>
    <row r="1956" customFormat="false" ht="15" hidden="false" customHeight="false" outlineLevel="0" collapsed="false">
      <c r="A1956" s="34"/>
      <c r="B1956" s="9"/>
      <c r="C1956" s="34"/>
      <c r="D1956" s="34"/>
      <c r="E1956" s="34"/>
      <c r="F1956" s="35"/>
      <c r="G1956" s="9"/>
      <c r="H1956" s="9"/>
      <c r="I1956" s="34"/>
      <c r="J1956" s="30" t="str">
        <f aca="false">IF(F1956="","",G1956-B1956)</f>
        <v/>
      </c>
      <c r="K1956" s="31" t="str">
        <f aca="false">IF(F1956="","",IF(H1956&lt;&gt;"",H1956,MAX('Vade Sapması'!$D$3,G1956)))</f>
        <v/>
      </c>
      <c r="L1956" s="30" t="str">
        <f aca="false">IF(F1956="","",K1956-B1956)</f>
        <v/>
      </c>
      <c r="M1956" s="30" t="str">
        <f aca="false">IF(F1956="","",L1956-J1956)</f>
        <v/>
      </c>
      <c r="N1956" s="32" t="str">
        <f aca="false">IF(F1956="","",IF(H1956&lt;&gt;"","Kapandı",IF('Vade Sapması'!$D$3&gt;G1956,"Açık · vadesi geçti","Açık · vadesi gelmedi")))</f>
        <v/>
      </c>
      <c r="O1956" s="30" t="str">
        <f aca="false">IF(F1956="","",IF(AND(H1956="",'Vade Sapması'!$D$3&gt;G1956),'Vade Sapması'!$D$3-G1956,0))</f>
        <v/>
      </c>
      <c r="P1956" s="33" t="str">
        <f aca="false">IF(F1956="","",F1956*J1956)</f>
        <v/>
      </c>
      <c r="Q1956" s="33" t="str">
        <f aca="false">IF(F1956="","",F1956*L1956)</f>
        <v/>
      </c>
      <c r="R1956" s="33" t="str">
        <f aca="false">IF(F1956="","",IF(H1956="",F1956,0))</f>
        <v/>
      </c>
      <c r="S1956" s="32" t="str">
        <f aca="false">IF(F1956="","",IF(N(O1956)=0,"",IF(O1956&lt;=30,"1-30",IF(O1956&lt;=60,"31-60",IF(O1956&lt;=90,"61-90","90+")))))</f>
        <v/>
      </c>
      <c r="T1956" s="32" t="str">
        <f aca="false">IF(F1956="","",IF(E1956="","Diğer",E1956))</f>
        <v/>
      </c>
      <c r="U1956" s="32" t="str">
        <f aca="false">IF(OR(F1956="",C1956=""),"",IF(COUNTIF($C$2:C1956,C1956)=1,MAX($U$1:U1955)+1,""))</f>
        <v/>
      </c>
    </row>
    <row r="1957" customFormat="false" ht="15" hidden="false" customHeight="false" outlineLevel="0" collapsed="false">
      <c r="A1957" s="34"/>
      <c r="B1957" s="9"/>
      <c r="C1957" s="34"/>
      <c r="D1957" s="34"/>
      <c r="E1957" s="34"/>
      <c r="F1957" s="35"/>
      <c r="G1957" s="9"/>
      <c r="H1957" s="9"/>
      <c r="I1957" s="34"/>
      <c r="J1957" s="30" t="str">
        <f aca="false">IF(F1957="","",G1957-B1957)</f>
        <v/>
      </c>
      <c r="K1957" s="31" t="str">
        <f aca="false">IF(F1957="","",IF(H1957&lt;&gt;"",H1957,MAX('Vade Sapması'!$D$3,G1957)))</f>
        <v/>
      </c>
      <c r="L1957" s="30" t="str">
        <f aca="false">IF(F1957="","",K1957-B1957)</f>
        <v/>
      </c>
      <c r="M1957" s="30" t="str">
        <f aca="false">IF(F1957="","",L1957-J1957)</f>
        <v/>
      </c>
      <c r="N1957" s="32" t="str">
        <f aca="false">IF(F1957="","",IF(H1957&lt;&gt;"","Kapandı",IF('Vade Sapması'!$D$3&gt;G1957,"Açık · vadesi geçti","Açık · vadesi gelmedi")))</f>
        <v/>
      </c>
      <c r="O1957" s="30" t="str">
        <f aca="false">IF(F1957="","",IF(AND(H1957="",'Vade Sapması'!$D$3&gt;G1957),'Vade Sapması'!$D$3-G1957,0))</f>
        <v/>
      </c>
      <c r="P1957" s="33" t="str">
        <f aca="false">IF(F1957="","",F1957*J1957)</f>
        <v/>
      </c>
      <c r="Q1957" s="33" t="str">
        <f aca="false">IF(F1957="","",F1957*L1957)</f>
        <v/>
      </c>
      <c r="R1957" s="33" t="str">
        <f aca="false">IF(F1957="","",IF(H1957="",F1957,0))</f>
        <v/>
      </c>
      <c r="S1957" s="32" t="str">
        <f aca="false">IF(F1957="","",IF(N(O1957)=0,"",IF(O1957&lt;=30,"1-30",IF(O1957&lt;=60,"31-60",IF(O1957&lt;=90,"61-90","90+")))))</f>
        <v/>
      </c>
      <c r="T1957" s="32" t="str">
        <f aca="false">IF(F1957="","",IF(E1957="","Diğer",E1957))</f>
        <v/>
      </c>
      <c r="U1957" s="32" t="str">
        <f aca="false">IF(OR(F1957="",C1957=""),"",IF(COUNTIF($C$2:C1957,C1957)=1,MAX($U$1:U1956)+1,""))</f>
        <v/>
      </c>
    </row>
    <row r="1958" customFormat="false" ht="15" hidden="false" customHeight="false" outlineLevel="0" collapsed="false">
      <c r="A1958" s="34"/>
      <c r="B1958" s="9"/>
      <c r="C1958" s="34"/>
      <c r="D1958" s="34"/>
      <c r="E1958" s="34"/>
      <c r="F1958" s="35"/>
      <c r="G1958" s="9"/>
      <c r="H1958" s="9"/>
      <c r="I1958" s="34"/>
      <c r="J1958" s="30" t="str">
        <f aca="false">IF(F1958="","",G1958-B1958)</f>
        <v/>
      </c>
      <c r="K1958" s="31" t="str">
        <f aca="false">IF(F1958="","",IF(H1958&lt;&gt;"",H1958,MAX('Vade Sapması'!$D$3,G1958)))</f>
        <v/>
      </c>
      <c r="L1958" s="30" t="str">
        <f aca="false">IF(F1958="","",K1958-B1958)</f>
        <v/>
      </c>
      <c r="M1958" s="30" t="str">
        <f aca="false">IF(F1958="","",L1958-J1958)</f>
        <v/>
      </c>
      <c r="N1958" s="32" t="str">
        <f aca="false">IF(F1958="","",IF(H1958&lt;&gt;"","Kapandı",IF('Vade Sapması'!$D$3&gt;G1958,"Açık · vadesi geçti","Açık · vadesi gelmedi")))</f>
        <v/>
      </c>
      <c r="O1958" s="30" t="str">
        <f aca="false">IF(F1958="","",IF(AND(H1958="",'Vade Sapması'!$D$3&gt;G1958),'Vade Sapması'!$D$3-G1958,0))</f>
        <v/>
      </c>
      <c r="P1958" s="33" t="str">
        <f aca="false">IF(F1958="","",F1958*J1958)</f>
        <v/>
      </c>
      <c r="Q1958" s="33" t="str">
        <f aca="false">IF(F1958="","",F1958*L1958)</f>
        <v/>
      </c>
      <c r="R1958" s="33" t="str">
        <f aca="false">IF(F1958="","",IF(H1958="",F1958,0))</f>
        <v/>
      </c>
      <c r="S1958" s="32" t="str">
        <f aca="false">IF(F1958="","",IF(N(O1958)=0,"",IF(O1958&lt;=30,"1-30",IF(O1958&lt;=60,"31-60",IF(O1958&lt;=90,"61-90","90+")))))</f>
        <v/>
      </c>
      <c r="T1958" s="32" t="str">
        <f aca="false">IF(F1958="","",IF(E1958="","Diğer",E1958))</f>
        <v/>
      </c>
      <c r="U1958" s="32" t="str">
        <f aca="false">IF(OR(F1958="",C1958=""),"",IF(COUNTIF($C$2:C1958,C1958)=1,MAX($U$1:U1957)+1,""))</f>
        <v/>
      </c>
    </row>
    <row r="1959" customFormat="false" ht="15" hidden="false" customHeight="false" outlineLevel="0" collapsed="false">
      <c r="A1959" s="34"/>
      <c r="B1959" s="9"/>
      <c r="C1959" s="34"/>
      <c r="D1959" s="34"/>
      <c r="E1959" s="34"/>
      <c r="F1959" s="35"/>
      <c r="G1959" s="9"/>
      <c r="H1959" s="9"/>
      <c r="I1959" s="34"/>
      <c r="J1959" s="30" t="str">
        <f aca="false">IF(F1959="","",G1959-B1959)</f>
        <v/>
      </c>
      <c r="K1959" s="31" t="str">
        <f aca="false">IF(F1959="","",IF(H1959&lt;&gt;"",H1959,MAX('Vade Sapması'!$D$3,G1959)))</f>
        <v/>
      </c>
      <c r="L1959" s="30" t="str">
        <f aca="false">IF(F1959="","",K1959-B1959)</f>
        <v/>
      </c>
      <c r="M1959" s="30" t="str">
        <f aca="false">IF(F1959="","",L1959-J1959)</f>
        <v/>
      </c>
      <c r="N1959" s="32" t="str">
        <f aca="false">IF(F1959="","",IF(H1959&lt;&gt;"","Kapandı",IF('Vade Sapması'!$D$3&gt;G1959,"Açık · vadesi geçti","Açık · vadesi gelmedi")))</f>
        <v/>
      </c>
      <c r="O1959" s="30" t="str">
        <f aca="false">IF(F1959="","",IF(AND(H1959="",'Vade Sapması'!$D$3&gt;G1959),'Vade Sapması'!$D$3-G1959,0))</f>
        <v/>
      </c>
      <c r="P1959" s="33" t="str">
        <f aca="false">IF(F1959="","",F1959*J1959)</f>
        <v/>
      </c>
      <c r="Q1959" s="33" t="str">
        <f aca="false">IF(F1959="","",F1959*L1959)</f>
        <v/>
      </c>
      <c r="R1959" s="33" t="str">
        <f aca="false">IF(F1959="","",IF(H1959="",F1959,0))</f>
        <v/>
      </c>
      <c r="S1959" s="32" t="str">
        <f aca="false">IF(F1959="","",IF(N(O1959)=0,"",IF(O1959&lt;=30,"1-30",IF(O1959&lt;=60,"31-60",IF(O1959&lt;=90,"61-90","90+")))))</f>
        <v/>
      </c>
      <c r="T1959" s="32" t="str">
        <f aca="false">IF(F1959="","",IF(E1959="","Diğer",E1959))</f>
        <v/>
      </c>
      <c r="U1959" s="32" t="str">
        <f aca="false">IF(OR(F1959="",C1959=""),"",IF(COUNTIF($C$2:C1959,C1959)=1,MAX($U$1:U1958)+1,""))</f>
        <v/>
      </c>
    </row>
    <row r="1960" customFormat="false" ht="15" hidden="false" customHeight="false" outlineLevel="0" collapsed="false">
      <c r="A1960" s="34"/>
      <c r="B1960" s="9"/>
      <c r="C1960" s="34"/>
      <c r="D1960" s="34"/>
      <c r="E1960" s="34"/>
      <c r="F1960" s="35"/>
      <c r="G1960" s="9"/>
      <c r="H1960" s="9"/>
      <c r="I1960" s="34"/>
      <c r="J1960" s="30" t="str">
        <f aca="false">IF(F1960="","",G1960-B1960)</f>
        <v/>
      </c>
      <c r="K1960" s="31" t="str">
        <f aca="false">IF(F1960="","",IF(H1960&lt;&gt;"",H1960,MAX('Vade Sapması'!$D$3,G1960)))</f>
        <v/>
      </c>
      <c r="L1960" s="30" t="str">
        <f aca="false">IF(F1960="","",K1960-B1960)</f>
        <v/>
      </c>
      <c r="M1960" s="30" t="str">
        <f aca="false">IF(F1960="","",L1960-J1960)</f>
        <v/>
      </c>
      <c r="N1960" s="32" t="str">
        <f aca="false">IF(F1960="","",IF(H1960&lt;&gt;"","Kapandı",IF('Vade Sapması'!$D$3&gt;G1960,"Açık · vadesi geçti","Açık · vadesi gelmedi")))</f>
        <v/>
      </c>
      <c r="O1960" s="30" t="str">
        <f aca="false">IF(F1960="","",IF(AND(H1960="",'Vade Sapması'!$D$3&gt;G1960),'Vade Sapması'!$D$3-G1960,0))</f>
        <v/>
      </c>
      <c r="P1960" s="33" t="str">
        <f aca="false">IF(F1960="","",F1960*J1960)</f>
        <v/>
      </c>
      <c r="Q1960" s="33" t="str">
        <f aca="false">IF(F1960="","",F1960*L1960)</f>
        <v/>
      </c>
      <c r="R1960" s="33" t="str">
        <f aca="false">IF(F1960="","",IF(H1960="",F1960,0))</f>
        <v/>
      </c>
      <c r="S1960" s="32" t="str">
        <f aca="false">IF(F1960="","",IF(N(O1960)=0,"",IF(O1960&lt;=30,"1-30",IF(O1960&lt;=60,"31-60",IF(O1960&lt;=90,"61-90","90+")))))</f>
        <v/>
      </c>
      <c r="T1960" s="32" t="str">
        <f aca="false">IF(F1960="","",IF(E1960="","Diğer",E1960))</f>
        <v/>
      </c>
      <c r="U1960" s="32" t="str">
        <f aca="false">IF(OR(F1960="",C1960=""),"",IF(COUNTIF($C$2:C1960,C1960)=1,MAX($U$1:U1959)+1,""))</f>
        <v/>
      </c>
    </row>
    <row r="1961" customFormat="false" ht="15" hidden="false" customHeight="false" outlineLevel="0" collapsed="false">
      <c r="A1961" s="34"/>
      <c r="B1961" s="9"/>
      <c r="C1961" s="34"/>
      <c r="D1961" s="34"/>
      <c r="E1961" s="34"/>
      <c r="F1961" s="35"/>
      <c r="G1961" s="9"/>
      <c r="H1961" s="9"/>
      <c r="I1961" s="34"/>
      <c r="J1961" s="30" t="str">
        <f aca="false">IF(F1961="","",G1961-B1961)</f>
        <v/>
      </c>
      <c r="K1961" s="31" t="str">
        <f aca="false">IF(F1961="","",IF(H1961&lt;&gt;"",H1961,MAX('Vade Sapması'!$D$3,G1961)))</f>
        <v/>
      </c>
      <c r="L1961" s="30" t="str">
        <f aca="false">IF(F1961="","",K1961-B1961)</f>
        <v/>
      </c>
      <c r="M1961" s="30" t="str">
        <f aca="false">IF(F1961="","",L1961-J1961)</f>
        <v/>
      </c>
      <c r="N1961" s="32" t="str">
        <f aca="false">IF(F1961="","",IF(H1961&lt;&gt;"","Kapandı",IF('Vade Sapması'!$D$3&gt;G1961,"Açık · vadesi geçti","Açık · vadesi gelmedi")))</f>
        <v/>
      </c>
      <c r="O1961" s="30" t="str">
        <f aca="false">IF(F1961="","",IF(AND(H1961="",'Vade Sapması'!$D$3&gt;G1961),'Vade Sapması'!$D$3-G1961,0))</f>
        <v/>
      </c>
      <c r="P1961" s="33" t="str">
        <f aca="false">IF(F1961="","",F1961*J1961)</f>
        <v/>
      </c>
      <c r="Q1961" s="33" t="str">
        <f aca="false">IF(F1961="","",F1961*L1961)</f>
        <v/>
      </c>
      <c r="R1961" s="33" t="str">
        <f aca="false">IF(F1961="","",IF(H1961="",F1961,0))</f>
        <v/>
      </c>
      <c r="S1961" s="32" t="str">
        <f aca="false">IF(F1961="","",IF(N(O1961)=0,"",IF(O1961&lt;=30,"1-30",IF(O1961&lt;=60,"31-60",IF(O1961&lt;=90,"61-90","90+")))))</f>
        <v/>
      </c>
      <c r="T1961" s="32" t="str">
        <f aca="false">IF(F1961="","",IF(E1961="","Diğer",E1961))</f>
        <v/>
      </c>
      <c r="U1961" s="32" t="str">
        <f aca="false">IF(OR(F1961="",C1961=""),"",IF(COUNTIF($C$2:C1961,C1961)=1,MAX($U$1:U1960)+1,""))</f>
        <v/>
      </c>
    </row>
    <row r="1962" customFormat="false" ht="15" hidden="false" customHeight="false" outlineLevel="0" collapsed="false">
      <c r="A1962" s="34"/>
      <c r="B1962" s="9"/>
      <c r="C1962" s="34"/>
      <c r="D1962" s="34"/>
      <c r="E1962" s="34"/>
      <c r="F1962" s="35"/>
      <c r="G1962" s="9"/>
      <c r="H1962" s="9"/>
      <c r="I1962" s="34"/>
      <c r="J1962" s="30" t="str">
        <f aca="false">IF(F1962="","",G1962-B1962)</f>
        <v/>
      </c>
      <c r="K1962" s="31" t="str">
        <f aca="false">IF(F1962="","",IF(H1962&lt;&gt;"",H1962,MAX('Vade Sapması'!$D$3,G1962)))</f>
        <v/>
      </c>
      <c r="L1962" s="30" t="str">
        <f aca="false">IF(F1962="","",K1962-B1962)</f>
        <v/>
      </c>
      <c r="M1962" s="30" t="str">
        <f aca="false">IF(F1962="","",L1962-J1962)</f>
        <v/>
      </c>
      <c r="N1962" s="32" t="str">
        <f aca="false">IF(F1962="","",IF(H1962&lt;&gt;"","Kapandı",IF('Vade Sapması'!$D$3&gt;G1962,"Açık · vadesi geçti","Açık · vadesi gelmedi")))</f>
        <v/>
      </c>
      <c r="O1962" s="30" t="str">
        <f aca="false">IF(F1962="","",IF(AND(H1962="",'Vade Sapması'!$D$3&gt;G1962),'Vade Sapması'!$D$3-G1962,0))</f>
        <v/>
      </c>
      <c r="P1962" s="33" t="str">
        <f aca="false">IF(F1962="","",F1962*J1962)</f>
        <v/>
      </c>
      <c r="Q1962" s="33" t="str">
        <f aca="false">IF(F1962="","",F1962*L1962)</f>
        <v/>
      </c>
      <c r="R1962" s="33" t="str">
        <f aca="false">IF(F1962="","",IF(H1962="",F1962,0))</f>
        <v/>
      </c>
      <c r="S1962" s="32" t="str">
        <f aca="false">IF(F1962="","",IF(N(O1962)=0,"",IF(O1962&lt;=30,"1-30",IF(O1962&lt;=60,"31-60",IF(O1962&lt;=90,"61-90","90+")))))</f>
        <v/>
      </c>
      <c r="T1962" s="32" t="str">
        <f aca="false">IF(F1962="","",IF(E1962="","Diğer",E1962))</f>
        <v/>
      </c>
      <c r="U1962" s="32" t="str">
        <f aca="false">IF(OR(F1962="",C1962=""),"",IF(COUNTIF($C$2:C1962,C1962)=1,MAX($U$1:U1961)+1,""))</f>
        <v/>
      </c>
    </row>
    <row r="1963" customFormat="false" ht="15" hidden="false" customHeight="false" outlineLevel="0" collapsed="false">
      <c r="A1963" s="34"/>
      <c r="B1963" s="9"/>
      <c r="C1963" s="34"/>
      <c r="D1963" s="34"/>
      <c r="E1963" s="34"/>
      <c r="F1963" s="35"/>
      <c r="G1963" s="9"/>
      <c r="H1963" s="9"/>
      <c r="I1963" s="34"/>
      <c r="J1963" s="30" t="str">
        <f aca="false">IF(F1963="","",G1963-B1963)</f>
        <v/>
      </c>
      <c r="K1963" s="31" t="str">
        <f aca="false">IF(F1963="","",IF(H1963&lt;&gt;"",H1963,MAX('Vade Sapması'!$D$3,G1963)))</f>
        <v/>
      </c>
      <c r="L1963" s="30" t="str">
        <f aca="false">IF(F1963="","",K1963-B1963)</f>
        <v/>
      </c>
      <c r="M1963" s="30" t="str">
        <f aca="false">IF(F1963="","",L1963-J1963)</f>
        <v/>
      </c>
      <c r="N1963" s="32" t="str">
        <f aca="false">IF(F1963="","",IF(H1963&lt;&gt;"","Kapandı",IF('Vade Sapması'!$D$3&gt;G1963,"Açık · vadesi geçti","Açık · vadesi gelmedi")))</f>
        <v/>
      </c>
      <c r="O1963" s="30" t="str">
        <f aca="false">IF(F1963="","",IF(AND(H1963="",'Vade Sapması'!$D$3&gt;G1963),'Vade Sapması'!$D$3-G1963,0))</f>
        <v/>
      </c>
      <c r="P1963" s="33" t="str">
        <f aca="false">IF(F1963="","",F1963*J1963)</f>
        <v/>
      </c>
      <c r="Q1963" s="33" t="str">
        <f aca="false">IF(F1963="","",F1963*L1963)</f>
        <v/>
      </c>
      <c r="R1963" s="33" t="str">
        <f aca="false">IF(F1963="","",IF(H1963="",F1963,0))</f>
        <v/>
      </c>
      <c r="S1963" s="32" t="str">
        <f aca="false">IF(F1963="","",IF(N(O1963)=0,"",IF(O1963&lt;=30,"1-30",IF(O1963&lt;=60,"31-60",IF(O1963&lt;=90,"61-90","90+")))))</f>
        <v/>
      </c>
      <c r="T1963" s="32" t="str">
        <f aca="false">IF(F1963="","",IF(E1963="","Diğer",E1963))</f>
        <v/>
      </c>
      <c r="U1963" s="32" t="str">
        <f aca="false">IF(OR(F1963="",C1963=""),"",IF(COUNTIF($C$2:C1963,C1963)=1,MAX($U$1:U1962)+1,""))</f>
        <v/>
      </c>
    </row>
    <row r="1964" customFormat="false" ht="15" hidden="false" customHeight="false" outlineLevel="0" collapsed="false">
      <c r="A1964" s="34"/>
      <c r="B1964" s="9"/>
      <c r="C1964" s="34"/>
      <c r="D1964" s="34"/>
      <c r="E1964" s="34"/>
      <c r="F1964" s="35"/>
      <c r="G1964" s="9"/>
      <c r="H1964" s="9"/>
      <c r="I1964" s="34"/>
      <c r="J1964" s="30" t="str">
        <f aca="false">IF(F1964="","",G1964-B1964)</f>
        <v/>
      </c>
      <c r="K1964" s="31" t="str">
        <f aca="false">IF(F1964="","",IF(H1964&lt;&gt;"",H1964,MAX('Vade Sapması'!$D$3,G1964)))</f>
        <v/>
      </c>
      <c r="L1964" s="30" t="str">
        <f aca="false">IF(F1964="","",K1964-B1964)</f>
        <v/>
      </c>
      <c r="M1964" s="30" t="str">
        <f aca="false">IF(F1964="","",L1964-J1964)</f>
        <v/>
      </c>
      <c r="N1964" s="32" t="str">
        <f aca="false">IF(F1964="","",IF(H1964&lt;&gt;"","Kapandı",IF('Vade Sapması'!$D$3&gt;G1964,"Açık · vadesi geçti","Açık · vadesi gelmedi")))</f>
        <v/>
      </c>
      <c r="O1964" s="30" t="str">
        <f aca="false">IF(F1964="","",IF(AND(H1964="",'Vade Sapması'!$D$3&gt;G1964),'Vade Sapması'!$D$3-G1964,0))</f>
        <v/>
      </c>
      <c r="P1964" s="33" t="str">
        <f aca="false">IF(F1964="","",F1964*J1964)</f>
        <v/>
      </c>
      <c r="Q1964" s="33" t="str">
        <f aca="false">IF(F1964="","",F1964*L1964)</f>
        <v/>
      </c>
      <c r="R1964" s="33" t="str">
        <f aca="false">IF(F1964="","",IF(H1964="",F1964,0))</f>
        <v/>
      </c>
      <c r="S1964" s="32" t="str">
        <f aca="false">IF(F1964="","",IF(N(O1964)=0,"",IF(O1964&lt;=30,"1-30",IF(O1964&lt;=60,"31-60",IF(O1964&lt;=90,"61-90","90+")))))</f>
        <v/>
      </c>
      <c r="T1964" s="32" t="str">
        <f aca="false">IF(F1964="","",IF(E1964="","Diğer",E1964))</f>
        <v/>
      </c>
      <c r="U1964" s="32" t="str">
        <f aca="false">IF(OR(F1964="",C1964=""),"",IF(COUNTIF($C$2:C1964,C1964)=1,MAX($U$1:U1963)+1,""))</f>
        <v/>
      </c>
    </row>
    <row r="1965" customFormat="false" ht="15" hidden="false" customHeight="false" outlineLevel="0" collapsed="false">
      <c r="A1965" s="34"/>
      <c r="B1965" s="9"/>
      <c r="C1965" s="34"/>
      <c r="D1965" s="34"/>
      <c r="E1965" s="34"/>
      <c r="F1965" s="35"/>
      <c r="G1965" s="9"/>
      <c r="H1965" s="9"/>
      <c r="I1965" s="34"/>
      <c r="J1965" s="30" t="str">
        <f aca="false">IF(F1965="","",G1965-B1965)</f>
        <v/>
      </c>
      <c r="K1965" s="31" t="str">
        <f aca="false">IF(F1965="","",IF(H1965&lt;&gt;"",H1965,MAX('Vade Sapması'!$D$3,G1965)))</f>
        <v/>
      </c>
      <c r="L1965" s="30" t="str">
        <f aca="false">IF(F1965="","",K1965-B1965)</f>
        <v/>
      </c>
      <c r="M1965" s="30" t="str">
        <f aca="false">IF(F1965="","",L1965-J1965)</f>
        <v/>
      </c>
      <c r="N1965" s="32" t="str">
        <f aca="false">IF(F1965="","",IF(H1965&lt;&gt;"","Kapandı",IF('Vade Sapması'!$D$3&gt;G1965,"Açık · vadesi geçti","Açık · vadesi gelmedi")))</f>
        <v/>
      </c>
      <c r="O1965" s="30" t="str">
        <f aca="false">IF(F1965="","",IF(AND(H1965="",'Vade Sapması'!$D$3&gt;G1965),'Vade Sapması'!$D$3-G1965,0))</f>
        <v/>
      </c>
      <c r="P1965" s="33" t="str">
        <f aca="false">IF(F1965="","",F1965*J1965)</f>
        <v/>
      </c>
      <c r="Q1965" s="33" t="str">
        <f aca="false">IF(F1965="","",F1965*L1965)</f>
        <v/>
      </c>
      <c r="R1965" s="33" t="str">
        <f aca="false">IF(F1965="","",IF(H1965="",F1965,0))</f>
        <v/>
      </c>
      <c r="S1965" s="32" t="str">
        <f aca="false">IF(F1965="","",IF(N(O1965)=0,"",IF(O1965&lt;=30,"1-30",IF(O1965&lt;=60,"31-60",IF(O1965&lt;=90,"61-90","90+")))))</f>
        <v/>
      </c>
      <c r="T1965" s="32" t="str">
        <f aca="false">IF(F1965="","",IF(E1965="","Diğer",E1965))</f>
        <v/>
      </c>
      <c r="U1965" s="32" t="str">
        <f aca="false">IF(OR(F1965="",C1965=""),"",IF(COUNTIF($C$2:C1965,C1965)=1,MAX($U$1:U1964)+1,""))</f>
        <v/>
      </c>
    </row>
    <row r="1966" customFormat="false" ht="15" hidden="false" customHeight="false" outlineLevel="0" collapsed="false">
      <c r="A1966" s="34"/>
      <c r="B1966" s="9"/>
      <c r="C1966" s="34"/>
      <c r="D1966" s="34"/>
      <c r="E1966" s="34"/>
      <c r="F1966" s="35"/>
      <c r="G1966" s="9"/>
      <c r="H1966" s="9"/>
      <c r="I1966" s="34"/>
      <c r="J1966" s="30" t="str">
        <f aca="false">IF(F1966="","",G1966-B1966)</f>
        <v/>
      </c>
      <c r="K1966" s="31" t="str">
        <f aca="false">IF(F1966="","",IF(H1966&lt;&gt;"",H1966,MAX('Vade Sapması'!$D$3,G1966)))</f>
        <v/>
      </c>
      <c r="L1966" s="30" t="str">
        <f aca="false">IF(F1966="","",K1966-B1966)</f>
        <v/>
      </c>
      <c r="M1966" s="30" t="str">
        <f aca="false">IF(F1966="","",L1966-J1966)</f>
        <v/>
      </c>
      <c r="N1966" s="32" t="str">
        <f aca="false">IF(F1966="","",IF(H1966&lt;&gt;"","Kapandı",IF('Vade Sapması'!$D$3&gt;G1966,"Açık · vadesi geçti","Açık · vadesi gelmedi")))</f>
        <v/>
      </c>
      <c r="O1966" s="30" t="str">
        <f aca="false">IF(F1966="","",IF(AND(H1966="",'Vade Sapması'!$D$3&gt;G1966),'Vade Sapması'!$D$3-G1966,0))</f>
        <v/>
      </c>
      <c r="P1966" s="33" t="str">
        <f aca="false">IF(F1966="","",F1966*J1966)</f>
        <v/>
      </c>
      <c r="Q1966" s="33" t="str">
        <f aca="false">IF(F1966="","",F1966*L1966)</f>
        <v/>
      </c>
      <c r="R1966" s="33" t="str">
        <f aca="false">IF(F1966="","",IF(H1966="",F1966,0))</f>
        <v/>
      </c>
      <c r="S1966" s="32" t="str">
        <f aca="false">IF(F1966="","",IF(N(O1966)=0,"",IF(O1966&lt;=30,"1-30",IF(O1966&lt;=60,"31-60",IF(O1966&lt;=90,"61-90","90+")))))</f>
        <v/>
      </c>
      <c r="T1966" s="32" t="str">
        <f aca="false">IF(F1966="","",IF(E1966="","Diğer",E1966))</f>
        <v/>
      </c>
      <c r="U1966" s="32" t="str">
        <f aca="false">IF(OR(F1966="",C1966=""),"",IF(COUNTIF($C$2:C1966,C1966)=1,MAX($U$1:U1965)+1,""))</f>
        <v/>
      </c>
    </row>
    <row r="1967" customFormat="false" ht="15" hidden="false" customHeight="false" outlineLevel="0" collapsed="false">
      <c r="A1967" s="34"/>
      <c r="B1967" s="9"/>
      <c r="C1967" s="34"/>
      <c r="D1967" s="34"/>
      <c r="E1967" s="34"/>
      <c r="F1967" s="35"/>
      <c r="G1967" s="9"/>
      <c r="H1967" s="9"/>
      <c r="I1967" s="34"/>
      <c r="J1967" s="30" t="str">
        <f aca="false">IF(F1967="","",G1967-B1967)</f>
        <v/>
      </c>
      <c r="K1967" s="31" t="str">
        <f aca="false">IF(F1967="","",IF(H1967&lt;&gt;"",H1967,MAX('Vade Sapması'!$D$3,G1967)))</f>
        <v/>
      </c>
      <c r="L1967" s="30" t="str">
        <f aca="false">IF(F1967="","",K1967-B1967)</f>
        <v/>
      </c>
      <c r="M1967" s="30" t="str">
        <f aca="false">IF(F1967="","",L1967-J1967)</f>
        <v/>
      </c>
      <c r="N1967" s="32" t="str">
        <f aca="false">IF(F1967="","",IF(H1967&lt;&gt;"","Kapandı",IF('Vade Sapması'!$D$3&gt;G1967,"Açık · vadesi geçti","Açık · vadesi gelmedi")))</f>
        <v/>
      </c>
      <c r="O1967" s="30" t="str">
        <f aca="false">IF(F1967="","",IF(AND(H1967="",'Vade Sapması'!$D$3&gt;G1967),'Vade Sapması'!$D$3-G1967,0))</f>
        <v/>
      </c>
      <c r="P1967" s="33" t="str">
        <f aca="false">IF(F1967="","",F1967*J1967)</f>
        <v/>
      </c>
      <c r="Q1967" s="33" t="str">
        <f aca="false">IF(F1967="","",F1967*L1967)</f>
        <v/>
      </c>
      <c r="R1967" s="33" t="str">
        <f aca="false">IF(F1967="","",IF(H1967="",F1967,0))</f>
        <v/>
      </c>
      <c r="S1967" s="32" t="str">
        <f aca="false">IF(F1967="","",IF(N(O1967)=0,"",IF(O1967&lt;=30,"1-30",IF(O1967&lt;=60,"31-60",IF(O1967&lt;=90,"61-90","90+")))))</f>
        <v/>
      </c>
      <c r="T1967" s="32" t="str">
        <f aca="false">IF(F1967="","",IF(E1967="","Diğer",E1967))</f>
        <v/>
      </c>
      <c r="U1967" s="32" t="str">
        <f aca="false">IF(OR(F1967="",C1967=""),"",IF(COUNTIF($C$2:C1967,C1967)=1,MAX($U$1:U1966)+1,""))</f>
        <v/>
      </c>
    </row>
    <row r="1968" customFormat="false" ht="15" hidden="false" customHeight="false" outlineLevel="0" collapsed="false">
      <c r="A1968" s="34"/>
      <c r="B1968" s="9"/>
      <c r="C1968" s="34"/>
      <c r="D1968" s="34"/>
      <c r="E1968" s="34"/>
      <c r="F1968" s="35"/>
      <c r="G1968" s="9"/>
      <c r="H1968" s="9"/>
      <c r="I1968" s="34"/>
      <c r="J1968" s="30" t="str">
        <f aca="false">IF(F1968="","",G1968-B1968)</f>
        <v/>
      </c>
      <c r="K1968" s="31" t="str">
        <f aca="false">IF(F1968="","",IF(H1968&lt;&gt;"",H1968,MAX('Vade Sapması'!$D$3,G1968)))</f>
        <v/>
      </c>
      <c r="L1968" s="30" t="str">
        <f aca="false">IF(F1968="","",K1968-B1968)</f>
        <v/>
      </c>
      <c r="M1968" s="30" t="str">
        <f aca="false">IF(F1968="","",L1968-J1968)</f>
        <v/>
      </c>
      <c r="N1968" s="32" t="str">
        <f aca="false">IF(F1968="","",IF(H1968&lt;&gt;"","Kapandı",IF('Vade Sapması'!$D$3&gt;G1968,"Açık · vadesi geçti","Açık · vadesi gelmedi")))</f>
        <v/>
      </c>
      <c r="O1968" s="30" t="str">
        <f aca="false">IF(F1968="","",IF(AND(H1968="",'Vade Sapması'!$D$3&gt;G1968),'Vade Sapması'!$D$3-G1968,0))</f>
        <v/>
      </c>
      <c r="P1968" s="33" t="str">
        <f aca="false">IF(F1968="","",F1968*J1968)</f>
        <v/>
      </c>
      <c r="Q1968" s="33" t="str">
        <f aca="false">IF(F1968="","",F1968*L1968)</f>
        <v/>
      </c>
      <c r="R1968" s="33" t="str">
        <f aca="false">IF(F1968="","",IF(H1968="",F1968,0))</f>
        <v/>
      </c>
      <c r="S1968" s="32" t="str">
        <f aca="false">IF(F1968="","",IF(N(O1968)=0,"",IF(O1968&lt;=30,"1-30",IF(O1968&lt;=60,"31-60",IF(O1968&lt;=90,"61-90","90+")))))</f>
        <v/>
      </c>
      <c r="T1968" s="32" t="str">
        <f aca="false">IF(F1968="","",IF(E1968="","Diğer",E1968))</f>
        <v/>
      </c>
      <c r="U1968" s="32" t="str">
        <f aca="false">IF(OR(F1968="",C1968=""),"",IF(COUNTIF($C$2:C1968,C1968)=1,MAX($U$1:U1967)+1,""))</f>
        <v/>
      </c>
    </row>
    <row r="1969" customFormat="false" ht="15" hidden="false" customHeight="false" outlineLevel="0" collapsed="false">
      <c r="A1969" s="34"/>
      <c r="B1969" s="9"/>
      <c r="C1969" s="34"/>
      <c r="D1969" s="34"/>
      <c r="E1969" s="34"/>
      <c r="F1969" s="35"/>
      <c r="G1969" s="9"/>
      <c r="H1969" s="9"/>
      <c r="I1969" s="34"/>
      <c r="J1969" s="30" t="str">
        <f aca="false">IF(F1969="","",G1969-B1969)</f>
        <v/>
      </c>
      <c r="K1969" s="31" t="str">
        <f aca="false">IF(F1969="","",IF(H1969&lt;&gt;"",H1969,MAX('Vade Sapması'!$D$3,G1969)))</f>
        <v/>
      </c>
      <c r="L1969" s="30" t="str">
        <f aca="false">IF(F1969="","",K1969-B1969)</f>
        <v/>
      </c>
      <c r="M1969" s="30" t="str">
        <f aca="false">IF(F1969="","",L1969-J1969)</f>
        <v/>
      </c>
      <c r="N1969" s="32" t="str">
        <f aca="false">IF(F1969="","",IF(H1969&lt;&gt;"","Kapandı",IF('Vade Sapması'!$D$3&gt;G1969,"Açık · vadesi geçti","Açık · vadesi gelmedi")))</f>
        <v/>
      </c>
      <c r="O1969" s="30" t="str">
        <f aca="false">IF(F1969="","",IF(AND(H1969="",'Vade Sapması'!$D$3&gt;G1969),'Vade Sapması'!$D$3-G1969,0))</f>
        <v/>
      </c>
      <c r="P1969" s="33" t="str">
        <f aca="false">IF(F1969="","",F1969*J1969)</f>
        <v/>
      </c>
      <c r="Q1969" s="33" t="str">
        <f aca="false">IF(F1969="","",F1969*L1969)</f>
        <v/>
      </c>
      <c r="R1969" s="33" t="str">
        <f aca="false">IF(F1969="","",IF(H1969="",F1969,0))</f>
        <v/>
      </c>
      <c r="S1969" s="32" t="str">
        <f aca="false">IF(F1969="","",IF(N(O1969)=0,"",IF(O1969&lt;=30,"1-30",IF(O1969&lt;=60,"31-60",IF(O1969&lt;=90,"61-90","90+")))))</f>
        <v/>
      </c>
      <c r="T1969" s="32" t="str">
        <f aca="false">IF(F1969="","",IF(E1969="","Diğer",E1969))</f>
        <v/>
      </c>
      <c r="U1969" s="32" t="str">
        <f aca="false">IF(OR(F1969="",C1969=""),"",IF(COUNTIF($C$2:C1969,C1969)=1,MAX($U$1:U1968)+1,""))</f>
        <v/>
      </c>
    </row>
    <row r="1970" customFormat="false" ht="15" hidden="false" customHeight="false" outlineLevel="0" collapsed="false">
      <c r="A1970" s="34"/>
      <c r="B1970" s="9"/>
      <c r="C1970" s="34"/>
      <c r="D1970" s="34"/>
      <c r="E1970" s="34"/>
      <c r="F1970" s="35"/>
      <c r="G1970" s="9"/>
      <c r="H1970" s="9"/>
      <c r="I1970" s="34"/>
      <c r="J1970" s="30" t="str">
        <f aca="false">IF(F1970="","",G1970-B1970)</f>
        <v/>
      </c>
      <c r="K1970" s="31" t="str">
        <f aca="false">IF(F1970="","",IF(H1970&lt;&gt;"",H1970,MAX('Vade Sapması'!$D$3,G1970)))</f>
        <v/>
      </c>
      <c r="L1970" s="30" t="str">
        <f aca="false">IF(F1970="","",K1970-B1970)</f>
        <v/>
      </c>
      <c r="M1970" s="30" t="str">
        <f aca="false">IF(F1970="","",L1970-J1970)</f>
        <v/>
      </c>
      <c r="N1970" s="32" t="str">
        <f aca="false">IF(F1970="","",IF(H1970&lt;&gt;"","Kapandı",IF('Vade Sapması'!$D$3&gt;G1970,"Açık · vadesi geçti","Açık · vadesi gelmedi")))</f>
        <v/>
      </c>
      <c r="O1970" s="30" t="str">
        <f aca="false">IF(F1970="","",IF(AND(H1970="",'Vade Sapması'!$D$3&gt;G1970),'Vade Sapması'!$D$3-G1970,0))</f>
        <v/>
      </c>
      <c r="P1970" s="33" t="str">
        <f aca="false">IF(F1970="","",F1970*J1970)</f>
        <v/>
      </c>
      <c r="Q1970" s="33" t="str">
        <f aca="false">IF(F1970="","",F1970*L1970)</f>
        <v/>
      </c>
      <c r="R1970" s="33" t="str">
        <f aca="false">IF(F1970="","",IF(H1970="",F1970,0))</f>
        <v/>
      </c>
      <c r="S1970" s="32" t="str">
        <f aca="false">IF(F1970="","",IF(N(O1970)=0,"",IF(O1970&lt;=30,"1-30",IF(O1970&lt;=60,"31-60",IF(O1970&lt;=90,"61-90","90+")))))</f>
        <v/>
      </c>
      <c r="T1970" s="32" t="str">
        <f aca="false">IF(F1970="","",IF(E1970="","Diğer",E1970))</f>
        <v/>
      </c>
      <c r="U1970" s="32" t="str">
        <f aca="false">IF(OR(F1970="",C1970=""),"",IF(COUNTIF($C$2:C1970,C1970)=1,MAX($U$1:U1969)+1,""))</f>
        <v/>
      </c>
    </row>
    <row r="1971" customFormat="false" ht="15" hidden="false" customHeight="false" outlineLevel="0" collapsed="false">
      <c r="A1971" s="34"/>
      <c r="B1971" s="9"/>
      <c r="C1971" s="34"/>
      <c r="D1971" s="34"/>
      <c r="E1971" s="34"/>
      <c r="F1971" s="35"/>
      <c r="G1971" s="9"/>
      <c r="H1971" s="9"/>
      <c r="I1971" s="34"/>
      <c r="J1971" s="30" t="str">
        <f aca="false">IF(F1971="","",G1971-B1971)</f>
        <v/>
      </c>
      <c r="K1971" s="31" t="str">
        <f aca="false">IF(F1971="","",IF(H1971&lt;&gt;"",H1971,MAX('Vade Sapması'!$D$3,G1971)))</f>
        <v/>
      </c>
      <c r="L1971" s="30" t="str">
        <f aca="false">IF(F1971="","",K1971-B1971)</f>
        <v/>
      </c>
      <c r="M1971" s="30" t="str">
        <f aca="false">IF(F1971="","",L1971-J1971)</f>
        <v/>
      </c>
      <c r="N1971" s="32" t="str">
        <f aca="false">IF(F1971="","",IF(H1971&lt;&gt;"","Kapandı",IF('Vade Sapması'!$D$3&gt;G1971,"Açık · vadesi geçti","Açık · vadesi gelmedi")))</f>
        <v/>
      </c>
      <c r="O1971" s="30" t="str">
        <f aca="false">IF(F1971="","",IF(AND(H1971="",'Vade Sapması'!$D$3&gt;G1971),'Vade Sapması'!$D$3-G1971,0))</f>
        <v/>
      </c>
      <c r="P1971" s="33" t="str">
        <f aca="false">IF(F1971="","",F1971*J1971)</f>
        <v/>
      </c>
      <c r="Q1971" s="33" t="str">
        <f aca="false">IF(F1971="","",F1971*L1971)</f>
        <v/>
      </c>
      <c r="R1971" s="33" t="str">
        <f aca="false">IF(F1971="","",IF(H1971="",F1971,0))</f>
        <v/>
      </c>
      <c r="S1971" s="32" t="str">
        <f aca="false">IF(F1971="","",IF(N(O1971)=0,"",IF(O1971&lt;=30,"1-30",IF(O1971&lt;=60,"31-60",IF(O1971&lt;=90,"61-90","90+")))))</f>
        <v/>
      </c>
      <c r="T1971" s="32" t="str">
        <f aca="false">IF(F1971="","",IF(E1971="","Diğer",E1971))</f>
        <v/>
      </c>
      <c r="U1971" s="32" t="str">
        <f aca="false">IF(OR(F1971="",C1971=""),"",IF(COUNTIF($C$2:C1971,C1971)=1,MAX($U$1:U1970)+1,""))</f>
        <v/>
      </c>
    </row>
    <row r="1972" customFormat="false" ht="15" hidden="false" customHeight="false" outlineLevel="0" collapsed="false">
      <c r="A1972" s="34"/>
      <c r="B1972" s="9"/>
      <c r="C1972" s="34"/>
      <c r="D1972" s="34"/>
      <c r="E1972" s="34"/>
      <c r="F1972" s="35"/>
      <c r="G1972" s="9"/>
      <c r="H1972" s="9"/>
      <c r="I1972" s="34"/>
      <c r="J1972" s="30" t="str">
        <f aca="false">IF(F1972="","",G1972-B1972)</f>
        <v/>
      </c>
      <c r="K1972" s="31" t="str">
        <f aca="false">IF(F1972="","",IF(H1972&lt;&gt;"",H1972,MAX('Vade Sapması'!$D$3,G1972)))</f>
        <v/>
      </c>
      <c r="L1972" s="30" t="str">
        <f aca="false">IF(F1972="","",K1972-B1972)</f>
        <v/>
      </c>
      <c r="M1972" s="30" t="str">
        <f aca="false">IF(F1972="","",L1972-J1972)</f>
        <v/>
      </c>
      <c r="N1972" s="32" t="str">
        <f aca="false">IF(F1972="","",IF(H1972&lt;&gt;"","Kapandı",IF('Vade Sapması'!$D$3&gt;G1972,"Açık · vadesi geçti","Açık · vadesi gelmedi")))</f>
        <v/>
      </c>
      <c r="O1972" s="30" t="str">
        <f aca="false">IF(F1972="","",IF(AND(H1972="",'Vade Sapması'!$D$3&gt;G1972),'Vade Sapması'!$D$3-G1972,0))</f>
        <v/>
      </c>
      <c r="P1972" s="33" t="str">
        <f aca="false">IF(F1972="","",F1972*J1972)</f>
        <v/>
      </c>
      <c r="Q1972" s="33" t="str">
        <f aca="false">IF(F1972="","",F1972*L1972)</f>
        <v/>
      </c>
      <c r="R1972" s="33" t="str">
        <f aca="false">IF(F1972="","",IF(H1972="",F1972,0))</f>
        <v/>
      </c>
      <c r="S1972" s="32" t="str">
        <f aca="false">IF(F1972="","",IF(N(O1972)=0,"",IF(O1972&lt;=30,"1-30",IF(O1972&lt;=60,"31-60",IF(O1972&lt;=90,"61-90","90+")))))</f>
        <v/>
      </c>
      <c r="T1972" s="32" t="str">
        <f aca="false">IF(F1972="","",IF(E1972="","Diğer",E1972))</f>
        <v/>
      </c>
      <c r="U1972" s="32" t="str">
        <f aca="false">IF(OR(F1972="",C1972=""),"",IF(COUNTIF($C$2:C1972,C1972)=1,MAX($U$1:U1971)+1,""))</f>
        <v/>
      </c>
    </row>
    <row r="1973" customFormat="false" ht="15" hidden="false" customHeight="false" outlineLevel="0" collapsed="false">
      <c r="A1973" s="34"/>
      <c r="B1973" s="9"/>
      <c r="C1973" s="34"/>
      <c r="D1973" s="34"/>
      <c r="E1973" s="34"/>
      <c r="F1973" s="35"/>
      <c r="G1973" s="9"/>
      <c r="H1973" s="9"/>
      <c r="I1973" s="34"/>
      <c r="J1973" s="30" t="str">
        <f aca="false">IF(F1973="","",G1973-B1973)</f>
        <v/>
      </c>
      <c r="K1973" s="31" t="str">
        <f aca="false">IF(F1973="","",IF(H1973&lt;&gt;"",H1973,MAX('Vade Sapması'!$D$3,G1973)))</f>
        <v/>
      </c>
      <c r="L1973" s="30" t="str">
        <f aca="false">IF(F1973="","",K1973-B1973)</f>
        <v/>
      </c>
      <c r="M1973" s="30" t="str">
        <f aca="false">IF(F1973="","",L1973-J1973)</f>
        <v/>
      </c>
      <c r="N1973" s="32" t="str">
        <f aca="false">IF(F1973="","",IF(H1973&lt;&gt;"","Kapandı",IF('Vade Sapması'!$D$3&gt;G1973,"Açık · vadesi geçti","Açık · vadesi gelmedi")))</f>
        <v/>
      </c>
      <c r="O1973" s="30" t="str">
        <f aca="false">IF(F1973="","",IF(AND(H1973="",'Vade Sapması'!$D$3&gt;G1973),'Vade Sapması'!$D$3-G1973,0))</f>
        <v/>
      </c>
      <c r="P1973" s="33" t="str">
        <f aca="false">IF(F1973="","",F1973*J1973)</f>
        <v/>
      </c>
      <c r="Q1973" s="33" t="str">
        <f aca="false">IF(F1973="","",F1973*L1973)</f>
        <v/>
      </c>
      <c r="R1973" s="33" t="str">
        <f aca="false">IF(F1973="","",IF(H1973="",F1973,0))</f>
        <v/>
      </c>
      <c r="S1973" s="32" t="str">
        <f aca="false">IF(F1973="","",IF(N(O1973)=0,"",IF(O1973&lt;=30,"1-30",IF(O1973&lt;=60,"31-60",IF(O1973&lt;=90,"61-90","90+")))))</f>
        <v/>
      </c>
      <c r="T1973" s="32" t="str">
        <f aca="false">IF(F1973="","",IF(E1973="","Diğer",E1973))</f>
        <v/>
      </c>
      <c r="U1973" s="32" t="str">
        <f aca="false">IF(OR(F1973="",C1973=""),"",IF(COUNTIF($C$2:C1973,C1973)=1,MAX($U$1:U1972)+1,""))</f>
        <v/>
      </c>
    </row>
    <row r="1974" customFormat="false" ht="15" hidden="false" customHeight="false" outlineLevel="0" collapsed="false">
      <c r="A1974" s="34"/>
      <c r="B1974" s="9"/>
      <c r="C1974" s="34"/>
      <c r="D1974" s="34"/>
      <c r="E1974" s="34"/>
      <c r="F1974" s="35"/>
      <c r="G1974" s="9"/>
      <c r="H1974" s="9"/>
      <c r="I1974" s="34"/>
      <c r="J1974" s="30" t="str">
        <f aca="false">IF(F1974="","",G1974-B1974)</f>
        <v/>
      </c>
      <c r="K1974" s="31" t="str">
        <f aca="false">IF(F1974="","",IF(H1974&lt;&gt;"",H1974,MAX('Vade Sapması'!$D$3,G1974)))</f>
        <v/>
      </c>
      <c r="L1974" s="30" t="str">
        <f aca="false">IF(F1974="","",K1974-B1974)</f>
        <v/>
      </c>
      <c r="M1974" s="30" t="str">
        <f aca="false">IF(F1974="","",L1974-J1974)</f>
        <v/>
      </c>
      <c r="N1974" s="32" t="str">
        <f aca="false">IF(F1974="","",IF(H1974&lt;&gt;"","Kapandı",IF('Vade Sapması'!$D$3&gt;G1974,"Açık · vadesi geçti","Açık · vadesi gelmedi")))</f>
        <v/>
      </c>
      <c r="O1974" s="30" t="str">
        <f aca="false">IF(F1974="","",IF(AND(H1974="",'Vade Sapması'!$D$3&gt;G1974),'Vade Sapması'!$D$3-G1974,0))</f>
        <v/>
      </c>
      <c r="P1974" s="33" t="str">
        <f aca="false">IF(F1974="","",F1974*J1974)</f>
        <v/>
      </c>
      <c r="Q1974" s="33" t="str">
        <f aca="false">IF(F1974="","",F1974*L1974)</f>
        <v/>
      </c>
      <c r="R1974" s="33" t="str">
        <f aca="false">IF(F1974="","",IF(H1974="",F1974,0))</f>
        <v/>
      </c>
      <c r="S1974" s="32" t="str">
        <f aca="false">IF(F1974="","",IF(N(O1974)=0,"",IF(O1974&lt;=30,"1-30",IF(O1974&lt;=60,"31-60",IF(O1974&lt;=90,"61-90","90+")))))</f>
        <v/>
      </c>
      <c r="T1974" s="32" t="str">
        <f aca="false">IF(F1974="","",IF(E1974="","Diğer",E1974))</f>
        <v/>
      </c>
      <c r="U1974" s="32" t="str">
        <f aca="false">IF(OR(F1974="",C1974=""),"",IF(COUNTIF($C$2:C1974,C1974)=1,MAX($U$1:U1973)+1,""))</f>
        <v/>
      </c>
    </row>
    <row r="1975" customFormat="false" ht="15" hidden="false" customHeight="false" outlineLevel="0" collapsed="false">
      <c r="A1975" s="34"/>
      <c r="B1975" s="9"/>
      <c r="C1975" s="34"/>
      <c r="D1975" s="34"/>
      <c r="E1975" s="34"/>
      <c r="F1975" s="35"/>
      <c r="G1975" s="9"/>
      <c r="H1975" s="9"/>
      <c r="I1975" s="34"/>
      <c r="J1975" s="30" t="str">
        <f aca="false">IF(F1975="","",G1975-B1975)</f>
        <v/>
      </c>
      <c r="K1975" s="31" t="str">
        <f aca="false">IF(F1975="","",IF(H1975&lt;&gt;"",H1975,MAX('Vade Sapması'!$D$3,G1975)))</f>
        <v/>
      </c>
      <c r="L1975" s="30" t="str">
        <f aca="false">IF(F1975="","",K1975-B1975)</f>
        <v/>
      </c>
      <c r="M1975" s="30" t="str">
        <f aca="false">IF(F1975="","",L1975-J1975)</f>
        <v/>
      </c>
      <c r="N1975" s="32" t="str">
        <f aca="false">IF(F1975="","",IF(H1975&lt;&gt;"","Kapandı",IF('Vade Sapması'!$D$3&gt;G1975,"Açık · vadesi geçti","Açık · vadesi gelmedi")))</f>
        <v/>
      </c>
      <c r="O1975" s="30" t="str">
        <f aca="false">IF(F1975="","",IF(AND(H1975="",'Vade Sapması'!$D$3&gt;G1975),'Vade Sapması'!$D$3-G1975,0))</f>
        <v/>
      </c>
      <c r="P1975" s="33" t="str">
        <f aca="false">IF(F1975="","",F1975*J1975)</f>
        <v/>
      </c>
      <c r="Q1975" s="33" t="str">
        <f aca="false">IF(F1975="","",F1975*L1975)</f>
        <v/>
      </c>
      <c r="R1975" s="33" t="str">
        <f aca="false">IF(F1975="","",IF(H1975="",F1975,0))</f>
        <v/>
      </c>
      <c r="S1975" s="32" t="str">
        <f aca="false">IF(F1975="","",IF(N(O1975)=0,"",IF(O1975&lt;=30,"1-30",IF(O1975&lt;=60,"31-60",IF(O1975&lt;=90,"61-90","90+")))))</f>
        <v/>
      </c>
      <c r="T1975" s="32" t="str">
        <f aca="false">IF(F1975="","",IF(E1975="","Diğer",E1975))</f>
        <v/>
      </c>
      <c r="U1975" s="32" t="str">
        <f aca="false">IF(OR(F1975="",C1975=""),"",IF(COUNTIF($C$2:C1975,C1975)=1,MAX($U$1:U1974)+1,""))</f>
        <v/>
      </c>
    </row>
    <row r="1976" customFormat="false" ht="15" hidden="false" customHeight="false" outlineLevel="0" collapsed="false">
      <c r="A1976" s="34"/>
      <c r="B1976" s="9"/>
      <c r="C1976" s="34"/>
      <c r="D1976" s="34"/>
      <c r="E1976" s="34"/>
      <c r="F1976" s="35"/>
      <c r="G1976" s="9"/>
      <c r="H1976" s="9"/>
      <c r="I1976" s="34"/>
      <c r="J1976" s="30" t="str">
        <f aca="false">IF(F1976="","",G1976-B1976)</f>
        <v/>
      </c>
      <c r="K1976" s="31" t="str">
        <f aca="false">IF(F1976="","",IF(H1976&lt;&gt;"",H1976,MAX('Vade Sapması'!$D$3,G1976)))</f>
        <v/>
      </c>
      <c r="L1976" s="30" t="str">
        <f aca="false">IF(F1976="","",K1976-B1976)</f>
        <v/>
      </c>
      <c r="M1976" s="30" t="str">
        <f aca="false">IF(F1976="","",L1976-J1976)</f>
        <v/>
      </c>
      <c r="N1976" s="32" t="str">
        <f aca="false">IF(F1976="","",IF(H1976&lt;&gt;"","Kapandı",IF('Vade Sapması'!$D$3&gt;G1976,"Açık · vadesi geçti","Açık · vadesi gelmedi")))</f>
        <v/>
      </c>
      <c r="O1976" s="30" t="str">
        <f aca="false">IF(F1976="","",IF(AND(H1976="",'Vade Sapması'!$D$3&gt;G1976),'Vade Sapması'!$D$3-G1976,0))</f>
        <v/>
      </c>
      <c r="P1976" s="33" t="str">
        <f aca="false">IF(F1976="","",F1976*J1976)</f>
        <v/>
      </c>
      <c r="Q1976" s="33" t="str">
        <f aca="false">IF(F1976="","",F1976*L1976)</f>
        <v/>
      </c>
      <c r="R1976" s="33" t="str">
        <f aca="false">IF(F1976="","",IF(H1976="",F1976,0))</f>
        <v/>
      </c>
      <c r="S1976" s="32" t="str">
        <f aca="false">IF(F1976="","",IF(N(O1976)=0,"",IF(O1976&lt;=30,"1-30",IF(O1976&lt;=60,"31-60",IF(O1976&lt;=90,"61-90","90+")))))</f>
        <v/>
      </c>
      <c r="T1976" s="32" t="str">
        <f aca="false">IF(F1976="","",IF(E1976="","Diğer",E1976))</f>
        <v/>
      </c>
      <c r="U1976" s="32" t="str">
        <f aca="false">IF(OR(F1976="",C1976=""),"",IF(COUNTIF($C$2:C1976,C1976)=1,MAX($U$1:U1975)+1,""))</f>
        <v/>
      </c>
    </row>
    <row r="1977" customFormat="false" ht="15" hidden="false" customHeight="false" outlineLevel="0" collapsed="false">
      <c r="A1977" s="34"/>
      <c r="B1977" s="9"/>
      <c r="C1977" s="34"/>
      <c r="D1977" s="34"/>
      <c r="E1977" s="34"/>
      <c r="F1977" s="35"/>
      <c r="G1977" s="9"/>
      <c r="H1977" s="9"/>
      <c r="I1977" s="34"/>
      <c r="J1977" s="30" t="str">
        <f aca="false">IF(F1977="","",G1977-B1977)</f>
        <v/>
      </c>
      <c r="K1977" s="31" t="str">
        <f aca="false">IF(F1977="","",IF(H1977&lt;&gt;"",H1977,MAX('Vade Sapması'!$D$3,G1977)))</f>
        <v/>
      </c>
      <c r="L1977" s="30" t="str">
        <f aca="false">IF(F1977="","",K1977-B1977)</f>
        <v/>
      </c>
      <c r="M1977" s="30" t="str">
        <f aca="false">IF(F1977="","",L1977-J1977)</f>
        <v/>
      </c>
      <c r="N1977" s="32" t="str">
        <f aca="false">IF(F1977="","",IF(H1977&lt;&gt;"","Kapandı",IF('Vade Sapması'!$D$3&gt;G1977,"Açık · vadesi geçti","Açık · vadesi gelmedi")))</f>
        <v/>
      </c>
      <c r="O1977" s="30" t="str">
        <f aca="false">IF(F1977="","",IF(AND(H1977="",'Vade Sapması'!$D$3&gt;G1977),'Vade Sapması'!$D$3-G1977,0))</f>
        <v/>
      </c>
      <c r="P1977" s="33" t="str">
        <f aca="false">IF(F1977="","",F1977*J1977)</f>
        <v/>
      </c>
      <c r="Q1977" s="33" t="str">
        <f aca="false">IF(F1977="","",F1977*L1977)</f>
        <v/>
      </c>
      <c r="R1977" s="33" t="str">
        <f aca="false">IF(F1977="","",IF(H1977="",F1977,0))</f>
        <v/>
      </c>
      <c r="S1977" s="32" t="str">
        <f aca="false">IF(F1977="","",IF(N(O1977)=0,"",IF(O1977&lt;=30,"1-30",IF(O1977&lt;=60,"31-60",IF(O1977&lt;=90,"61-90","90+")))))</f>
        <v/>
      </c>
      <c r="T1977" s="32" t="str">
        <f aca="false">IF(F1977="","",IF(E1977="","Diğer",E1977))</f>
        <v/>
      </c>
      <c r="U1977" s="32" t="str">
        <f aca="false">IF(OR(F1977="",C1977=""),"",IF(COUNTIF($C$2:C1977,C1977)=1,MAX($U$1:U1976)+1,""))</f>
        <v/>
      </c>
    </row>
    <row r="1978" customFormat="false" ht="15" hidden="false" customHeight="false" outlineLevel="0" collapsed="false">
      <c r="A1978" s="34"/>
      <c r="B1978" s="9"/>
      <c r="C1978" s="34"/>
      <c r="D1978" s="34"/>
      <c r="E1978" s="34"/>
      <c r="F1978" s="35"/>
      <c r="G1978" s="9"/>
      <c r="H1978" s="9"/>
      <c r="I1978" s="34"/>
      <c r="J1978" s="30" t="str">
        <f aca="false">IF(F1978="","",G1978-B1978)</f>
        <v/>
      </c>
      <c r="K1978" s="31" t="str">
        <f aca="false">IF(F1978="","",IF(H1978&lt;&gt;"",H1978,MAX('Vade Sapması'!$D$3,G1978)))</f>
        <v/>
      </c>
      <c r="L1978" s="30" t="str">
        <f aca="false">IF(F1978="","",K1978-B1978)</f>
        <v/>
      </c>
      <c r="M1978" s="30" t="str">
        <f aca="false">IF(F1978="","",L1978-J1978)</f>
        <v/>
      </c>
      <c r="N1978" s="32" t="str">
        <f aca="false">IF(F1978="","",IF(H1978&lt;&gt;"","Kapandı",IF('Vade Sapması'!$D$3&gt;G1978,"Açık · vadesi geçti","Açık · vadesi gelmedi")))</f>
        <v/>
      </c>
      <c r="O1978" s="30" t="str">
        <f aca="false">IF(F1978="","",IF(AND(H1978="",'Vade Sapması'!$D$3&gt;G1978),'Vade Sapması'!$D$3-G1978,0))</f>
        <v/>
      </c>
      <c r="P1978" s="33" t="str">
        <f aca="false">IF(F1978="","",F1978*J1978)</f>
        <v/>
      </c>
      <c r="Q1978" s="33" t="str">
        <f aca="false">IF(F1978="","",F1978*L1978)</f>
        <v/>
      </c>
      <c r="R1978" s="33" t="str">
        <f aca="false">IF(F1978="","",IF(H1978="",F1978,0))</f>
        <v/>
      </c>
      <c r="S1978" s="32" t="str">
        <f aca="false">IF(F1978="","",IF(N(O1978)=0,"",IF(O1978&lt;=30,"1-30",IF(O1978&lt;=60,"31-60",IF(O1978&lt;=90,"61-90","90+")))))</f>
        <v/>
      </c>
      <c r="T1978" s="32" t="str">
        <f aca="false">IF(F1978="","",IF(E1978="","Diğer",E1978))</f>
        <v/>
      </c>
      <c r="U1978" s="32" t="str">
        <f aca="false">IF(OR(F1978="",C1978=""),"",IF(COUNTIF($C$2:C1978,C1978)=1,MAX($U$1:U1977)+1,""))</f>
        <v/>
      </c>
    </row>
    <row r="1979" customFormat="false" ht="15" hidden="false" customHeight="false" outlineLevel="0" collapsed="false">
      <c r="A1979" s="34"/>
      <c r="B1979" s="9"/>
      <c r="C1979" s="34"/>
      <c r="D1979" s="34"/>
      <c r="E1979" s="34"/>
      <c r="F1979" s="35"/>
      <c r="G1979" s="9"/>
      <c r="H1979" s="9"/>
      <c r="I1979" s="34"/>
      <c r="J1979" s="30" t="str">
        <f aca="false">IF(F1979="","",G1979-B1979)</f>
        <v/>
      </c>
      <c r="K1979" s="31" t="str">
        <f aca="false">IF(F1979="","",IF(H1979&lt;&gt;"",H1979,MAX('Vade Sapması'!$D$3,G1979)))</f>
        <v/>
      </c>
      <c r="L1979" s="30" t="str">
        <f aca="false">IF(F1979="","",K1979-B1979)</f>
        <v/>
      </c>
      <c r="M1979" s="30" t="str">
        <f aca="false">IF(F1979="","",L1979-J1979)</f>
        <v/>
      </c>
      <c r="N1979" s="32" t="str">
        <f aca="false">IF(F1979="","",IF(H1979&lt;&gt;"","Kapandı",IF('Vade Sapması'!$D$3&gt;G1979,"Açık · vadesi geçti","Açık · vadesi gelmedi")))</f>
        <v/>
      </c>
      <c r="O1979" s="30" t="str">
        <f aca="false">IF(F1979="","",IF(AND(H1979="",'Vade Sapması'!$D$3&gt;G1979),'Vade Sapması'!$D$3-G1979,0))</f>
        <v/>
      </c>
      <c r="P1979" s="33" t="str">
        <f aca="false">IF(F1979="","",F1979*J1979)</f>
        <v/>
      </c>
      <c r="Q1979" s="33" t="str">
        <f aca="false">IF(F1979="","",F1979*L1979)</f>
        <v/>
      </c>
      <c r="R1979" s="33" t="str">
        <f aca="false">IF(F1979="","",IF(H1979="",F1979,0))</f>
        <v/>
      </c>
      <c r="S1979" s="32" t="str">
        <f aca="false">IF(F1979="","",IF(N(O1979)=0,"",IF(O1979&lt;=30,"1-30",IF(O1979&lt;=60,"31-60",IF(O1979&lt;=90,"61-90","90+")))))</f>
        <v/>
      </c>
      <c r="T1979" s="32" t="str">
        <f aca="false">IF(F1979="","",IF(E1979="","Diğer",E1979))</f>
        <v/>
      </c>
      <c r="U1979" s="32" t="str">
        <f aca="false">IF(OR(F1979="",C1979=""),"",IF(COUNTIF($C$2:C1979,C1979)=1,MAX($U$1:U1978)+1,""))</f>
        <v/>
      </c>
    </row>
    <row r="1980" customFormat="false" ht="15" hidden="false" customHeight="false" outlineLevel="0" collapsed="false">
      <c r="A1980" s="34"/>
      <c r="B1980" s="9"/>
      <c r="C1980" s="34"/>
      <c r="D1980" s="34"/>
      <c r="E1980" s="34"/>
      <c r="F1980" s="35"/>
      <c r="G1980" s="9"/>
      <c r="H1980" s="9"/>
      <c r="I1980" s="34"/>
      <c r="J1980" s="30" t="str">
        <f aca="false">IF(F1980="","",G1980-B1980)</f>
        <v/>
      </c>
      <c r="K1980" s="31" t="str">
        <f aca="false">IF(F1980="","",IF(H1980&lt;&gt;"",H1980,MAX('Vade Sapması'!$D$3,G1980)))</f>
        <v/>
      </c>
      <c r="L1980" s="30" t="str">
        <f aca="false">IF(F1980="","",K1980-B1980)</f>
        <v/>
      </c>
      <c r="M1980" s="30" t="str">
        <f aca="false">IF(F1980="","",L1980-J1980)</f>
        <v/>
      </c>
      <c r="N1980" s="32" t="str">
        <f aca="false">IF(F1980="","",IF(H1980&lt;&gt;"","Kapandı",IF('Vade Sapması'!$D$3&gt;G1980,"Açık · vadesi geçti","Açık · vadesi gelmedi")))</f>
        <v/>
      </c>
      <c r="O1980" s="30" t="str">
        <f aca="false">IF(F1980="","",IF(AND(H1980="",'Vade Sapması'!$D$3&gt;G1980),'Vade Sapması'!$D$3-G1980,0))</f>
        <v/>
      </c>
      <c r="P1980" s="33" t="str">
        <f aca="false">IF(F1980="","",F1980*J1980)</f>
        <v/>
      </c>
      <c r="Q1980" s="33" t="str">
        <f aca="false">IF(F1980="","",F1980*L1980)</f>
        <v/>
      </c>
      <c r="R1980" s="33" t="str">
        <f aca="false">IF(F1980="","",IF(H1980="",F1980,0))</f>
        <v/>
      </c>
      <c r="S1980" s="32" t="str">
        <f aca="false">IF(F1980="","",IF(N(O1980)=0,"",IF(O1980&lt;=30,"1-30",IF(O1980&lt;=60,"31-60",IF(O1980&lt;=90,"61-90","90+")))))</f>
        <v/>
      </c>
      <c r="T1980" s="32" t="str">
        <f aca="false">IF(F1980="","",IF(E1980="","Diğer",E1980))</f>
        <v/>
      </c>
      <c r="U1980" s="32" t="str">
        <f aca="false">IF(OR(F1980="",C1980=""),"",IF(COUNTIF($C$2:C1980,C1980)=1,MAX($U$1:U1979)+1,""))</f>
        <v/>
      </c>
    </row>
    <row r="1981" customFormat="false" ht="15" hidden="false" customHeight="false" outlineLevel="0" collapsed="false">
      <c r="A1981" s="34"/>
      <c r="B1981" s="9"/>
      <c r="C1981" s="34"/>
      <c r="D1981" s="34"/>
      <c r="E1981" s="34"/>
      <c r="F1981" s="35"/>
      <c r="G1981" s="9"/>
      <c r="H1981" s="9"/>
      <c r="I1981" s="34"/>
      <c r="J1981" s="30" t="str">
        <f aca="false">IF(F1981="","",G1981-B1981)</f>
        <v/>
      </c>
      <c r="K1981" s="31" t="str">
        <f aca="false">IF(F1981="","",IF(H1981&lt;&gt;"",H1981,MAX('Vade Sapması'!$D$3,G1981)))</f>
        <v/>
      </c>
      <c r="L1981" s="30" t="str">
        <f aca="false">IF(F1981="","",K1981-B1981)</f>
        <v/>
      </c>
      <c r="M1981" s="30" t="str">
        <f aca="false">IF(F1981="","",L1981-J1981)</f>
        <v/>
      </c>
      <c r="N1981" s="32" t="str">
        <f aca="false">IF(F1981="","",IF(H1981&lt;&gt;"","Kapandı",IF('Vade Sapması'!$D$3&gt;G1981,"Açık · vadesi geçti","Açık · vadesi gelmedi")))</f>
        <v/>
      </c>
      <c r="O1981" s="30" t="str">
        <f aca="false">IF(F1981="","",IF(AND(H1981="",'Vade Sapması'!$D$3&gt;G1981),'Vade Sapması'!$D$3-G1981,0))</f>
        <v/>
      </c>
      <c r="P1981" s="33" t="str">
        <f aca="false">IF(F1981="","",F1981*J1981)</f>
        <v/>
      </c>
      <c r="Q1981" s="33" t="str">
        <f aca="false">IF(F1981="","",F1981*L1981)</f>
        <v/>
      </c>
      <c r="R1981" s="33" t="str">
        <f aca="false">IF(F1981="","",IF(H1981="",F1981,0))</f>
        <v/>
      </c>
      <c r="S1981" s="32" t="str">
        <f aca="false">IF(F1981="","",IF(N(O1981)=0,"",IF(O1981&lt;=30,"1-30",IF(O1981&lt;=60,"31-60",IF(O1981&lt;=90,"61-90","90+")))))</f>
        <v/>
      </c>
      <c r="T1981" s="32" t="str">
        <f aca="false">IF(F1981="","",IF(E1981="","Diğer",E1981))</f>
        <v/>
      </c>
      <c r="U1981" s="32" t="str">
        <f aca="false">IF(OR(F1981="",C1981=""),"",IF(COUNTIF($C$2:C1981,C1981)=1,MAX($U$1:U1980)+1,""))</f>
        <v/>
      </c>
    </row>
    <row r="1982" customFormat="false" ht="15" hidden="false" customHeight="false" outlineLevel="0" collapsed="false">
      <c r="A1982" s="34"/>
      <c r="B1982" s="9"/>
      <c r="C1982" s="34"/>
      <c r="D1982" s="34"/>
      <c r="E1982" s="34"/>
      <c r="F1982" s="35"/>
      <c r="G1982" s="9"/>
      <c r="H1982" s="9"/>
      <c r="I1982" s="34"/>
      <c r="J1982" s="30" t="str">
        <f aca="false">IF(F1982="","",G1982-B1982)</f>
        <v/>
      </c>
      <c r="K1982" s="31" t="str">
        <f aca="false">IF(F1982="","",IF(H1982&lt;&gt;"",H1982,MAX('Vade Sapması'!$D$3,G1982)))</f>
        <v/>
      </c>
      <c r="L1982" s="30" t="str">
        <f aca="false">IF(F1982="","",K1982-B1982)</f>
        <v/>
      </c>
      <c r="M1982" s="30" t="str">
        <f aca="false">IF(F1982="","",L1982-J1982)</f>
        <v/>
      </c>
      <c r="N1982" s="32" t="str">
        <f aca="false">IF(F1982="","",IF(H1982&lt;&gt;"","Kapandı",IF('Vade Sapması'!$D$3&gt;G1982,"Açık · vadesi geçti","Açık · vadesi gelmedi")))</f>
        <v/>
      </c>
      <c r="O1982" s="30" t="str">
        <f aca="false">IF(F1982="","",IF(AND(H1982="",'Vade Sapması'!$D$3&gt;G1982),'Vade Sapması'!$D$3-G1982,0))</f>
        <v/>
      </c>
      <c r="P1982" s="33" t="str">
        <f aca="false">IF(F1982="","",F1982*J1982)</f>
        <v/>
      </c>
      <c r="Q1982" s="33" t="str">
        <f aca="false">IF(F1982="","",F1982*L1982)</f>
        <v/>
      </c>
      <c r="R1982" s="33" t="str">
        <f aca="false">IF(F1982="","",IF(H1982="",F1982,0))</f>
        <v/>
      </c>
      <c r="S1982" s="32" t="str">
        <f aca="false">IF(F1982="","",IF(N(O1982)=0,"",IF(O1982&lt;=30,"1-30",IF(O1982&lt;=60,"31-60",IF(O1982&lt;=90,"61-90","90+")))))</f>
        <v/>
      </c>
      <c r="T1982" s="32" t="str">
        <f aca="false">IF(F1982="","",IF(E1982="","Diğer",E1982))</f>
        <v/>
      </c>
      <c r="U1982" s="32" t="str">
        <f aca="false">IF(OR(F1982="",C1982=""),"",IF(COUNTIF($C$2:C1982,C1982)=1,MAX($U$1:U1981)+1,""))</f>
        <v/>
      </c>
    </row>
    <row r="1983" customFormat="false" ht="15" hidden="false" customHeight="false" outlineLevel="0" collapsed="false">
      <c r="A1983" s="34"/>
      <c r="B1983" s="9"/>
      <c r="C1983" s="34"/>
      <c r="D1983" s="34"/>
      <c r="E1983" s="34"/>
      <c r="F1983" s="35"/>
      <c r="G1983" s="9"/>
      <c r="H1983" s="9"/>
      <c r="I1983" s="34"/>
      <c r="J1983" s="30" t="str">
        <f aca="false">IF(F1983="","",G1983-B1983)</f>
        <v/>
      </c>
      <c r="K1983" s="31" t="str">
        <f aca="false">IF(F1983="","",IF(H1983&lt;&gt;"",H1983,MAX('Vade Sapması'!$D$3,G1983)))</f>
        <v/>
      </c>
      <c r="L1983" s="30" t="str">
        <f aca="false">IF(F1983="","",K1983-B1983)</f>
        <v/>
      </c>
      <c r="M1983" s="30" t="str">
        <f aca="false">IF(F1983="","",L1983-J1983)</f>
        <v/>
      </c>
      <c r="N1983" s="32" t="str">
        <f aca="false">IF(F1983="","",IF(H1983&lt;&gt;"","Kapandı",IF('Vade Sapması'!$D$3&gt;G1983,"Açık · vadesi geçti","Açık · vadesi gelmedi")))</f>
        <v/>
      </c>
      <c r="O1983" s="30" t="str">
        <f aca="false">IF(F1983="","",IF(AND(H1983="",'Vade Sapması'!$D$3&gt;G1983),'Vade Sapması'!$D$3-G1983,0))</f>
        <v/>
      </c>
      <c r="P1983" s="33" t="str">
        <f aca="false">IF(F1983="","",F1983*J1983)</f>
        <v/>
      </c>
      <c r="Q1983" s="33" t="str">
        <f aca="false">IF(F1983="","",F1983*L1983)</f>
        <v/>
      </c>
      <c r="R1983" s="33" t="str">
        <f aca="false">IF(F1983="","",IF(H1983="",F1983,0))</f>
        <v/>
      </c>
      <c r="S1983" s="32" t="str">
        <f aca="false">IF(F1983="","",IF(N(O1983)=0,"",IF(O1983&lt;=30,"1-30",IF(O1983&lt;=60,"31-60",IF(O1983&lt;=90,"61-90","90+")))))</f>
        <v/>
      </c>
      <c r="T1983" s="32" t="str">
        <f aca="false">IF(F1983="","",IF(E1983="","Diğer",E1983))</f>
        <v/>
      </c>
      <c r="U1983" s="32" t="str">
        <f aca="false">IF(OR(F1983="",C1983=""),"",IF(COUNTIF($C$2:C1983,C1983)=1,MAX($U$1:U1982)+1,""))</f>
        <v/>
      </c>
    </row>
    <row r="1984" customFormat="false" ht="15" hidden="false" customHeight="false" outlineLevel="0" collapsed="false">
      <c r="A1984" s="34"/>
      <c r="B1984" s="9"/>
      <c r="C1984" s="34"/>
      <c r="D1984" s="34"/>
      <c r="E1984" s="34"/>
      <c r="F1984" s="35"/>
      <c r="G1984" s="9"/>
      <c r="H1984" s="9"/>
      <c r="I1984" s="34"/>
      <c r="J1984" s="30" t="str">
        <f aca="false">IF(F1984="","",G1984-B1984)</f>
        <v/>
      </c>
      <c r="K1984" s="31" t="str">
        <f aca="false">IF(F1984="","",IF(H1984&lt;&gt;"",H1984,MAX('Vade Sapması'!$D$3,G1984)))</f>
        <v/>
      </c>
      <c r="L1984" s="30" t="str">
        <f aca="false">IF(F1984="","",K1984-B1984)</f>
        <v/>
      </c>
      <c r="M1984" s="30" t="str">
        <f aca="false">IF(F1984="","",L1984-J1984)</f>
        <v/>
      </c>
      <c r="N1984" s="32" t="str">
        <f aca="false">IF(F1984="","",IF(H1984&lt;&gt;"","Kapandı",IF('Vade Sapması'!$D$3&gt;G1984,"Açık · vadesi geçti","Açık · vadesi gelmedi")))</f>
        <v/>
      </c>
      <c r="O1984" s="30" t="str">
        <f aca="false">IF(F1984="","",IF(AND(H1984="",'Vade Sapması'!$D$3&gt;G1984),'Vade Sapması'!$D$3-G1984,0))</f>
        <v/>
      </c>
      <c r="P1984" s="33" t="str">
        <f aca="false">IF(F1984="","",F1984*J1984)</f>
        <v/>
      </c>
      <c r="Q1984" s="33" t="str">
        <f aca="false">IF(F1984="","",F1984*L1984)</f>
        <v/>
      </c>
      <c r="R1984" s="33" t="str">
        <f aca="false">IF(F1984="","",IF(H1984="",F1984,0))</f>
        <v/>
      </c>
      <c r="S1984" s="32" t="str">
        <f aca="false">IF(F1984="","",IF(N(O1984)=0,"",IF(O1984&lt;=30,"1-30",IF(O1984&lt;=60,"31-60",IF(O1984&lt;=90,"61-90","90+")))))</f>
        <v/>
      </c>
      <c r="T1984" s="32" t="str">
        <f aca="false">IF(F1984="","",IF(E1984="","Diğer",E1984))</f>
        <v/>
      </c>
      <c r="U1984" s="32" t="str">
        <f aca="false">IF(OR(F1984="",C1984=""),"",IF(COUNTIF($C$2:C1984,C1984)=1,MAX($U$1:U1983)+1,""))</f>
        <v/>
      </c>
    </row>
    <row r="1985" customFormat="false" ht="15" hidden="false" customHeight="false" outlineLevel="0" collapsed="false">
      <c r="A1985" s="34"/>
      <c r="B1985" s="9"/>
      <c r="C1985" s="34"/>
      <c r="D1985" s="34"/>
      <c r="E1985" s="34"/>
      <c r="F1985" s="35"/>
      <c r="G1985" s="9"/>
      <c r="H1985" s="9"/>
      <c r="I1985" s="34"/>
      <c r="J1985" s="30" t="str">
        <f aca="false">IF(F1985="","",G1985-B1985)</f>
        <v/>
      </c>
      <c r="K1985" s="31" t="str">
        <f aca="false">IF(F1985="","",IF(H1985&lt;&gt;"",H1985,MAX('Vade Sapması'!$D$3,G1985)))</f>
        <v/>
      </c>
      <c r="L1985" s="30" t="str">
        <f aca="false">IF(F1985="","",K1985-B1985)</f>
        <v/>
      </c>
      <c r="M1985" s="30" t="str">
        <f aca="false">IF(F1985="","",L1985-J1985)</f>
        <v/>
      </c>
      <c r="N1985" s="32" t="str">
        <f aca="false">IF(F1985="","",IF(H1985&lt;&gt;"","Kapandı",IF('Vade Sapması'!$D$3&gt;G1985,"Açık · vadesi geçti","Açık · vadesi gelmedi")))</f>
        <v/>
      </c>
      <c r="O1985" s="30" t="str">
        <f aca="false">IF(F1985="","",IF(AND(H1985="",'Vade Sapması'!$D$3&gt;G1985),'Vade Sapması'!$D$3-G1985,0))</f>
        <v/>
      </c>
      <c r="P1985" s="33" t="str">
        <f aca="false">IF(F1985="","",F1985*J1985)</f>
        <v/>
      </c>
      <c r="Q1985" s="33" t="str">
        <f aca="false">IF(F1985="","",F1985*L1985)</f>
        <v/>
      </c>
      <c r="R1985" s="33" t="str">
        <f aca="false">IF(F1985="","",IF(H1985="",F1985,0))</f>
        <v/>
      </c>
      <c r="S1985" s="32" t="str">
        <f aca="false">IF(F1985="","",IF(N(O1985)=0,"",IF(O1985&lt;=30,"1-30",IF(O1985&lt;=60,"31-60",IF(O1985&lt;=90,"61-90","90+")))))</f>
        <v/>
      </c>
      <c r="T1985" s="32" t="str">
        <f aca="false">IF(F1985="","",IF(E1985="","Diğer",E1985))</f>
        <v/>
      </c>
      <c r="U1985" s="32" t="str">
        <f aca="false">IF(OR(F1985="",C1985=""),"",IF(COUNTIF($C$2:C1985,C1985)=1,MAX($U$1:U1984)+1,""))</f>
        <v/>
      </c>
    </row>
    <row r="1986" customFormat="false" ht="15" hidden="false" customHeight="false" outlineLevel="0" collapsed="false">
      <c r="A1986" s="34"/>
      <c r="B1986" s="9"/>
      <c r="C1986" s="34"/>
      <c r="D1986" s="34"/>
      <c r="E1986" s="34"/>
      <c r="F1986" s="35"/>
      <c r="G1986" s="9"/>
      <c r="H1986" s="9"/>
      <c r="I1986" s="34"/>
      <c r="J1986" s="30" t="str">
        <f aca="false">IF(F1986="","",G1986-B1986)</f>
        <v/>
      </c>
      <c r="K1986" s="31" t="str">
        <f aca="false">IF(F1986="","",IF(H1986&lt;&gt;"",H1986,MAX('Vade Sapması'!$D$3,G1986)))</f>
        <v/>
      </c>
      <c r="L1986" s="30" t="str">
        <f aca="false">IF(F1986="","",K1986-B1986)</f>
        <v/>
      </c>
      <c r="M1986" s="30" t="str">
        <f aca="false">IF(F1986="","",L1986-J1986)</f>
        <v/>
      </c>
      <c r="N1986" s="32" t="str">
        <f aca="false">IF(F1986="","",IF(H1986&lt;&gt;"","Kapandı",IF('Vade Sapması'!$D$3&gt;G1986,"Açık · vadesi geçti","Açık · vadesi gelmedi")))</f>
        <v/>
      </c>
      <c r="O1986" s="30" t="str">
        <f aca="false">IF(F1986="","",IF(AND(H1986="",'Vade Sapması'!$D$3&gt;G1986),'Vade Sapması'!$D$3-G1986,0))</f>
        <v/>
      </c>
      <c r="P1986" s="33" t="str">
        <f aca="false">IF(F1986="","",F1986*J1986)</f>
        <v/>
      </c>
      <c r="Q1986" s="33" t="str">
        <f aca="false">IF(F1986="","",F1986*L1986)</f>
        <v/>
      </c>
      <c r="R1986" s="33" t="str">
        <f aca="false">IF(F1986="","",IF(H1986="",F1986,0))</f>
        <v/>
      </c>
      <c r="S1986" s="32" t="str">
        <f aca="false">IF(F1986="","",IF(N(O1986)=0,"",IF(O1986&lt;=30,"1-30",IF(O1986&lt;=60,"31-60",IF(O1986&lt;=90,"61-90","90+")))))</f>
        <v/>
      </c>
      <c r="T1986" s="32" t="str">
        <f aca="false">IF(F1986="","",IF(E1986="","Diğer",E1986))</f>
        <v/>
      </c>
      <c r="U1986" s="32" t="str">
        <f aca="false">IF(OR(F1986="",C1986=""),"",IF(COUNTIF($C$2:C1986,C1986)=1,MAX($U$1:U1985)+1,""))</f>
        <v/>
      </c>
    </row>
    <row r="1987" customFormat="false" ht="15" hidden="false" customHeight="false" outlineLevel="0" collapsed="false">
      <c r="A1987" s="34"/>
      <c r="B1987" s="9"/>
      <c r="C1987" s="34"/>
      <c r="D1987" s="34"/>
      <c r="E1987" s="34"/>
      <c r="F1987" s="35"/>
      <c r="G1987" s="9"/>
      <c r="H1987" s="9"/>
      <c r="I1987" s="34"/>
      <c r="J1987" s="30" t="str">
        <f aca="false">IF(F1987="","",G1987-B1987)</f>
        <v/>
      </c>
      <c r="K1987" s="31" t="str">
        <f aca="false">IF(F1987="","",IF(H1987&lt;&gt;"",H1987,MAX('Vade Sapması'!$D$3,G1987)))</f>
        <v/>
      </c>
      <c r="L1987" s="30" t="str">
        <f aca="false">IF(F1987="","",K1987-B1987)</f>
        <v/>
      </c>
      <c r="M1987" s="30" t="str">
        <f aca="false">IF(F1987="","",L1987-J1987)</f>
        <v/>
      </c>
      <c r="N1987" s="32" t="str">
        <f aca="false">IF(F1987="","",IF(H1987&lt;&gt;"","Kapandı",IF('Vade Sapması'!$D$3&gt;G1987,"Açık · vadesi geçti","Açık · vadesi gelmedi")))</f>
        <v/>
      </c>
      <c r="O1987" s="30" t="str">
        <f aca="false">IF(F1987="","",IF(AND(H1987="",'Vade Sapması'!$D$3&gt;G1987),'Vade Sapması'!$D$3-G1987,0))</f>
        <v/>
      </c>
      <c r="P1987" s="33" t="str">
        <f aca="false">IF(F1987="","",F1987*J1987)</f>
        <v/>
      </c>
      <c r="Q1987" s="33" t="str">
        <f aca="false">IF(F1987="","",F1987*L1987)</f>
        <v/>
      </c>
      <c r="R1987" s="33" t="str">
        <f aca="false">IF(F1987="","",IF(H1987="",F1987,0))</f>
        <v/>
      </c>
      <c r="S1987" s="32" t="str">
        <f aca="false">IF(F1987="","",IF(N(O1987)=0,"",IF(O1987&lt;=30,"1-30",IF(O1987&lt;=60,"31-60",IF(O1987&lt;=90,"61-90","90+")))))</f>
        <v/>
      </c>
      <c r="T1987" s="32" t="str">
        <f aca="false">IF(F1987="","",IF(E1987="","Diğer",E1987))</f>
        <v/>
      </c>
      <c r="U1987" s="32" t="str">
        <f aca="false">IF(OR(F1987="",C1987=""),"",IF(COUNTIF($C$2:C1987,C1987)=1,MAX($U$1:U1986)+1,""))</f>
        <v/>
      </c>
    </row>
    <row r="1988" customFormat="false" ht="15" hidden="false" customHeight="false" outlineLevel="0" collapsed="false">
      <c r="A1988" s="34"/>
      <c r="B1988" s="9"/>
      <c r="C1988" s="34"/>
      <c r="D1988" s="34"/>
      <c r="E1988" s="34"/>
      <c r="F1988" s="35"/>
      <c r="G1988" s="9"/>
      <c r="H1988" s="9"/>
      <c r="I1988" s="34"/>
      <c r="J1988" s="30" t="str">
        <f aca="false">IF(F1988="","",G1988-B1988)</f>
        <v/>
      </c>
      <c r="K1988" s="31" t="str">
        <f aca="false">IF(F1988="","",IF(H1988&lt;&gt;"",H1988,MAX('Vade Sapması'!$D$3,G1988)))</f>
        <v/>
      </c>
      <c r="L1988" s="30" t="str">
        <f aca="false">IF(F1988="","",K1988-B1988)</f>
        <v/>
      </c>
      <c r="M1988" s="30" t="str">
        <f aca="false">IF(F1988="","",L1988-J1988)</f>
        <v/>
      </c>
      <c r="N1988" s="32" t="str">
        <f aca="false">IF(F1988="","",IF(H1988&lt;&gt;"","Kapandı",IF('Vade Sapması'!$D$3&gt;G1988,"Açık · vadesi geçti","Açık · vadesi gelmedi")))</f>
        <v/>
      </c>
      <c r="O1988" s="30" t="str">
        <f aca="false">IF(F1988="","",IF(AND(H1988="",'Vade Sapması'!$D$3&gt;G1988),'Vade Sapması'!$D$3-G1988,0))</f>
        <v/>
      </c>
      <c r="P1988" s="33" t="str">
        <f aca="false">IF(F1988="","",F1988*J1988)</f>
        <v/>
      </c>
      <c r="Q1988" s="33" t="str">
        <f aca="false">IF(F1988="","",F1988*L1988)</f>
        <v/>
      </c>
      <c r="R1988" s="33" t="str">
        <f aca="false">IF(F1988="","",IF(H1988="",F1988,0))</f>
        <v/>
      </c>
      <c r="S1988" s="32" t="str">
        <f aca="false">IF(F1988="","",IF(N(O1988)=0,"",IF(O1988&lt;=30,"1-30",IF(O1988&lt;=60,"31-60",IF(O1988&lt;=90,"61-90","90+")))))</f>
        <v/>
      </c>
      <c r="T1988" s="32" t="str">
        <f aca="false">IF(F1988="","",IF(E1988="","Diğer",E1988))</f>
        <v/>
      </c>
      <c r="U1988" s="32" t="str">
        <f aca="false">IF(OR(F1988="",C1988=""),"",IF(COUNTIF($C$2:C1988,C1988)=1,MAX($U$1:U1987)+1,""))</f>
        <v/>
      </c>
    </row>
    <row r="1989" customFormat="false" ht="15" hidden="false" customHeight="false" outlineLevel="0" collapsed="false">
      <c r="A1989" s="34"/>
      <c r="B1989" s="9"/>
      <c r="C1989" s="34"/>
      <c r="D1989" s="34"/>
      <c r="E1989" s="34"/>
      <c r="F1989" s="35"/>
      <c r="G1989" s="9"/>
      <c r="H1989" s="9"/>
      <c r="I1989" s="34"/>
      <c r="J1989" s="30" t="str">
        <f aca="false">IF(F1989="","",G1989-B1989)</f>
        <v/>
      </c>
      <c r="K1989" s="31" t="str">
        <f aca="false">IF(F1989="","",IF(H1989&lt;&gt;"",H1989,MAX('Vade Sapması'!$D$3,G1989)))</f>
        <v/>
      </c>
      <c r="L1989" s="30" t="str">
        <f aca="false">IF(F1989="","",K1989-B1989)</f>
        <v/>
      </c>
      <c r="M1989" s="30" t="str">
        <f aca="false">IF(F1989="","",L1989-J1989)</f>
        <v/>
      </c>
      <c r="N1989" s="32" t="str">
        <f aca="false">IF(F1989="","",IF(H1989&lt;&gt;"","Kapandı",IF('Vade Sapması'!$D$3&gt;G1989,"Açık · vadesi geçti","Açık · vadesi gelmedi")))</f>
        <v/>
      </c>
      <c r="O1989" s="30" t="str">
        <f aca="false">IF(F1989="","",IF(AND(H1989="",'Vade Sapması'!$D$3&gt;G1989),'Vade Sapması'!$D$3-G1989,0))</f>
        <v/>
      </c>
      <c r="P1989" s="33" t="str">
        <f aca="false">IF(F1989="","",F1989*J1989)</f>
        <v/>
      </c>
      <c r="Q1989" s="33" t="str">
        <f aca="false">IF(F1989="","",F1989*L1989)</f>
        <v/>
      </c>
      <c r="R1989" s="33" t="str">
        <f aca="false">IF(F1989="","",IF(H1989="",F1989,0))</f>
        <v/>
      </c>
      <c r="S1989" s="32" t="str">
        <f aca="false">IF(F1989="","",IF(N(O1989)=0,"",IF(O1989&lt;=30,"1-30",IF(O1989&lt;=60,"31-60",IF(O1989&lt;=90,"61-90","90+")))))</f>
        <v/>
      </c>
      <c r="T1989" s="32" t="str">
        <f aca="false">IF(F1989="","",IF(E1989="","Diğer",E1989))</f>
        <v/>
      </c>
      <c r="U1989" s="32" t="str">
        <f aca="false">IF(OR(F1989="",C1989=""),"",IF(COUNTIF($C$2:C1989,C1989)=1,MAX($U$1:U1988)+1,""))</f>
        <v/>
      </c>
    </row>
    <row r="1990" customFormat="false" ht="15" hidden="false" customHeight="false" outlineLevel="0" collapsed="false">
      <c r="A1990" s="34"/>
      <c r="B1990" s="9"/>
      <c r="C1990" s="34"/>
      <c r="D1990" s="34"/>
      <c r="E1990" s="34"/>
      <c r="F1990" s="35"/>
      <c r="G1990" s="9"/>
      <c r="H1990" s="9"/>
      <c r="I1990" s="34"/>
      <c r="J1990" s="30" t="str">
        <f aca="false">IF(F1990="","",G1990-B1990)</f>
        <v/>
      </c>
      <c r="K1990" s="31" t="str">
        <f aca="false">IF(F1990="","",IF(H1990&lt;&gt;"",H1990,MAX('Vade Sapması'!$D$3,G1990)))</f>
        <v/>
      </c>
      <c r="L1990" s="30" t="str">
        <f aca="false">IF(F1990="","",K1990-B1990)</f>
        <v/>
      </c>
      <c r="M1990" s="30" t="str">
        <f aca="false">IF(F1990="","",L1990-J1990)</f>
        <v/>
      </c>
      <c r="N1990" s="32" t="str">
        <f aca="false">IF(F1990="","",IF(H1990&lt;&gt;"","Kapandı",IF('Vade Sapması'!$D$3&gt;G1990,"Açık · vadesi geçti","Açık · vadesi gelmedi")))</f>
        <v/>
      </c>
      <c r="O1990" s="30" t="str">
        <f aca="false">IF(F1990="","",IF(AND(H1990="",'Vade Sapması'!$D$3&gt;G1990),'Vade Sapması'!$D$3-G1990,0))</f>
        <v/>
      </c>
      <c r="P1990" s="33" t="str">
        <f aca="false">IF(F1990="","",F1990*J1990)</f>
        <v/>
      </c>
      <c r="Q1990" s="33" t="str">
        <f aca="false">IF(F1990="","",F1990*L1990)</f>
        <v/>
      </c>
      <c r="R1990" s="33" t="str">
        <f aca="false">IF(F1990="","",IF(H1990="",F1990,0))</f>
        <v/>
      </c>
      <c r="S1990" s="32" t="str">
        <f aca="false">IF(F1990="","",IF(N(O1990)=0,"",IF(O1990&lt;=30,"1-30",IF(O1990&lt;=60,"31-60",IF(O1990&lt;=90,"61-90","90+")))))</f>
        <v/>
      </c>
      <c r="T1990" s="32" t="str">
        <f aca="false">IF(F1990="","",IF(E1990="","Diğer",E1990))</f>
        <v/>
      </c>
      <c r="U1990" s="32" t="str">
        <f aca="false">IF(OR(F1990="",C1990=""),"",IF(COUNTIF($C$2:C1990,C1990)=1,MAX($U$1:U1989)+1,""))</f>
        <v/>
      </c>
    </row>
    <row r="1991" customFormat="false" ht="15" hidden="false" customHeight="false" outlineLevel="0" collapsed="false">
      <c r="A1991" s="34"/>
      <c r="B1991" s="9"/>
      <c r="C1991" s="34"/>
      <c r="D1991" s="34"/>
      <c r="E1991" s="34"/>
      <c r="F1991" s="35"/>
      <c r="G1991" s="9"/>
      <c r="H1991" s="9"/>
      <c r="I1991" s="34"/>
      <c r="J1991" s="30" t="str">
        <f aca="false">IF(F1991="","",G1991-B1991)</f>
        <v/>
      </c>
      <c r="K1991" s="31" t="str">
        <f aca="false">IF(F1991="","",IF(H1991&lt;&gt;"",H1991,MAX('Vade Sapması'!$D$3,G1991)))</f>
        <v/>
      </c>
      <c r="L1991" s="30" t="str">
        <f aca="false">IF(F1991="","",K1991-B1991)</f>
        <v/>
      </c>
      <c r="M1991" s="30" t="str">
        <f aca="false">IF(F1991="","",L1991-J1991)</f>
        <v/>
      </c>
      <c r="N1991" s="32" t="str">
        <f aca="false">IF(F1991="","",IF(H1991&lt;&gt;"","Kapandı",IF('Vade Sapması'!$D$3&gt;G1991,"Açık · vadesi geçti","Açık · vadesi gelmedi")))</f>
        <v/>
      </c>
      <c r="O1991" s="30" t="str">
        <f aca="false">IF(F1991="","",IF(AND(H1991="",'Vade Sapması'!$D$3&gt;G1991),'Vade Sapması'!$D$3-G1991,0))</f>
        <v/>
      </c>
      <c r="P1991" s="33" t="str">
        <f aca="false">IF(F1991="","",F1991*J1991)</f>
        <v/>
      </c>
      <c r="Q1991" s="33" t="str">
        <f aca="false">IF(F1991="","",F1991*L1991)</f>
        <v/>
      </c>
      <c r="R1991" s="33" t="str">
        <f aca="false">IF(F1991="","",IF(H1991="",F1991,0))</f>
        <v/>
      </c>
      <c r="S1991" s="32" t="str">
        <f aca="false">IF(F1991="","",IF(N(O1991)=0,"",IF(O1991&lt;=30,"1-30",IF(O1991&lt;=60,"31-60",IF(O1991&lt;=90,"61-90","90+")))))</f>
        <v/>
      </c>
      <c r="T1991" s="32" t="str">
        <f aca="false">IF(F1991="","",IF(E1991="","Diğer",E1991))</f>
        <v/>
      </c>
      <c r="U1991" s="32" t="str">
        <f aca="false">IF(OR(F1991="",C1991=""),"",IF(COUNTIF($C$2:C1991,C1991)=1,MAX($U$1:U1990)+1,""))</f>
        <v/>
      </c>
    </row>
    <row r="1992" customFormat="false" ht="15" hidden="false" customHeight="false" outlineLevel="0" collapsed="false">
      <c r="A1992" s="34"/>
      <c r="B1992" s="9"/>
      <c r="C1992" s="34"/>
      <c r="D1992" s="34"/>
      <c r="E1992" s="34"/>
      <c r="F1992" s="35"/>
      <c r="G1992" s="9"/>
      <c r="H1992" s="9"/>
      <c r="I1992" s="34"/>
      <c r="J1992" s="30" t="str">
        <f aca="false">IF(F1992="","",G1992-B1992)</f>
        <v/>
      </c>
      <c r="K1992" s="31" t="str">
        <f aca="false">IF(F1992="","",IF(H1992&lt;&gt;"",H1992,MAX('Vade Sapması'!$D$3,G1992)))</f>
        <v/>
      </c>
      <c r="L1992" s="30" t="str">
        <f aca="false">IF(F1992="","",K1992-B1992)</f>
        <v/>
      </c>
      <c r="M1992" s="30" t="str">
        <f aca="false">IF(F1992="","",L1992-J1992)</f>
        <v/>
      </c>
      <c r="N1992" s="32" t="str">
        <f aca="false">IF(F1992="","",IF(H1992&lt;&gt;"","Kapandı",IF('Vade Sapması'!$D$3&gt;G1992,"Açık · vadesi geçti","Açık · vadesi gelmedi")))</f>
        <v/>
      </c>
      <c r="O1992" s="30" t="str">
        <f aca="false">IF(F1992="","",IF(AND(H1992="",'Vade Sapması'!$D$3&gt;G1992),'Vade Sapması'!$D$3-G1992,0))</f>
        <v/>
      </c>
      <c r="P1992" s="33" t="str">
        <f aca="false">IF(F1992="","",F1992*J1992)</f>
        <v/>
      </c>
      <c r="Q1992" s="33" t="str">
        <f aca="false">IF(F1992="","",F1992*L1992)</f>
        <v/>
      </c>
      <c r="R1992" s="33" t="str">
        <f aca="false">IF(F1992="","",IF(H1992="",F1992,0))</f>
        <v/>
      </c>
      <c r="S1992" s="32" t="str">
        <f aca="false">IF(F1992="","",IF(N(O1992)=0,"",IF(O1992&lt;=30,"1-30",IF(O1992&lt;=60,"31-60",IF(O1992&lt;=90,"61-90","90+")))))</f>
        <v/>
      </c>
      <c r="T1992" s="32" t="str">
        <f aca="false">IF(F1992="","",IF(E1992="","Diğer",E1992))</f>
        <v/>
      </c>
      <c r="U1992" s="32" t="str">
        <f aca="false">IF(OR(F1992="",C1992=""),"",IF(COUNTIF($C$2:C1992,C1992)=1,MAX($U$1:U1991)+1,""))</f>
        <v/>
      </c>
    </row>
    <row r="1993" customFormat="false" ht="15" hidden="false" customHeight="false" outlineLevel="0" collapsed="false">
      <c r="A1993" s="34"/>
      <c r="B1993" s="9"/>
      <c r="C1993" s="34"/>
      <c r="D1993" s="34"/>
      <c r="E1993" s="34"/>
      <c r="F1993" s="35"/>
      <c r="G1993" s="9"/>
      <c r="H1993" s="9"/>
      <c r="I1993" s="34"/>
      <c r="J1993" s="30" t="str">
        <f aca="false">IF(F1993="","",G1993-B1993)</f>
        <v/>
      </c>
      <c r="K1993" s="31" t="str">
        <f aca="false">IF(F1993="","",IF(H1993&lt;&gt;"",H1993,MAX('Vade Sapması'!$D$3,G1993)))</f>
        <v/>
      </c>
      <c r="L1993" s="30" t="str">
        <f aca="false">IF(F1993="","",K1993-B1993)</f>
        <v/>
      </c>
      <c r="M1993" s="30" t="str">
        <f aca="false">IF(F1993="","",L1993-J1993)</f>
        <v/>
      </c>
      <c r="N1993" s="32" t="str">
        <f aca="false">IF(F1993="","",IF(H1993&lt;&gt;"","Kapandı",IF('Vade Sapması'!$D$3&gt;G1993,"Açık · vadesi geçti","Açık · vadesi gelmedi")))</f>
        <v/>
      </c>
      <c r="O1993" s="30" t="str">
        <f aca="false">IF(F1993="","",IF(AND(H1993="",'Vade Sapması'!$D$3&gt;G1993),'Vade Sapması'!$D$3-G1993,0))</f>
        <v/>
      </c>
      <c r="P1993" s="33" t="str">
        <f aca="false">IF(F1993="","",F1993*J1993)</f>
        <v/>
      </c>
      <c r="Q1993" s="33" t="str">
        <f aca="false">IF(F1993="","",F1993*L1993)</f>
        <v/>
      </c>
      <c r="R1993" s="33" t="str">
        <f aca="false">IF(F1993="","",IF(H1993="",F1993,0))</f>
        <v/>
      </c>
      <c r="S1993" s="32" t="str">
        <f aca="false">IF(F1993="","",IF(N(O1993)=0,"",IF(O1993&lt;=30,"1-30",IF(O1993&lt;=60,"31-60",IF(O1993&lt;=90,"61-90","90+")))))</f>
        <v/>
      </c>
      <c r="T1993" s="32" t="str">
        <f aca="false">IF(F1993="","",IF(E1993="","Diğer",E1993))</f>
        <v/>
      </c>
      <c r="U1993" s="32" t="str">
        <f aca="false">IF(OR(F1993="",C1993=""),"",IF(COUNTIF($C$2:C1993,C1993)=1,MAX($U$1:U1992)+1,""))</f>
        <v/>
      </c>
    </row>
    <row r="1994" customFormat="false" ht="15" hidden="false" customHeight="false" outlineLevel="0" collapsed="false">
      <c r="A1994" s="34"/>
      <c r="B1994" s="9"/>
      <c r="C1994" s="34"/>
      <c r="D1994" s="34"/>
      <c r="E1994" s="34"/>
      <c r="F1994" s="35"/>
      <c r="G1994" s="9"/>
      <c r="H1994" s="9"/>
      <c r="I1994" s="34"/>
      <c r="J1994" s="30" t="str">
        <f aca="false">IF(F1994="","",G1994-B1994)</f>
        <v/>
      </c>
      <c r="K1994" s="31" t="str">
        <f aca="false">IF(F1994="","",IF(H1994&lt;&gt;"",H1994,MAX('Vade Sapması'!$D$3,G1994)))</f>
        <v/>
      </c>
      <c r="L1994" s="30" t="str">
        <f aca="false">IF(F1994="","",K1994-B1994)</f>
        <v/>
      </c>
      <c r="M1994" s="30" t="str">
        <f aca="false">IF(F1994="","",L1994-J1994)</f>
        <v/>
      </c>
      <c r="N1994" s="32" t="str">
        <f aca="false">IF(F1994="","",IF(H1994&lt;&gt;"","Kapandı",IF('Vade Sapması'!$D$3&gt;G1994,"Açık · vadesi geçti","Açık · vadesi gelmedi")))</f>
        <v/>
      </c>
      <c r="O1994" s="30" t="str">
        <f aca="false">IF(F1994="","",IF(AND(H1994="",'Vade Sapması'!$D$3&gt;G1994),'Vade Sapması'!$D$3-G1994,0))</f>
        <v/>
      </c>
      <c r="P1994" s="33" t="str">
        <f aca="false">IF(F1994="","",F1994*J1994)</f>
        <v/>
      </c>
      <c r="Q1994" s="33" t="str">
        <f aca="false">IF(F1994="","",F1994*L1994)</f>
        <v/>
      </c>
      <c r="R1994" s="33" t="str">
        <f aca="false">IF(F1994="","",IF(H1994="",F1994,0))</f>
        <v/>
      </c>
      <c r="S1994" s="32" t="str">
        <f aca="false">IF(F1994="","",IF(N(O1994)=0,"",IF(O1994&lt;=30,"1-30",IF(O1994&lt;=60,"31-60",IF(O1994&lt;=90,"61-90","90+")))))</f>
        <v/>
      </c>
      <c r="T1994" s="32" t="str">
        <f aca="false">IF(F1994="","",IF(E1994="","Diğer",E1994))</f>
        <v/>
      </c>
      <c r="U1994" s="32" t="str">
        <f aca="false">IF(OR(F1994="",C1994=""),"",IF(COUNTIF($C$2:C1994,C1994)=1,MAX($U$1:U1993)+1,""))</f>
        <v/>
      </c>
    </row>
    <row r="1995" customFormat="false" ht="15" hidden="false" customHeight="false" outlineLevel="0" collapsed="false">
      <c r="A1995" s="34"/>
      <c r="B1995" s="9"/>
      <c r="C1995" s="34"/>
      <c r="D1995" s="34"/>
      <c r="E1995" s="34"/>
      <c r="F1995" s="35"/>
      <c r="G1995" s="9"/>
      <c r="H1995" s="9"/>
      <c r="I1995" s="34"/>
      <c r="J1995" s="30" t="str">
        <f aca="false">IF(F1995="","",G1995-B1995)</f>
        <v/>
      </c>
      <c r="K1995" s="31" t="str">
        <f aca="false">IF(F1995="","",IF(H1995&lt;&gt;"",H1995,MAX('Vade Sapması'!$D$3,G1995)))</f>
        <v/>
      </c>
      <c r="L1995" s="30" t="str">
        <f aca="false">IF(F1995="","",K1995-B1995)</f>
        <v/>
      </c>
      <c r="M1995" s="30" t="str">
        <f aca="false">IF(F1995="","",L1995-J1995)</f>
        <v/>
      </c>
      <c r="N1995" s="32" t="str">
        <f aca="false">IF(F1995="","",IF(H1995&lt;&gt;"","Kapandı",IF('Vade Sapması'!$D$3&gt;G1995,"Açık · vadesi geçti","Açık · vadesi gelmedi")))</f>
        <v/>
      </c>
      <c r="O1995" s="30" t="str">
        <f aca="false">IF(F1995="","",IF(AND(H1995="",'Vade Sapması'!$D$3&gt;G1995),'Vade Sapması'!$D$3-G1995,0))</f>
        <v/>
      </c>
      <c r="P1995" s="33" t="str">
        <f aca="false">IF(F1995="","",F1995*J1995)</f>
        <v/>
      </c>
      <c r="Q1995" s="33" t="str">
        <f aca="false">IF(F1995="","",F1995*L1995)</f>
        <v/>
      </c>
      <c r="R1995" s="33" t="str">
        <f aca="false">IF(F1995="","",IF(H1995="",F1995,0))</f>
        <v/>
      </c>
      <c r="S1995" s="32" t="str">
        <f aca="false">IF(F1995="","",IF(N(O1995)=0,"",IF(O1995&lt;=30,"1-30",IF(O1995&lt;=60,"31-60",IF(O1995&lt;=90,"61-90","90+")))))</f>
        <v/>
      </c>
      <c r="T1995" s="32" t="str">
        <f aca="false">IF(F1995="","",IF(E1995="","Diğer",E1995))</f>
        <v/>
      </c>
      <c r="U1995" s="32" t="str">
        <f aca="false">IF(OR(F1995="",C1995=""),"",IF(COUNTIF($C$2:C1995,C1995)=1,MAX($U$1:U1994)+1,""))</f>
        <v/>
      </c>
    </row>
    <row r="1996" customFormat="false" ht="15" hidden="false" customHeight="false" outlineLevel="0" collapsed="false">
      <c r="A1996" s="34"/>
      <c r="B1996" s="9"/>
      <c r="C1996" s="34"/>
      <c r="D1996" s="34"/>
      <c r="E1996" s="34"/>
      <c r="F1996" s="35"/>
      <c r="G1996" s="9"/>
      <c r="H1996" s="9"/>
      <c r="I1996" s="34"/>
      <c r="J1996" s="30" t="str">
        <f aca="false">IF(F1996="","",G1996-B1996)</f>
        <v/>
      </c>
      <c r="K1996" s="31" t="str">
        <f aca="false">IF(F1996="","",IF(H1996&lt;&gt;"",H1996,MAX('Vade Sapması'!$D$3,G1996)))</f>
        <v/>
      </c>
      <c r="L1996" s="30" t="str">
        <f aca="false">IF(F1996="","",K1996-B1996)</f>
        <v/>
      </c>
      <c r="M1996" s="30" t="str">
        <f aca="false">IF(F1996="","",L1996-J1996)</f>
        <v/>
      </c>
      <c r="N1996" s="32" t="str">
        <f aca="false">IF(F1996="","",IF(H1996&lt;&gt;"","Kapandı",IF('Vade Sapması'!$D$3&gt;G1996,"Açık · vadesi geçti","Açık · vadesi gelmedi")))</f>
        <v/>
      </c>
      <c r="O1996" s="30" t="str">
        <f aca="false">IF(F1996="","",IF(AND(H1996="",'Vade Sapması'!$D$3&gt;G1996),'Vade Sapması'!$D$3-G1996,0))</f>
        <v/>
      </c>
      <c r="P1996" s="33" t="str">
        <f aca="false">IF(F1996="","",F1996*J1996)</f>
        <v/>
      </c>
      <c r="Q1996" s="33" t="str">
        <f aca="false">IF(F1996="","",F1996*L1996)</f>
        <v/>
      </c>
      <c r="R1996" s="33" t="str">
        <f aca="false">IF(F1996="","",IF(H1996="",F1996,0))</f>
        <v/>
      </c>
      <c r="S1996" s="32" t="str">
        <f aca="false">IF(F1996="","",IF(N(O1996)=0,"",IF(O1996&lt;=30,"1-30",IF(O1996&lt;=60,"31-60",IF(O1996&lt;=90,"61-90","90+")))))</f>
        <v/>
      </c>
      <c r="T1996" s="32" t="str">
        <f aca="false">IF(F1996="","",IF(E1996="","Diğer",E1996))</f>
        <v/>
      </c>
      <c r="U1996" s="32" t="str">
        <f aca="false">IF(OR(F1996="",C1996=""),"",IF(COUNTIF($C$2:C1996,C1996)=1,MAX($U$1:U1995)+1,""))</f>
        <v/>
      </c>
    </row>
    <row r="1997" customFormat="false" ht="15" hidden="false" customHeight="false" outlineLevel="0" collapsed="false">
      <c r="A1997" s="34"/>
      <c r="B1997" s="9"/>
      <c r="C1997" s="34"/>
      <c r="D1997" s="34"/>
      <c r="E1997" s="34"/>
      <c r="F1997" s="35"/>
      <c r="G1997" s="9"/>
      <c r="H1997" s="9"/>
      <c r="I1997" s="34"/>
      <c r="J1997" s="30" t="str">
        <f aca="false">IF(F1997="","",G1997-B1997)</f>
        <v/>
      </c>
      <c r="K1997" s="31" t="str">
        <f aca="false">IF(F1997="","",IF(H1997&lt;&gt;"",H1997,MAX('Vade Sapması'!$D$3,G1997)))</f>
        <v/>
      </c>
      <c r="L1997" s="30" t="str">
        <f aca="false">IF(F1997="","",K1997-B1997)</f>
        <v/>
      </c>
      <c r="M1997" s="30" t="str">
        <f aca="false">IF(F1997="","",L1997-J1997)</f>
        <v/>
      </c>
      <c r="N1997" s="32" t="str">
        <f aca="false">IF(F1997="","",IF(H1997&lt;&gt;"","Kapandı",IF('Vade Sapması'!$D$3&gt;G1997,"Açık · vadesi geçti","Açık · vadesi gelmedi")))</f>
        <v/>
      </c>
      <c r="O1997" s="30" t="str">
        <f aca="false">IF(F1997="","",IF(AND(H1997="",'Vade Sapması'!$D$3&gt;G1997),'Vade Sapması'!$D$3-G1997,0))</f>
        <v/>
      </c>
      <c r="P1997" s="33" t="str">
        <f aca="false">IF(F1997="","",F1997*J1997)</f>
        <v/>
      </c>
      <c r="Q1997" s="33" t="str">
        <f aca="false">IF(F1997="","",F1997*L1997)</f>
        <v/>
      </c>
      <c r="R1997" s="33" t="str">
        <f aca="false">IF(F1997="","",IF(H1997="",F1997,0))</f>
        <v/>
      </c>
      <c r="S1997" s="32" t="str">
        <f aca="false">IF(F1997="","",IF(N(O1997)=0,"",IF(O1997&lt;=30,"1-30",IF(O1997&lt;=60,"31-60",IF(O1997&lt;=90,"61-90","90+")))))</f>
        <v/>
      </c>
      <c r="T1997" s="32" t="str">
        <f aca="false">IF(F1997="","",IF(E1997="","Diğer",E1997))</f>
        <v/>
      </c>
      <c r="U1997" s="32" t="str">
        <f aca="false">IF(OR(F1997="",C1997=""),"",IF(COUNTIF($C$2:C1997,C1997)=1,MAX($U$1:U1996)+1,""))</f>
        <v/>
      </c>
    </row>
    <row r="1998" customFormat="false" ht="15" hidden="false" customHeight="false" outlineLevel="0" collapsed="false">
      <c r="A1998" s="34"/>
      <c r="B1998" s="9"/>
      <c r="C1998" s="34"/>
      <c r="D1998" s="34"/>
      <c r="E1998" s="34"/>
      <c r="F1998" s="35"/>
      <c r="G1998" s="9"/>
      <c r="H1998" s="9"/>
      <c r="I1998" s="34"/>
      <c r="J1998" s="30" t="str">
        <f aca="false">IF(F1998="","",G1998-B1998)</f>
        <v/>
      </c>
      <c r="K1998" s="31" t="str">
        <f aca="false">IF(F1998="","",IF(H1998&lt;&gt;"",H1998,MAX('Vade Sapması'!$D$3,G1998)))</f>
        <v/>
      </c>
      <c r="L1998" s="30" t="str">
        <f aca="false">IF(F1998="","",K1998-B1998)</f>
        <v/>
      </c>
      <c r="M1998" s="30" t="str">
        <f aca="false">IF(F1998="","",L1998-J1998)</f>
        <v/>
      </c>
      <c r="N1998" s="32" t="str">
        <f aca="false">IF(F1998="","",IF(H1998&lt;&gt;"","Kapandı",IF('Vade Sapması'!$D$3&gt;G1998,"Açık · vadesi geçti","Açık · vadesi gelmedi")))</f>
        <v/>
      </c>
      <c r="O1998" s="30" t="str">
        <f aca="false">IF(F1998="","",IF(AND(H1998="",'Vade Sapması'!$D$3&gt;G1998),'Vade Sapması'!$D$3-G1998,0))</f>
        <v/>
      </c>
      <c r="P1998" s="33" t="str">
        <f aca="false">IF(F1998="","",F1998*J1998)</f>
        <v/>
      </c>
      <c r="Q1998" s="33" t="str">
        <f aca="false">IF(F1998="","",F1998*L1998)</f>
        <v/>
      </c>
      <c r="R1998" s="33" t="str">
        <f aca="false">IF(F1998="","",IF(H1998="",F1998,0))</f>
        <v/>
      </c>
      <c r="S1998" s="32" t="str">
        <f aca="false">IF(F1998="","",IF(N(O1998)=0,"",IF(O1998&lt;=30,"1-30",IF(O1998&lt;=60,"31-60",IF(O1998&lt;=90,"61-90","90+")))))</f>
        <v/>
      </c>
      <c r="T1998" s="32" t="str">
        <f aca="false">IF(F1998="","",IF(E1998="","Diğer",E1998))</f>
        <v/>
      </c>
      <c r="U1998" s="32" t="str">
        <f aca="false">IF(OR(F1998="",C1998=""),"",IF(COUNTIF($C$2:C1998,C1998)=1,MAX($U$1:U1997)+1,""))</f>
        <v/>
      </c>
    </row>
    <row r="1999" customFormat="false" ht="15" hidden="false" customHeight="false" outlineLevel="0" collapsed="false">
      <c r="A1999" s="34"/>
      <c r="B1999" s="9"/>
      <c r="C1999" s="34"/>
      <c r="D1999" s="34"/>
      <c r="E1999" s="34"/>
      <c r="F1999" s="35"/>
      <c r="G1999" s="9"/>
      <c r="H1999" s="9"/>
      <c r="I1999" s="34"/>
      <c r="J1999" s="30" t="str">
        <f aca="false">IF(F1999="","",G1999-B1999)</f>
        <v/>
      </c>
      <c r="K1999" s="31" t="str">
        <f aca="false">IF(F1999="","",IF(H1999&lt;&gt;"",H1999,MAX('Vade Sapması'!$D$3,G1999)))</f>
        <v/>
      </c>
      <c r="L1999" s="30" t="str">
        <f aca="false">IF(F1999="","",K1999-B1999)</f>
        <v/>
      </c>
      <c r="M1999" s="30" t="str">
        <f aca="false">IF(F1999="","",L1999-J1999)</f>
        <v/>
      </c>
      <c r="N1999" s="32" t="str">
        <f aca="false">IF(F1999="","",IF(H1999&lt;&gt;"","Kapandı",IF('Vade Sapması'!$D$3&gt;G1999,"Açık · vadesi geçti","Açık · vadesi gelmedi")))</f>
        <v/>
      </c>
      <c r="O1999" s="30" t="str">
        <f aca="false">IF(F1999="","",IF(AND(H1999="",'Vade Sapması'!$D$3&gt;G1999),'Vade Sapması'!$D$3-G1999,0))</f>
        <v/>
      </c>
      <c r="P1999" s="33" t="str">
        <f aca="false">IF(F1999="","",F1999*J1999)</f>
        <v/>
      </c>
      <c r="Q1999" s="33" t="str">
        <f aca="false">IF(F1999="","",F1999*L1999)</f>
        <v/>
      </c>
      <c r="R1999" s="33" t="str">
        <f aca="false">IF(F1999="","",IF(H1999="",F1999,0))</f>
        <v/>
      </c>
      <c r="S1999" s="32" t="str">
        <f aca="false">IF(F1999="","",IF(N(O1999)=0,"",IF(O1999&lt;=30,"1-30",IF(O1999&lt;=60,"31-60",IF(O1999&lt;=90,"61-90","90+")))))</f>
        <v/>
      </c>
      <c r="T1999" s="32" t="str">
        <f aca="false">IF(F1999="","",IF(E1999="","Diğer",E1999))</f>
        <v/>
      </c>
      <c r="U1999" s="32" t="str">
        <f aca="false">IF(OR(F1999="",C1999=""),"",IF(COUNTIF($C$2:C1999,C1999)=1,MAX($U$1:U1998)+1,""))</f>
        <v/>
      </c>
    </row>
    <row r="2000" customFormat="false" ht="15" hidden="false" customHeight="false" outlineLevel="0" collapsed="false">
      <c r="A2000" s="34"/>
      <c r="B2000" s="9"/>
      <c r="C2000" s="34"/>
      <c r="D2000" s="34"/>
      <c r="E2000" s="34"/>
      <c r="F2000" s="35"/>
      <c r="G2000" s="9"/>
      <c r="H2000" s="9"/>
      <c r="I2000" s="34"/>
      <c r="J2000" s="30" t="str">
        <f aca="false">IF(F2000="","",G2000-B2000)</f>
        <v/>
      </c>
      <c r="K2000" s="31" t="str">
        <f aca="false">IF(F2000="","",IF(H2000&lt;&gt;"",H2000,MAX('Vade Sapması'!$D$3,G2000)))</f>
        <v/>
      </c>
      <c r="L2000" s="30" t="str">
        <f aca="false">IF(F2000="","",K2000-B2000)</f>
        <v/>
      </c>
      <c r="M2000" s="30" t="str">
        <f aca="false">IF(F2000="","",L2000-J2000)</f>
        <v/>
      </c>
      <c r="N2000" s="32" t="str">
        <f aca="false">IF(F2000="","",IF(H2000&lt;&gt;"","Kapandı",IF('Vade Sapması'!$D$3&gt;G2000,"Açık · vadesi geçti","Açık · vadesi gelmedi")))</f>
        <v/>
      </c>
      <c r="O2000" s="30" t="str">
        <f aca="false">IF(F2000="","",IF(AND(H2000="",'Vade Sapması'!$D$3&gt;G2000),'Vade Sapması'!$D$3-G2000,0))</f>
        <v/>
      </c>
      <c r="P2000" s="33" t="str">
        <f aca="false">IF(F2000="","",F2000*J2000)</f>
        <v/>
      </c>
      <c r="Q2000" s="33" t="str">
        <f aca="false">IF(F2000="","",F2000*L2000)</f>
        <v/>
      </c>
      <c r="R2000" s="33" t="str">
        <f aca="false">IF(F2000="","",IF(H2000="",F2000,0))</f>
        <v/>
      </c>
      <c r="S2000" s="32" t="str">
        <f aca="false">IF(F2000="","",IF(N(O2000)=0,"",IF(O2000&lt;=30,"1-30",IF(O2000&lt;=60,"31-60",IF(O2000&lt;=90,"61-90","90+")))))</f>
        <v/>
      </c>
      <c r="T2000" s="32" t="str">
        <f aca="false">IF(F2000="","",IF(E2000="","Diğer",E2000))</f>
        <v/>
      </c>
      <c r="U2000" s="32" t="str">
        <f aca="false">IF(OR(F2000="",C2000=""),"",IF(COUNTIF($C$2:C2000,C2000)=1,MAX($U$1:U1999)+1,""))</f>
        <v/>
      </c>
    </row>
    <row r="2001" customFormat="false" ht="15" hidden="false" customHeight="false" outlineLevel="0" collapsed="false">
      <c r="A2001" s="34"/>
      <c r="B2001" s="9"/>
      <c r="C2001" s="34"/>
      <c r="D2001" s="34"/>
      <c r="E2001" s="34"/>
      <c r="F2001" s="35"/>
      <c r="G2001" s="9"/>
      <c r="H2001" s="9"/>
      <c r="I2001" s="34"/>
      <c r="J2001" s="30" t="str">
        <f aca="false">IF(F2001="","",G2001-B2001)</f>
        <v/>
      </c>
      <c r="K2001" s="31" t="str">
        <f aca="false">IF(F2001="","",IF(H2001&lt;&gt;"",H2001,MAX('Vade Sapması'!$D$3,G2001)))</f>
        <v/>
      </c>
      <c r="L2001" s="30" t="str">
        <f aca="false">IF(F2001="","",K2001-B2001)</f>
        <v/>
      </c>
      <c r="M2001" s="30" t="str">
        <f aca="false">IF(F2001="","",L2001-J2001)</f>
        <v/>
      </c>
      <c r="N2001" s="32" t="str">
        <f aca="false">IF(F2001="","",IF(H2001&lt;&gt;"","Kapandı",IF('Vade Sapması'!$D$3&gt;G2001,"Açık · vadesi geçti","Açık · vadesi gelmedi")))</f>
        <v/>
      </c>
      <c r="O2001" s="30" t="str">
        <f aca="false">IF(F2001="","",IF(AND(H2001="",'Vade Sapması'!$D$3&gt;G2001),'Vade Sapması'!$D$3-G2001,0))</f>
        <v/>
      </c>
      <c r="P2001" s="33" t="str">
        <f aca="false">IF(F2001="","",F2001*J2001)</f>
        <v/>
      </c>
      <c r="Q2001" s="33" t="str">
        <f aca="false">IF(F2001="","",F2001*L2001)</f>
        <v/>
      </c>
      <c r="R2001" s="33" t="str">
        <f aca="false">IF(F2001="","",IF(H2001="",F2001,0))</f>
        <v/>
      </c>
      <c r="S2001" s="32" t="str">
        <f aca="false">IF(F2001="","",IF(N(O2001)=0,"",IF(O2001&lt;=30,"1-30",IF(O2001&lt;=60,"31-60",IF(O2001&lt;=90,"61-90","90+")))))</f>
        <v/>
      </c>
      <c r="T2001" s="32" t="str">
        <f aca="false">IF(F2001="","",IF(E2001="","Diğer",E2001))</f>
        <v/>
      </c>
      <c r="U2001" s="32" t="str">
        <f aca="false">IF(OR(F2001="",C2001=""),"",IF(COUNTIF($C$2:C2001,C2001)=1,MAX($U$1:U2000)+1,""))</f>
        <v/>
      </c>
    </row>
    <row r="2002" customFormat="false" ht="15" hidden="false" customHeight="false" outlineLevel="0" collapsed="false">
      <c r="A2002" s="34"/>
      <c r="B2002" s="9"/>
      <c r="C2002" s="34"/>
      <c r="D2002" s="34"/>
      <c r="E2002" s="34"/>
      <c r="F2002" s="35"/>
      <c r="G2002" s="9"/>
      <c r="H2002" s="9"/>
      <c r="I2002" s="34"/>
      <c r="J2002" s="30" t="str">
        <f aca="false">IF(F2002="","",G2002-B2002)</f>
        <v/>
      </c>
      <c r="K2002" s="31" t="str">
        <f aca="false">IF(F2002="","",IF(H2002&lt;&gt;"",H2002,MAX('Vade Sapması'!$D$3,G2002)))</f>
        <v/>
      </c>
      <c r="L2002" s="30" t="str">
        <f aca="false">IF(F2002="","",K2002-B2002)</f>
        <v/>
      </c>
      <c r="M2002" s="30" t="str">
        <f aca="false">IF(F2002="","",L2002-J2002)</f>
        <v/>
      </c>
      <c r="N2002" s="32" t="str">
        <f aca="false">IF(F2002="","",IF(H2002&lt;&gt;"","Kapandı",IF('Vade Sapması'!$D$3&gt;G2002,"Açık · vadesi geçti","Açık · vadesi gelmedi")))</f>
        <v/>
      </c>
      <c r="O2002" s="30" t="str">
        <f aca="false">IF(F2002="","",IF(AND(H2002="",'Vade Sapması'!$D$3&gt;G2002),'Vade Sapması'!$D$3-G2002,0))</f>
        <v/>
      </c>
      <c r="P2002" s="33" t="str">
        <f aca="false">IF(F2002="","",F2002*J2002)</f>
        <v/>
      </c>
      <c r="Q2002" s="33" t="str">
        <f aca="false">IF(F2002="","",F2002*L2002)</f>
        <v/>
      </c>
      <c r="R2002" s="33" t="str">
        <f aca="false">IF(F2002="","",IF(H2002="",F2002,0))</f>
        <v/>
      </c>
      <c r="S2002" s="32" t="str">
        <f aca="false">IF(F2002="","",IF(N(O2002)=0,"",IF(O2002&lt;=30,"1-30",IF(O2002&lt;=60,"31-60",IF(O2002&lt;=90,"61-90","90+")))))</f>
        <v/>
      </c>
      <c r="T2002" s="32" t="str">
        <f aca="false">IF(F2002="","",IF(E2002="","Diğer",E2002))</f>
        <v/>
      </c>
      <c r="U2002" s="32" t="str">
        <f aca="false">IF(OR(F2002="",C2002=""),"",IF(COUNTIF($C$2:C2002,C2002)=1,MAX($U$1:U2001)+1,""))</f>
        <v/>
      </c>
    </row>
    <row r="2003" customFormat="false" ht="15" hidden="false" customHeight="false" outlineLevel="0" collapsed="false">
      <c r="A2003" s="34"/>
      <c r="B2003" s="9"/>
      <c r="C2003" s="34"/>
      <c r="D2003" s="34"/>
      <c r="E2003" s="34"/>
      <c r="F2003" s="35"/>
      <c r="G2003" s="9"/>
      <c r="H2003" s="9"/>
      <c r="I2003" s="34"/>
      <c r="J2003" s="30" t="str">
        <f aca="false">IF(F2003="","",G2003-B2003)</f>
        <v/>
      </c>
      <c r="K2003" s="31" t="str">
        <f aca="false">IF(F2003="","",IF(H2003&lt;&gt;"",H2003,MAX('Vade Sapması'!$D$3,G2003)))</f>
        <v/>
      </c>
      <c r="L2003" s="30" t="str">
        <f aca="false">IF(F2003="","",K2003-B2003)</f>
        <v/>
      </c>
      <c r="M2003" s="30" t="str">
        <f aca="false">IF(F2003="","",L2003-J2003)</f>
        <v/>
      </c>
      <c r="N2003" s="32" t="str">
        <f aca="false">IF(F2003="","",IF(H2003&lt;&gt;"","Kapandı",IF('Vade Sapması'!$D$3&gt;G2003,"Açık · vadesi geçti","Açık · vadesi gelmedi")))</f>
        <v/>
      </c>
      <c r="O2003" s="30" t="str">
        <f aca="false">IF(F2003="","",IF(AND(H2003="",'Vade Sapması'!$D$3&gt;G2003),'Vade Sapması'!$D$3-G2003,0))</f>
        <v/>
      </c>
      <c r="P2003" s="33" t="str">
        <f aca="false">IF(F2003="","",F2003*J2003)</f>
        <v/>
      </c>
      <c r="Q2003" s="33" t="str">
        <f aca="false">IF(F2003="","",F2003*L2003)</f>
        <v/>
      </c>
      <c r="R2003" s="33" t="str">
        <f aca="false">IF(F2003="","",IF(H2003="",F2003,0))</f>
        <v/>
      </c>
      <c r="S2003" s="32" t="str">
        <f aca="false">IF(F2003="","",IF(N(O2003)=0,"",IF(O2003&lt;=30,"1-30",IF(O2003&lt;=60,"31-60",IF(O2003&lt;=90,"61-90","90+")))))</f>
        <v/>
      </c>
      <c r="T2003" s="32" t="str">
        <f aca="false">IF(F2003="","",IF(E2003="","Diğer",E2003))</f>
        <v/>
      </c>
      <c r="U2003" s="32" t="str">
        <f aca="false">IF(OR(F2003="",C2003=""),"",IF(COUNTIF($C$2:C2003,C2003)=1,MAX($U$1:U2002)+1,""))</f>
        <v/>
      </c>
    </row>
    <row r="2004" customFormat="false" ht="15" hidden="false" customHeight="false" outlineLevel="0" collapsed="false">
      <c r="A2004" s="34"/>
      <c r="B2004" s="9"/>
      <c r="C2004" s="34"/>
      <c r="D2004" s="34"/>
      <c r="E2004" s="34"/>
      <c r="F2004" s="35"/>
      <c r="G2004" s="9"/>
      <c r="H2004" s="9"/>
      <c r="I2004" s="34"/>
      <c r="J2004" s="30" t="str">
        <f aca="false">IF(F2004="","",G2004-B2004)</f>
        <v/>
      </c>
      <c r="K2004" s="31" t="str">
        <f aca="false">IF(F2004="","",IF(H2004&lt;&gt;"",H2004,MAX('Vade Sapması'!$D$3,G2004)))</f>
        <v/>
      </c>
      <c r="L2004" s="30" t="str">
        <f aca="false">IF(F2004="","",K2004-B2004)</f>
        <v/>
      </c>
      <c r="M2004" s="30" t="str">
        <f aca="false">IF(F2004="","",L2004-J2004)</f>
        <v/>
      </c>
      <c r="N2004" s="32" t="str">
        <f aca="false">IF(F2004="","",IF(H2004&lt;&gt;"","Kapandı",IF('Vade Sapması'!$D$3&gt;G2004,"Açık · vadesi geçti","Açık · vadesi gelmedi")))</f>
        <v/>
      </c>
      <c r="O2004" s="30" t="str">
        <f aca="false">IF(F2004="","",IF(AND(H2004="",'Vade Sapması'!$D$3&gt;G2004),'Vade Sapması'!$D$3-G2004,0))</f>
        <v/>
      </c>
      <c r="P2004" s="33" t="str">
        <f aca="false">IF(F2004="","",F2004*J2004)</f>
        <v/>
      </c>
      <c r="Q2004" s="33" t="str">
        <f aca="false">IF(F2004="","",F2004*L2004)</f>
        <v/>
      </c>
      <c r="R2004" s="33" t="str">
        <f aca="false">IF(F2004="","",IF(H2004="",F2004,0))</f>
        <v/>
      </c>
      <c r="S2004" s="32" t="str">
        <f aca="false">IF(F2004="","",IF(N(O2004)=0,"",IF(O2004&lt;=30,"1-30",IF(O2004&lt;=60,"31-60",IF(O2004&lt;=90,"61-90","90+")))))</f>
        <v/>
      </c>
      <c r="T2004" s="32" t="str">
        <f aca="false">IF(F2004="","",IF(E2004="","Diğer",E2004))</f>
        <v/>
      </c>
      <c r="U2004" s="32" t="str">
        <f aca="false">IF(OR(F2004="",C2004=""),"",IF(COUNTIF($C$2:C2004,C2004)=1,MAX($U$1:U2003)+1,""))</f>
        <v/>
      </c>
    </row>
    <row r="2005" customFormat="false" ht="15" hidden="false" customHeight="false" outlineLevel="0" collapsed="false">
      <c r="A2005" s="34"/>
      <c r="B2005" s="9"/>
      <c r="C2005" s="34"/>
      <c r="D2005" s="34"/>
      <c r="E2005" s="34"/>
      <c r="F2005" s="35"/>
      <c r="G2005" s="9"/>
      <c r="H2005" s="9"/>
      <c r="I2005" s="34"/>
      <c r="J2005" s="30" t="str">
        <f aca="false">IF(F2005="","",G2005-B2005)</f>
        <v/>
      </c>
      <c r="K2005" s="31" t="str">
        <f aca="false">IF(F2005="","",IF(H2005&lt;&gt;"",H2005,MAX('Vade Sapması'!$D$3,G2005)))</f>
        <v/>
      </c>
      <c r="L2005" s="30" t="str">
        <f aca="false">IF(F2005="","",K2005-B2005)</f>
        <v/>
      </c>
      <c r="M2005" s="30" t="str">
        <f aca="false">IF(F2005="","",L2005-J2005)</f>
        <v/>
      </c>
      <c r="N2005" s="32" t="str">
        <f aca="false">IF(F2005="","",IF(H2005&lt;&gt;"","Kapandı",IF('Vade Sapması'!$D$3&gt;G2005,"Açık · vadesi geçti","Açık · vadesi gelmedi")))</f>
        <v/>
      </c>
      <c r="O2005" s="30" t="str">
        <f aca="false">IF(F2005="","",IF(AND(H2005="",'Vade Sapması'!$D$3&gt;G2005),'Vade Sapması'!$D$3-G2005,0))</f>
        <v/>
      </c>
      <c r="P2005" s="33" t="str">
        <f aca="false">IF(F2005="","",F2005*J2005)</f>
        <v/>
      </c>
      <c r="Q2005" s="33" t="str">
        <f aca="false">IF(F2005="","",F2005*L2005)</f>
        <v/>
      </c>
      <c r="R2005" s="33" t="str">
        <f aca="false">IF(F2005="","",IF(H2005="",F2005,0))</f>
        <v/>
      </c>
      <c r="S2005" s="32" t="str">
        <f aca="false">IF(F2005="","",IF(N(O2005)=0,"",IF(O2005&lt;=30,"1-30",IF(O2005&lt;=60,"31-60",IF(O2005&lt;=90,"61-90","90+")))))</f>
        <v/>
      </c>
      <c r="T2005" s="32" t="str">
        <f aca="false">IF(F2005="","",IF(E2005="","Diğer",E2005))</f>
        <v/>
      </c>
      <c r="U2005" s="32" t="str">
        <f aca="false">IF(OR(F2005="",C2005=""),"",IF(COUNTIF($C$2:C2005,C2005)=1,MAX($U$1:U2004)+1,""))</f>
        <v/>
      </c>
    </row>
    <row r="2006" customFormat="false" ht="15" hidden="false" customHeight="false" outlineLevel="0" collapsed="false">
      <c r="A2006" s="34"/>
      <c r="B2006" s="9"/>
      <c r="C2006" s="34"/>
      <c r="D2006" s="34"/>
      <c r="E2006" s="34"/>
      <c r="F2006" s="35"/>
      <c r="G2006" s="9"/>
      <c r="H2006" s="9"/>
      <c r="I2006" s="34"/>
      <c r="J2006" s="30" t="str">
        <f aca="false">IF(F2006="","",G2006-B2006)</f>
        <v/>
      </c>
      <c r="K2006" s="31" t="str">
        <f aca="false">IF(F2006="","",IF(H2006&lt;&gt;"",H2006,MAX('Vade Sapması'!$D$3,G2006)))</f>
        <v/>
      </c>
      <c r="L2006" s="30" t="str">
        <f aca="false">IF(F2006="","",K2006-B2006)</f>
        <v/>
      </c>
      <c r="M2006" s="30" t="str">
        <f aca="false">IF(F2006="","",L2006-J2006)</f>
        <v/>
      </c>
      <c r="N2006" s="32" t="str">
        <f aca="false">IF(F2006="","",IF(H2006&lt;&gt;"","Kapandı",IF('Vade Sapması'!$D$3&gt;G2006,"Açık · vadesi geçti","Açık · vadesi gelmedi")))</f>
        <v/>
      </c>
      <c r="O2006" s="30" t="str">
        <f aca="false">IF(F2006="","",IF(AND(H2006="",'Vade Sapması'!$D$3&gt;G2006),'Vade Sapması'!$D$3-G2006,0))</f>
        <v/>
      </c>
      <c r="P2006" s="33" t="str">
        <f aca="false">IF(F2006="","",F2006*J2006)</f>
        <v/>
      </c>
      <c r="Q2006" s="33" t="str">
        <f aca="false">IF(F2006="","",F2006*L2006)</f>
        <v/>
      </c>
      <c r="R2006" s="33" t="str">
        <f aca="false">IF(F2006="","",IF(H2006="",F2006,0))</f>
        <v/>
      </c>
      <c r="S2006" s="32" t="str">
        <f aca="false">IF(F2006="","",IF(N(O2006)=0,"",IF(O2006&lt;=30,"1-30",IF(O2006&lt;=60,"31-60",IF(O2006&lt;=90,"61-90","90+")))))</f>
        <v/>
      </c>
      <c r="T2006" s="32" t="str">
        <f aca="false">IF(F2006="","",IF(E2006="","Diğer",E2006))</f>
        <v/>
      </c>
      <c r="U2006" s="32" t="str">
        <f aca="false">IF(OR(F2006="",C2006=""),"",IF(COUNTIF($C$2:C2006,C2006)=1,MAX($U$1:U2005)+1,""))</f>
        <v/>
      </c>
    </row>
    <row r="2007" customFormat="false" ht="15" hidden="false" customHeight="false" outlineLevel="0" collapsed="false">
      <c r="A2007" s="34"/>
      <c r="B2007" s="9"/>
      <c r="C2007" s="34"/>
      <c r="D2007" s="34"/>
      <c r="E2007" s="34"/>
      <c r="F2007" s="35"/>
      <c r="G2007" s="9"/>
      <c r="H2007" s="9"/>
      <c r="I2007" s="34"/>
      <c r="J2007" s="30" t="str">
        <f aca="false">IF(F2007="","",G2007-B2007)</f>
        <v/>
      </c>
      <c r="K2007" s="31" t="str">
        <f aca="false">IF(F2007="","",IF(H2007&lt;&gt;"",H2007,MAX('Vade Sapması'!$D$3,G2007)))</f>
        <v/>
      </c>
      <c r="L2007" s="30" t="str">
        <f aca="false">IF(F2007="","",K2007-B2007)</f>
        <v/>
      </c>
      <c r="M2007" s="30" t="str">
        <f aca="false">IF(F2007="","",L2007-J2007)</f>
        <v/>
      </c>
      <c r="N2007" s="32" t="str">
        <f aca="false">IF(F2007="","",IF(H2007&lt;&gt;"","Kapandı",IF('Vade Sapması'!$D$3&gt;G2007,"Açık · vadesi geçti","Açık · vadesi gelmedi")))</f>
        <v/>
      </c>
      <c r="O2007" s="30" t="str">
        <f aca="false">IF(F2007="","",IF(AND(H2007="",'Vade Sapması'!$D$3&gt;G2007),'Vade Sapması'!$D$3-G2007,0))</f>
        <v/>
      </c>
      <c r="P2007" s="33" t="str">
        <f aca="false">IF(F2007="","",F2007*J2007)</f>
        <v/>
      </c>
      <c r="Q2007" s="33" t="str">
        <f aca="false">IF(F2007="","",F2007*L2007)</f>
        <v/>
      </c>
      <c r="R2007" s="33" t="str">
        <f aca="false">IF(F2007="","",IF(H2007="",F2007,0))</f>
        <v/>
      </c>
      <c r="S2007" s="32" t="str">
        <f aca="false">IF(F2007="","",IF(N(O2007)=0,"",IF(O2007&lt;=30,"1-30",IF(O2007&lt;=60,"31-60",IF(O2007&lt;=90,"61-90","90+")))))</f>
        <v/>
      </c>
      <c r="T2007" s="32" t="str">
        <f aca="false">IF(F2007="","",IF(E2007="","Diğer",E2007))</f>
        <v/>
      </c>
      <c r="U2007" s="32" t="str">
        <f aca="false">IF(OR(F2007="",C2007=""),"",IF(COUNTIF($C$2:C2007,C2007)=1,MAX($U$1:U2006)+1,""))</f>
        <v/>
      </c>
    </row>
    <row r="2008" customFormat="false" ht="15" hidden="false" customHeight="false" outlineLevel="0" collapsed="false">
      <c r="A2008" s="34"/>
      <c r="B2008" s="9"/>
      <c r="C2008" s="34"/>
      <c r="D2008" s="34"/>
      <c r="E2008" s="34"/>
      <c r="F2008" s="35"/>
      <c r="G2008" s="9"/>
      <c r="H2008" s="9"/>
      <c r="I2008" s="34"/>
      <c r="J2008" s="30" t="str">
        <f aca="false">IF(F2008="","",G2008-B2008)</f>
        <v/>
      </c>
      <c r="K2008" s="31" t="str">
        <f aca="false">IF(F2008="","",IF(H2008&lt;&gt;"",H2008,MAX('Vade Sapması'!$D$3,G2008)))</f>
        <v/>
      </c>
      <c r="L2008" s="30" t="str">
        <f aca="false">IF(F2008="","",K2008-B2008)</f>
        <v/>
      </c>
      <c r="M2008" s="30" t="str">
        <f aca="false">IF(F2008="","",L2008-J2008)</f>
        <v/>
      </c>
      <c r="N2008" s="32" t="str">
        <f aca="false">IF(F2008="","",IF(H2008&lt;&gt;"","Kapandı",IF('Vade Sapması'!$D$3&gt;G2008,"Açık · vadesi geçti","Açık · vadesi gelmedi")))</f>
        <v/>
      </c>
      <c r="O2008" s="30" t="str">
        <f aca="false">IF(F2008="","",IF(AND(H2008="",'Vade Sapması'!$D$3&gt;G2008),'Vade Sapması'!$D$3-G2008,0))</f>
        <v/>
      </c>
      <c r="P2008" s="33" t="str">
        <f aca="false">IF(F2008="","",F2008*J2008)</f>
        <v/>
      </c>
      <c r="Q2008" s="33" t="str">
        <f aca="false">IF(F2008="","",F2008*L2008)</f>
        <v/>
      </c>
      <c r="R2008" s="33" t="str">
        <f aca="false">IF(F2008="","",IF(H2008="",F2008,0))</f>
        <v/>
      </c>
      <c r="S2008" s="32" t="str">
        <f aca="false">IF(F2008="","",IF(N(O2008)=0,"",IF(O2008&lt;=30,"1-30",IF(O2008&lt;=60,"31-60",IF(O2008&lt;=90,"61-90","90+")))))</f>
        <v/>
      </c>
      <c r="T2008" s="32" t="str">
        <f aca="false">IF(F2008="","",IF(E2008="","Diğer",E2008))</f>
        <v/>
      </c>
      <c r="U2008" s="32" t="str">
        <f aca="false">IF(OR(F2008="",C2008=""),"",IF(COUNTIF($C$2:C2008,C2008)=1,MAX($U$1:U2007)+1,""))</f>
        <v/>
      </c>
    </row>
    <row r="2009" customFormat="false" ht="15" hidden="false" customHeight="false" outlineLevel="0" collapsed="false">
      <c r="A2009" s="34"/>
      <c r="B2009" s="9"/>
      <c r="C2009" s="34"/>
      <c r="D2009" s="34"/>
      <c r="E2009" s="34"/>
      <c r="F2009" s="35"/>
      <c r="G2009" s="9"/>
      <c r="H2009" s="9"/>
      <c r="I2009" s="34"/>
      <c r="J2009" s="30" t="str">
        <f aca="false">IF(F2009="","",G2009-B2009)</f>
        <v/>
      </c>
      <c r="K2009" s="31" t="str">
        <f aca="false">IF(F2009="","",IF(H2009&lt;&gt;"",H2009,MAX('Vade Sapması'!$D$3,G2009)))</f>
        <v/>
      </c>
      <c r="L2009" s="30" t="str">
        <f aca="false">IF(F2009="","",K2009-B2009)</f>
        <v/>
      </c>
      <c r="M2009" s="30" t="str">
        <f aca="false">IF(F2009="","",L2009-J2009)</f>
        <v/>
      </c>
      <c r="N2009" s="32" t="str">
        <f aca="false">IF(F2009="","",IF(H2009&lt;&gt;"","Kapandı",IF('Vade Sapması'!$D$3&gt;G2009,"Açık · vadesi geçti","Açık · vadesi gelmedi")))</f>
        <v/>
      </c>
      <c r="O2009" s="30" t="str">
        <f aca="false">IF(F2009="","",IF(AND(H2009="",'Vade Sapması'!$D$3&gt;G2009),'Vade Sapması'!$D$3-G2009,0))</f>
        <v/>
      </c>
      <c r="P2009" s="33" t="str">
        <f aca="false">IF(F2009="","",F2009*J2009)</f>
        <v/>
      </c>
      <c r="Q2009" s="33" t="str">
        <f aca="false">IF(F2009="","",F2009*L2009)</f>
        <v/>
      </c>
      <c r="R2009" s="33" t="str">
        <f aca="false">IF(F2009="","",IF(H2009="",F2009,0))</f>
        <v/>
      </c>
      <c r="S2009" s="32" t="str">
        <f aca="false">IF(F2009="","",IF(N(O2009)=0,"",IF(O2009&lt;=30,"1-30",IF(O2009&lt;=60,"31-60",IF(O2009&lt;=90,"61-90","90+")))))</f>
        <v/>
      </c>
      <c r="T2009" s="32" t="str">
        <f aca="false">IF(F2009="","",IF(E2009="","Diğer",E2009))</f>
        <v/>
      </c>
      <c r="U2009" s="32" t="str">
        <f aca="false">IF(OR(F2009="",C2009=""),"",IF(COUNTIF($C$2:C2009,C2009)=1,MAX($U$1:U2008)+1,""))</f>
        <v/>
      </c>
    </row>
    <row r="2010" customFormat="false" ht="15" hidden="false" customHeight="false" outlineLevel="0" collapsed="false">
      <c r="A2010" s="34"/>
      <c r="B2010" s="9"/>
      <c r="C2010" s="34"/>
      <c r="D2010" s="34"/>
      <c r="E2010" s="34"/>
      <c r="F2010" s="35"/>
      <c r="G2010" s="9"/>
      <c r="H2010" s="9"/>
      <c r="I2010" s="34"/>
      <c r="J2010" s="30" t="str">
        <f aca="false">IF(F2010="","",G2010-B2010)</f>
        <v/>
      </c>
      <c r="K2010" s="31" t="str">
        <f aca="false">IF(F2010="","",IF(H2010&lt;&gt;"",H2010,MAX('Vade Sapması'!$D$3,G2010)))</f>
        <v/>
      </c>
      <c r="L2010" s="30" t="str">
        <f aca="false">IF(F2010="","",K2010-B2010)</f>
        <v/>
      </c>
      <c r="M2010" s="30" t="str">
        <f aca="false">IF(F2010="","",L2010-J2010)</f>
        <v/>
      </c>
      <c r="N2010" s="32" t="str">
        <f aca="false">IF(F2010="","",IF(H2010&lt;&gt;"","Kapandı",IF('Vade Sapması'!$D$3&gt;G2010,"Açık · vadesi geçti","Açık · vadesi gelmedi")))</f>
        <v/>
      </c>
      <c r="O2010" s="30" t="str">
        <f aca="false">IF(F2010="","",IF(AND(H2010="",'Vade Sapması'!$D$3&gt;G2010),'Vade Sapması'!$D$3-G2010,0))</f>
        <v/>
      </c>
      <c r="P2010" s="33" t="str">
        <f aca="false">IF(F2010="","",F2010*J2010)</f>
        <v/>
      </c>
      <c r="Q2010" s="33" t="str">
        <f aca="false">IF(F2010="","",F2010*L2010)</f>
        <v/>
      </c>
      <c r="R2010" s="33" t="str">
        <f aca="false">IF(F2010="","",IF(H2010="",F2010,0))</f>
        <v/>
      </c>
      <c r="S2010" s="32" t="str">
        <f aca="false">IF(F2010="","",IF(N(O2010)=0,"",IF(O2010&lt;=30,"1-30",IF(O2010&lt;=60,"31-60",IF(O2010&lt;=90,"61-90","90+")))))</f>
        <v/>
      </c>
      <c r="T2010" s="32" t="str">
        <f aca="false">IF(F2010="","",IF(E2010="","Diğer",E2010))</f>
        <v/>
      </c>
      <c r="U2010" s="32" t="str">
        <f aca="false">IF(OR(F2010="",C2010=""),"",IF(COUNTIF($C$2:C2010,C2010)=1,MAX($U$1:U2009)+1,""))</f>
        <v/>
      </c>
    </row>
    <row r="2011" customFormat="false" ht="15" hidden="false" customHeight="false" outlineLevel="0" collapsed="false">
      <c r="A2011" s="34"/>
      <c r="B2011" s="9"/>
      <c r="C2011" s="34"/>
      <c r="D2011" s="34"/>
      <c r="E2011" s="34"/>
      <c r="F2011" s="35"/>
      <c r="G2011" s="9"/>
      <c r="H2011" s="9"/>
      <c r="I2011" s="34"/>
      <c r="J2011" s="30" t="str">
        <f aca="false">IF(F2011="","",G2011-B2011)</f>
        <v/>
      </c>
      <c r="K2011" s="31" t="str">
        <f aca="false">IF(F2011="","",IF(H2011&lt;&gt;"",H2011,MAX('Vade Sapması'!$D$3,G2011)))</f>
        <v/>
      </c>
      <c r="L2011" s="30" t="str">
        <f aca="false">IF(F2011="","",K2011-B2011)</f>
        <v/>
      </c>
      <c r="M2011" s="30" t="str">
        <f aca="false">IF(F2011="","",L2011-J2011)</f>
        <v/>
      </c>
      <c r="N2011" s="32" t="str">
        <f aca="false">IF(F2011="","",IF(H2011&lt;&gt;"","Kapandı",IF('Vade Sapması'!$D$3&gt;G2011,"Açık · vadesi geçti","Açık · vadesi gelmedi")))</f>
        <v/>
      </c>
      <c r="O2011" s="30" t="str">
        <f aca="false">IF(F2011="","",IF(AND(H2011="",'Vade Sapması'!$D$3&gt;G2011),'Vade Sapması'!$D$3-G2011,0))</f>
        <v/>
      </c>
      <c r="P2011" s="33" t="str">
        <f aca="false">IF(F2011="","",F2011*J2011)</f>
        <v/>
      </c>
      <c r="Q2011" s="33" t="str">
        <f aca="false">IF(F2011="","",F2011*L2011)</f>
        <v/>
      </c>
      <c r="R2011" s="33" t="str">
        <f aca="false">IF(F2011="","",IF(H2011="",F2011,0))</f>
        <v/>
      </c>
      <c r="S2011" s="32" t="str">
        <f aca="false">IF(F2011="","",IF(N(O2011)=0,"",IF(O2011&lt;=30,"1-30",IF(O2011&lt;=60,"31-60",IF(O2011&lt;=90,"61-90","90+")))))</f>
        <v/>
      </c>
      <c r="T2011" s="32" t="str">
        <f aca="false">IF(F2011="","",IF(E2011="","Diğer",E2011))</f>
        <v/>
      </c>
      <c r="U2011" s="32" t="str">
        <f aca="false">IF(OR(F2011="",C2011=""),"",IF(COUNTIF($C$2:C2011,C2011)=1,MAX($U$1:U2010)+1,""))</f>
        <v/>
      </c>
    </row>
    <row r="2012" customFormat="false" ht="15" hidden="false" customHeight="false" outlineLevel="0" collapsed="false">
      <c r="A2012" s="34"/>
      <c r="B2012" s="9"/>
      <c r="C2012" s="34"/>
      <c r="D2012" s="34"/>
      <c r="E2012" s="34"/>
      <c r="F2012" s="35"/>
      <c r="G2012" s="9"/>
      <c r="H2012" s="9"/>
      <c r="I2012" s="34"/>
      <c r="J2012" s="30" t="str">
        <f aca="false">IF(F2012="","",G2012-B2012)</f>
        <v/>
      </c>
      <c r="K2012" s="31" t="str">
        <f aca="false">IF(F2012="","",IF(H2012&lt;&gt;"",H2012,MAX('Vade Sapması'!$D$3,G2012)))</f>
        <v/>
      </c>
      <c r="L2012" s="30" t="str">
        <f aca="false">IF(F2012="","",K2012-B2012)</f>
        <v/>
      </c>
      <c r="M2012" s="30" t="str">
        <f aca="false">IF(F2012="","",L2012-J2012)</f>
        <v/>
      </c>
      <c r="N2012" s="32" t="str">
        <f aca="false">IF(F2012="","",IF(H2012&lt;&gt;"","Kapandı",IF('Vade Sapması'!$D$3&gt;G2012,"Açık · vadesi geçti","Açık · vadesi gelmedi")))</f>
        <v/>
      </c>
      <c r="O2012" s="30" t="str">
        <f aca="false">IF(F2012="","",IF(AND(H2012="",'Vade Sapması'!$D$3&gt;G2012),'Vade Sapması'!$D$3-G2012,0))</f>
        <v/>
      </c>
      <c r="P2012" s="33" t="str">
        <f aca="false">IF(F2012="","",F2012*J2012)</f>
        <v/>
      </c>
      <c r="Q2012" s="33" t="str">
        <f aca="false">IF(F2012="","",F2012*L2012)</f>
        <v/>
      </c>
      <c r="R2012" s="33" t="str">
        <f aca="false">IF(F2012="","",IF(H2012="",F2012,0))</f>
        <v/>
      </c>
      <c r="S2012" s="32" t="str">
        <f aca="false">IF(F2012="","",IF(N(O2012)=0,"",IF(O2012&lt;=30,"1-30",IF(O2012&lt;=60,"31-60",IF(O2012&lt;=90,"61-90","90+")))))</f>
        <v/>
      </c>
      <c r="T2012" s="32" t="str">
        <f aca="false">IF(F2012="","",IF(E2012="","Diğer",E2012))</f>
        <v/>
      </c>
      <c r="U2012" s="32" t="str">
        <f aca="false">IF(OR(F2012="",C2012=""),"",IF(COUNTIF($C$2:C2012,C2012)=1,MAX($U$1:U2011)+1,""))</f>
        <v/>
      </c>
    </row>
    <row r="2013" customFormat="false" ht="15" hidden="false" customHeight="false" outlineLevel="0" collapsed="false">
      <c r="A2013" s="34"/>
      <c r="B2013" s="9"/>
      <c r="C2013" s="34"/>
      <c r="D2013" s="34"/>
      <c r="E2013" s="34"/>
      <c r="F2013" s="35"/>
      <c r="G2013" s="9"/>
      <c r="H2013" s="9"/>
      <c r="I2013" s="34"/>
      <c r="J2013" s="30" t="str">
        <f aca="false">IF(F2013="","",G2013-B2013)</f>
        <v/>
      </c>
      <c r="K2013" s="31" t="str">
        <f aca="false">IF(F2013="","",IF(H2013&lt;&gt;"",H2013,MAX('Vade Sapması'!$D$3,G2013)))</f>
        <v/>
      </c>
      <c r="L2013" s="30" t="str">
        <f aca="false">IF(F2013="","",K2013-B2013)</f>
        <v/>
      </c>
      <c r="M2013" s="30" t="str">
        <f aca="false">IF(F2013="","",L2013-J2013)</f>
        <v/>
      </c>
      <c r="N2013" s="32" t="str">
        <f aca="false">IF(F2013="","",IF(H2013&lt;&gt;"","Kapandı",IF('Vade Sapması'!$D$3&gt;G2013,"Açık · vadesi geçti","Açık · vadesi gelmedi")))</f>
        <v/>
      </c>
      <c r="O2013" s="30" t="str">
        <f aca="false">IF(F2013="","",IF(AND(H2013="",'Vade Sapması'!$D$3&gt;G2013),'Vade Sapması'!$D$3-G2013,0))</f>
        <v/>
      </c>
      <c r="P2013" s="33" t="str">
        <f aca="false">IF(F2013="","",F2013*J2013)</f>
        <v/>
      </c>
      <c r="Q2013" s="33" t="str">
        <f aca="false">IF(F2013="","",F2013*L2013)</f>
        <v/>
      </c>
      <c r="R2013" s="33" t="str">
        <f aca="false">IF(F2013="","",IF(H2013="",F2013,0))</f>
        <v/>
      </c>
      <c r="S2013" s="32" t="str">
        <f aca="false">IF(F2013="","",IF(N(O2013)=0,"",IF(O2013&lt;=30,"1-30",IF(O2013&lt;=60,"31-60",IF(O2013&lt;=90,"61-90","90+")))))</f>
        <v/>
      </c>
      <c r="T2013" s="32" t="str">
        <f aca="false">IF(F2013="","",IF(E2013="","Diğer",E2013))</f>
        <v/>
      </c>
      <c r="U2013" s="32" t="str">
        <f aca="false">IF(OR(F2013="",C2013=""),"",IF(COUNTIF($C$2:C2013,C2013)=1,MAX($U$1:U2012)+1,""))</f>
        <v/>
      </c>
    </row>
    <row r="2014" customFormat="false" ht="15" hidden="false" customHeight="false" outlineLevel="0" collapsed="false">
      <c r="A2014" s="34"/>
      <c r="B2014" s="9"/>
      <c r="C2014" s="34"/>
      <c r="D2014" s="34"/>
      <c r="E2014" s="34"/>
      <c r="F2014" s="35"/>
      <c r="G2014" s="9"/>
      <c r="H2014" s="9"/>
      <c r="I2014" s="34"/>
      <c r="J2014" s="30" t="str">
        <f aca="false">IF(F2014="","",G2014-B2014)</f>
        <v/>
      </c>
      <c r="K2014" s="31" t="str">
        <f aca="false">IF(F2014="","",IF(H2014&lt;&gt;"",H2014,MAX('Vade Sapması'!$D$3,G2014)))</f>
        <v/>
      </c>
      <c r="L2014" s="30" t="str">
        <f aca="false">IF(F2014="","",K2014-B2014)</f>
        <v/>
      </c>
      <c r="M2014" s="30" t="str">
        <f aca="false">IF(F2014="","",L2014-J2014)</f>
        <v/>
      </c>
      <c r="N2014" s="32" t="str">
        <f aca="false">IF(F2014="","",IF(H2014&lt;&gt;"","Kapandı",IF('Vade Sapması'!$D$3&gt;G2014,"Açık · vadesi geçti","Açık · vadesi gelmedi")))</f>
        <v/>
      </c>
      <c r="O2014" s="30" t="str">
        <f aca="false">IF(F2014="","",IF(AND(H2014="",'Vade Sapması'!$D$3&gt;G2014),'Vade Sapması'!$D$3-G2014,0))</f>
        <v/>
      </c>
      <c r="P2014" s="33" t="str">
        <f aca="false">IF(F2014="","",F2014*J2014)</f>
        <v/>
      </c>
      <c r="Q2014" s="33" t="str">
        <f aca="false">IF(F2014="","",F2014*L2014)</f>
        <v/>
      </c>
      <c r="R2014" s="33" t="str">
        <f aca="false">IF(F2014="","",IF(H2014="",F2014,0))</f>
        <v/>
      </c>
      <c r="S2014" s="32" t="str">
        <f aca="false">IF(F2014="","",IF(N(O2014)=0,"",IF(O2014&lt;=30,"1-30",IF(O2014&lt;=60,"31-60",IF(O2014&lt;=90,"61-90","90+")))))</f>
        <v/>
      </c>
      <c r="T2014" s="32" t="str">
        <f aca="false">IF(F2014="","",IF(E2014="","Diğer",E2014))</f>
        <v/>
      </c>
      <c r="U2014" s="32" t="str">
        <f aca="false">IF(OR(F2014="",C2014=""),"",IF(COUNTIF($C$2:C2014,C2014)=1,MAX($U$1:U2013)+1,""))</f>
        <v/>
      </c>
    </row>
    <row r="2015" customFormat="false" ht="15" hidden="false" customHeight="false" outlineLevel="0" collapsed="false">
      <c r="A2015" s="34"/>
      <c r="B2015" s="9"/>
      <c r="C2015" s="34"/>
      <c r="D2015" s="34"/>
      <c r="E2015" s="34"/>
      <c r="F2015" s="35"/>
      <c r="G2015" s="9"/>
      <c r="H2015" s="9"/>
      <c r="I2015" s="34"/>
      <c r="J2015" s="30" t="str">
        <f aca="false">IF(F2015="","",G2015-B2015)</f>
        <v/>
      </c>
      <c r="K2015" s="31" t="str">
        <f aca="false">IF(F2015="","",IF(H2015&lt;&gt;"",H2015,MAX('Vade Sapması'!$D$3,G2015)))</f>
        <v/>
      </c>
      <c r="L2015" s="30" t="str">
        <f aca="false">IF(F2015="","",K2015-B2015)</f>
        <v/>
      </c>
      <c r="M2015" s="30" t="str">
        <f aca="false">IF(F2015="","",L2015-J2015)</f>
        <v/>
      </c>
      <c r="N2015" s="32" t="str">
        <f aca="false">IF(F2015="","",IF(H2015&lt;&gt;"","Kapandı",IF('Vade Sapması'!$D$3&gt;G2015,"Açık · vadesi geçti","Açık · vadesi gelmedi")))</f>
        <v/>
      </c>
      <c r="O2015" s="30" t="str">
        <f aca="false">IF(F2015="","",IF(AND(H2015="",'Vade Sapması'!$D$3&gt;G2015),'Vade Sapması'!$D$3-G2015,0))</f>
        <v/>
      </c>
      <c r="P2015" s="33" t="str">
        <f aca="false">IF(F2015="","",F2015*J2015)</f>
        <v/>
      </c>
      <c r="Q2015" s="33" t="str">
        <f aca="false">IF(F2015="","",F2015*L2015)</f>
        <v/>
      </c>
      <c r="R2015" s="33" t="str">
        <f aca="false">IF(F2015="","",IF(H2015="",F2015,0))</f>
        <v/>
      </c>
      <c r="S2015" s="32" t="str">
        <f aca="false">IF(F2015="","",IF(N(O2015)=0,"",IF(O2015&lt;=30,"1-30",IF(O2015&lt;=60,"31-60",IF(O2015&lt;=90,"61-90","90+")))))</f>
        <v/>
      </c>
      <c r="T2015" s="32" t="str">
        <f aca="false">IF(F2015="","",IF(E2015="","Diğer",E2015))</f>
        <v/>
      </c>
      <c r="U2015" s="32" t="str">
        <f aca="false">IF(OR(F2015="",C2015=""),"",IF(COUNTIF($C$2:C2015,C2015)=1,MAX($U$1:U2014)+1,""))</f>
        <v/>
      </c>
    </row>
    <row r="2016" customFormat="false" ht="15" hidden="false" customHeight="false" outlineLevel="0" collapsed="false">
      <c r="A2016" s="34"/>
      <c r="B2016" s="9"/>
      <c r="C2016" s="34"/>
      <c r="D2016" s="34"/>
      <c r="E2016" s="34"/>
      <c r="F2016" s="35"/>
      <c r="G2016" s="9"/>
      <c r="H2016" s="9"/>
      <c r="I2016" s="34"/>
      <c r="J2016" s="30" t="str">
        <f aca="false">IF(F2016="","",G2016-B2016)</f>
        <v/>
      </c>
      <c r="K2016" s="31" t="str">
        <f aca="false">IF(F2016="","",IF(H2016&lt;&gt;"",H2016,MAX('Vade Sapması'!$D$3,G2016)))</f>
        <v/>
      </c>
      <c r="L2016" s="30" t="str">
        <f aca="false">IF(F2016="","",K2016-B2016)</f>
        <v/>
      </c>
      <c r="M2016" s="30" t="str">
        <f aca="false">IF(F2016="","",L2016-J2016)</f>
        <v/>
      </c>
      <c r="N2016" s="32" t="str">
        <f aca="false">IF(F2016="","",IF(H2016&lt;&gt;"","Kapandı",IF('Vade Sapması'!$D$3&gt;G2016,"Açık · vadesi geçti","Açık · vadesi gelmedi")))</f>
        <v/>
      </c>
      <c r="O2016" s="30" t="str">
        <f aca="false">IF(F2016="","",IF(AND(H2016="",'Vade Sapması'!$D$3&gt;G2016),'Vade Sapması'!$D$3-G2016,0))</f>
        <v/>
      </c>
      <c r="P2016" s="33" t="str">
        <f aca="false">IF(F2016="","",F2016*J2016)</f>
        <v/>
      </c>
      <c r="Q2016" s="33" t="str">
        <f aca="false">IF(F2016="","",F2016*L2016)</f>
        <v/>
      </c>
      <c r="R2016" s="33" t="str">
        <f aca="false">IF(F2016="","",IF(H2016="",F2016,0))</f>
        <v/>
      </c>
      <c r="S2016" s="32" t="str">
        <f aca="false">IF(F2016="","",IF(N(O2016)=0,"",IF(O2016&lt;=30,"1-30",IF(O2016&lt;=60,"31-60",IF(O2016&lt;=90,"61-90","90+")))))</f>
        <v/>
      </c>
      <c r="T2016" s="32" t="str">
        <f aca="false">IF(F2016="","",IF(E2016="","Diğer",E2016))</f>
        <v/>
      </c>
      <c r="U2016" s="32" t="str">
        <f aca="false">IF(OR(F2016="",C2016=""),"",IF(COUNTIF($C$2:C2016,C2016)=1,MAX($U$1:U2015)+1,""))</f>
        <v/>
      </c>
    </row>
    <row r="2017" customFormat="false" ht="15" hidden="false" customHeight="false" outlineLevel="0" collapsed="false">
      <c r="A2017" s="34"/>
      <c r="B2017" s="9"/>
      <c r="C2017" s="34"/>
      <c r="D2017" s="34"/>
      <c r="E2017" s="34"/>
      <c r="F2017" s="35"/>
      <c r="G2017" s="9"/>
      <c r="H2017" s="9"/>
      <c r="I2017" s="34"/>
      <c r="J2017" s="30" t="str">
        <f aca="false">IF(F2017="","",G2017-B2017)</f>
        <v/>
      </c>
      <c r="K2017" s="31" t="str">
        <f aca="false">IF(F2017="","",IF(H2017&lt;&gt;"",H2017,MAX('Vade Sapması'!$D$3,G2017)))</f>
        <v/>
      </c>
      <c r="L2017" s="30" t="str">
        <f aca="false">IF(F2017="","",K2017-B2017)</f>
        <v/>
      </c>
      <c r="M2017" s="30" t="str">
        <f aca="false">IF(F2017="","",L2017-J2017)</f>
        <v/>
      </c>
      <c r="N2017" s="32" t="str">
        <f aca="false">IF(F2017="","",IF(H2017&lt;&gt;"","Kapandı",IF('Vade Sapması'!$D$3&gt;G2017,"Açık · vadesi geçti","Açık · vadesi gelmedi")))</f>
        <v/>
      </c>
      <c r="O2017" s="30" t="str">
        <f aca="false">IF(F2017="","",IF(AND(H2017="",'Vade Sapması'!$D$3&gt;G2017),'Vade Sapması'!$D$3-G2017,0))</f>
        <v/>
      </c>
      <c r="P2017" s="33" t="str">
        <f aca="false">IF(F2017="","",F2017*J2017)</f>
        <v/>
      </c>
      <c r="Q2017" s="33" t="str">
        <f aca="false">IF(F2017="","",F2017*L2017)</f>
        <v/>
      </c>
      <c r="R2017" s="33" t="str">
        <f aca="false">IF(F2017="","",IF(H2017="",F2017,0))</f>
        <v/>
      </c>
      <c r="S2017" s="32" t="str">
        <f aca="false">IF(F2017="","",IF(N(O2017)=0,"",IF(O2017&lt;=30,"1-30",IF(O2017&lt;=60,"31-60",IF(O2017&lt;=90,"61-90","90+")))))</f>
        <v/>
      </c>
      <c r="T2017" s="32" t="str">
        <f aca="false">IF(F2017="","",IF(E2017="","Diğer",E2017))</f>
        <v/>
      </c>
      <c r="U2017" s="32" t="str">
        <f aca="false">IF(OR(F2017="",C2017=""),"",IF(COUNTIF($C$2:C2017,C2017)=1,MAX($U$1:U2016)+1,""))</f>
        <v/>
      </c>
    </row>
    <row r="2018" customFormat="false" ht="15" hidden="false" customHeight="false" outlineLevel="0" collapsed="false">
      <c r="A2018" s="34"/>
      <c r="B2018" s="9"/>
      <c r="C2018" s="34"/>
      <c r="D2018" s="34"/>
      <c r="E2018" s="34"/>
      <c r="F2018" s="35"/>
      <c r="G2018" s="9"/>
      <c r="H2018" s="9"/>
      <c r="I2018" s="34"/>
      <c r="J2018" s="30" t="str">
        <f aca="false">IF(F2018="","",G2018-B2018)</f>
        <v/>
      </c>
      <c r="K2018" s="31" t="str">
        <f aca="false">IF(F2018="","",IF(H2018&lt;&gt;"",H2018,MAX('Vade Sapması'!$D$3,G2018)))</f>
        <v/>
      </c>
      <c r="L2018" s="30" t="str">
        <f aca="false">IF(F2018="","",K2018-B2018)</f>
        <v/>
      </c>
      <c r="M2018" s="30" t="str">
        <f aca="false">IF(F2018="","",L2018-J2018)</f>
        <v/>
      </c>
      <c r="N2018" s="32" t="str">
        <f aca="false">IF(F2018="","",IF(H2018&lt;&gt;"","Kapandı",IF('Vade Sapması'!$D$3&gt;G2018,"Açık · vadesi geçti","Açık · vadesi gelmedi")))</f>
        <v/>
      </c>
      <c r="O2018" s="30" t="str">
        <f aca="false">IF(F2018="","",IF(AND(H2018="",'Vade Sapması'!$D$3&gt;G2018),'Vade Sapması'!$D$3-G2018,0))</f>
        <v/>
      </c>
      <c r="P2018" s="33" t="str">
        <f aca="false">IF(F2018="","",F2018*J2018)</f>
        <v/>
      </c>
      <c r="Q2018" s="33" t="str">
        <f aca="false">IF(F2018="","",F2018*L2018)</f>
        <v/>
      </c>
      <c r="R2018" s="33" t="str">
        <f aca="false">IF(F2018="","",IF(H2018="",F2018,0))</f>
        <v/>
      </c>
      <c r="S2018" s="32" t="str">
        <f aca="false">IF(F2018="","",IF(N(O2018)=0,"",IF(O2018&lt;=30,"1-30",IF(O2018&lt;=60,"31-60",IF(O2018&lt;=90,"61-90","90+")))))</f>
        <v/>
      </c>
      <c r="T2018" s="32" t="str">
        <f aca="false">IF(F2018="","",IF(E2018="","Diğer",E2018))</f>
        <v/>
      </c>
      <c r="U2018" s="32" t="str">
        <f aca="false">IF(OR(F2018="",C2018=""),"",IF(COUNTIF($C$2:C2018,C2018)=1,MAX($U$1:U2017)+1,""))</f>
        <v/>
      </c>
    </row>
    <row r="2019" customFormat="false" ht="15" hidden="false" customHeight="false" outlineLevel="0" collapsed="false">
      <c r="A2019" s="34"/>
      <c r="B2019" s="9"/>
      <c r="C2019" s="34"/>
      <c r="D2019" s="34"/>
      <c r="E2019" s="34"/>
      <c r="F2019" s="35"/>
      <c r="G2019" s="9"/>
      <c r="H2019" s="9"/>
      <c r="I2019" s="34"/>
      <c r="J2019" s="30" t="str">
        <f aca="false">IF(F2019="","",G2019-B2019)</f>
        <v/>
      </c>
      <c r="K2019" s="31" t="str">
        <f aca="false">IF(F2019="","",IF(H2019&lt;&gt;"",H2019,MAX('Vade Sapması'!$D$3,G2019)))</f>
        <v/>
      </c>
      <c r="L2019" s="30" t="str">
        <f aca="false">IF(F2019="","",K2019-B2019)</f>
        <v/>
      </c>
      <c r="M2019" s="30" t="str">
        <f aca="false">IF(F2019="","",L2019-J2019)</f>
        <v/>
      </c>
      <c r="N2019" s="32" t="str">
        <f aca="false">IF(F2019="","",IF(H2019&lt;&gt;"","Kapandı",IF('Vade Sapması'!$D$3&gt;G2019,"Açık · vadesi geçti","Açık · vadesi gelmedi")))</f>
        <v/>
      </c>
      <c r="O2019" s="30" t="str">
        <f aca="false">IF(F2019="","",IF(AND(H2019="",'Vade Sapması'!$D$3&gt;G2019),'Vade Sapması'!$D$3-G2019,0))</f>
        <v/>
      </c>
      <c r="P2019" s="33" t="str">
        <f aca="false">IF(F2019="","",F2019*J2019)</f>
        <v/>
      </c>
      <c r="Q2019" s="33" t="str">
        <f aca="false">IF(F2019="","",F2019*L2019)</f>
        <v/>
      </c>
      <c r="R2019" s="33" t="str">
        <f aca="false">IF(F2019="","",IF(H2019="",F2019,0))</f>
        <v/>
      </c>
      <c r="S2019" s="32" t="str">
        <f aca="false">IF(F2019="","",IF(N(O2019)=0,"",IF(O2019&lt;=30,"1-30",IF(O2019&lt;=60,"31-60",IF(O2019&lt;=90,"61-90","90+")))))</f>
        <v/>
      </c>
      <c r="T2019" s="32" t="str">
        <f aca="false">IF(F2019="","",IF(E2019="","Diğer",E2019))</f>
        <v/>
      </c>
      <c r="U2019" s="32" t="str">
        <f aca="false">IF(OR(F2019="",C2019=""),"",IF(COUNTIF($C$2:C2019,C2019)=1,MAX($U$1:U2018)+1,""))</f>
        <v/>
      </c>
    </row>
    <row r="2020" customFormat="false" ht="15" hidden="false" customHeight="false" outlineLevel="0" collapsed="false">
      <c r="A2020" s="34"/>
      <c r="B2020" s="9"/>
      <c r="C2020" s="34"/>
      <c r="D2020" s="34"/>
      <c r="E2020" s="34"/>
      <c r="F2020" s="35"/>
      <c r="G2020" s="9"/>
      <c r="H2020" s="9"/>
      <c r="I2020" s="34"/>
      <c r="J2020" s="30" t="str">
        <f aca="false">IF(F2020="","",G2020-B2020)</f>
        <v/>
      </c>
      <c r="K2020" s="31" t="str">
        <f aca="false">IF(F2020="","",IF(H2020&lt;&gt;"",H2020,MAX('Vade Sapması'!$D$3,G2020)))</f>
        <v/>
      </c>
      <c r="L2020" s="30" t="str">
        <f aca="false">IF(F2020="","",K2020-B2020)</f>
        <v/>
      </c>
      <c r="M2020" s="30" t="str">
        <f aca="false">IF(F2020="","",L2020-J2020)</f>
        <v/>
      </c>
      <c r="N2020" s="32" t="str">
        <f aca="false">IF(F2020="","",IF(H2020&lt;&gt;"","Kapandı",IF('Vade Sapması'!$D$3&gt;G2020,"Açık · vadesi geçti","Açık · vadesi gelmedi")))</f>
        <v/>
      </c>
      <c r="O2020" s="30" t="str">
        <f aca="false">IF(F2020="","",IF(AND(H2020="",'Vade Sapması'!$D$3&gt;G2020),'Vade Sapması'!$D$3-G2020,0))</f>
        <v/>
      </c>
      <c r="P2020" s="33" t="str">
        <f aca="false">IF(F2020="","",F2020*J2020)</f>
        <v/>
      </c>
      <c r="Q2020" s="33" t="str">
        <f aca="false">IF(F2020="","",F2020*L2020)</f>
        <v/>
      </c>
      <c r="R2020" s="33" t="str">
        <f aca="false">IF(F2020="","",IF(H2020="",F2020,0))</f>
        <v/>
      </c>
      <c r="S2020" s="32" t="str">
        <f aca="false">IF(F2020="","",IF(N(O2020)=0,"",IF(O2020&lt;=30,"1-30",IF(O2020&lt;=60,"31-60",IF(O2020&lt;=90,"61-90","90+")))))</f>
        <v/>
      </c>
      <c r="T2020" s="32" t="str">
        <f aca="false">IF(F2020="","",IF(E2020="","Diğer",E2020))</f>
        <v/>
      </c>
      <c r="U2020" s="32" t="str">
        <f aca="false">IF(OR(F2020="",C2020=""),"",IF(COUNTIF($C$2:C2020,C2020)=1,MAX($U$1:U2019)+1,""))</f>
        <v/>
      </c>
    </row>
    <row r="2021" customFormat="false" ht="15" hidden="false" customHeight="false" outlineLevel="0" collapsed="false">
      <c r="A2021" s="34"/>
      <c r="B2021" s="9"/>
      <c r="C2021" s="34"/>
      <c r="D2021" s="34"/>
      <c r="E2021" s="34"/>
      <c r="F2021" s="35"/>
      <c r="G2021" s="9"/>
      <c r="H2021" s="9"/>
      <c r="I2021" s="34"/>
      <c r="J2021" s="30" t="str">
        <f aca="false">IF(F2021="","",G2021-B2021)</f>
        <v/>
      </c>
      <c r="K2021" s="31" t="str">
        <f aca="false">IF(F2021="","",IF(H2021&lt;&gt;"",H2021,MAX('Vade Sapması'!$D$3,G2021)))</f>
        <v/>
      </c>
      <c r="L2021" s="30" t="str">
        <f aca="false">IF(F2021="","",K2021-B2021)</f>
        <v/>
      </c>
      <c r="M2021" s="30" t="str">
        <f aca="false">IF(F2021="","",L2021-J2021)</f>
        <v/>
      </c>
      <c r="N2021" s="32" t="str">
        <f aca="false">IF(F2021="","",IF(H2021&lt;&gt;"","Kapandı",IF('Vade Sapması'!$D$3&gt;G2021,"Açık · vadesi geçti","Açık · vadesi gelmedi")))</f>
        <v/>
      </c>
      <c r="O2021" s="30" t="str">
        <f aca="false">IF(F2021="","",IF(AND(H2021="",'Vade Sapması'!$D$3&gt;G2021),'Vade Sapması'!$D$3-G2021,0))</f>
        <v/>
      </c>
      <c r="P2021" s="33" t="str">
        <f aca="false">IF(F2021="","",F2021*J2021)</f>
        <v/>
      </c>
      <c r="Q2021" s="33" t="str">
        <f aca="false">IF(F2021="","",F2021*L2021)</f>
        <v/>
      </c>
      <c r="R2021" s="33" t="str">
        <f aca="false">IF(F2021="","",IF(H2021="",F2021,0))</f>
        <v/>
      </c>
      <c r="S2021" s="32" t="str">
        <f aca="false">IF(F2021="","",IF(N(O2021)=0,"",IF(O2021&lt;=30,"1-30",IF(O2021&lt;=60,"31-60",IF(O2021&lt;=90,"61-90","90+")))))</f>
        <v/>
      </c>
      <c r="T2021" s="32" t="str">
        <f aca="false">IF(F2021="","",IF(E2021="","Diğer",E2021))</f>
        <v/>
      </c>
      <c r="U2021" s="32" t="str">
        <f aca="false">IF(OR(F2021="",C2021=""),"",IF(COUNTIF($C$2:C2021,C2021)=1,MAX($U$1:U2020)+1,""))</f>
        <v/>
      </c>
    </row>
    <row r="2022" customFormat="false" ht="15" hidden="false" customHeight="false" outlineLevel="0" collapsed="false">
      <c r="A2022" s="34"/>
      <c r="B2022" s="9"/>
      <c r="C2022" s="34"/>
      <c r="D2022" s="34"/>
      <c r="E2022" s="34"/>
      <c r="F2022" s="35"/>
      <c r="G2022" s="9"/>
      <c r="H2022" s="9"/>
      <c r="I2022" s="34"/>
      <c r="J2022" s="30" t="str">
        <f aca="false">IF(F2022="","",G2022-B2022)</f>
        <v/>
      </c>
      <c r="K2022" s="31" t="str">
        <f aca="false">IF(F2022="","",IF(H2022&lt;&gt;"",H2022,MAX('Vade Sapması'!$D$3,G2022)))</f>
        <v/>
      </c>
      <c r="L2022" s="30" t="str">
        <f aca="false">IF(F2022="","",K2022-B2022)</f>
        <v/>
      </c>
      <c r="M2022" s="30" t="str">
        <f aca="false">IF(F2022="","",L2022-J2022)</f>
        <v/>
      </c>
      <c r="N2022" s="32" t="str">
        <f aca="false">IF(F2022="","",IF(H2022&lt;&gt;"","Kapandı",IF('Vade Sapması'!$D$3&gt;G2022,"Açık · vadesi geçti","Açık · vadesi gelmedi")))</f>
        <v/>
      </c>
      <c r="O2022" s="30" t="str">
        <f aca="false">IF(F2022="","",IF(AND(H2022="",'Vade Sapması'!$D$3&gt;G2022),'Vade Sapması'!$D$3-G2022,0))</f>
        <v/>
      </c>
      <c r="P2022" s="33" t="str">
        <f aca="false">IF(F2022="","",F2022*J2022)</f>
        <v/>
      </c>
      <c r="Q2022" s="33" t="str">
        <f aca="false">IF(F2022="","",F2022*L2022)</f>
        <v/>
      </c>
      <c r="R2022" s="33" t="str">
        <f aca="false">IF(F2022="","",IF(H2022="",F2022,0))</f>
        <v/>
      </c>
      <c r="S2022" s="32" t="str">
        <f aca="false">IF(F2022="","",IF(N(O2022)=0,"",IF(O2022&lt;=30,"1-30",IF(O2022&lt;=60,"31-60",IF(O2022&lt;=90,"61-90","90+")))))</f>
        <v/>
      </c>
      <c r="T2022" s="32" t="str">
        <f aca="false">IF(F2022="","",IF(E2022="","Diğer",E2022))</f>
        <v/>
      </c>
      <c r="U2022" s="32" t="str">
        <f aca="false">IF(OR(F2022="",C2022=""),"",IF(COUNTIF($C$2:C2022,C2022)=1,MAX($U$1:U2021)+1,""))</f>
        <v/>
      </c>
    </row>
    <row r="2023" customFormat="false" ht="15" hidden="false" customHeight="false" outlineLevel="0" collapsed="false">
      <c r="A2023" s="34"/>
      <c r="B2023" s="9"/>
      <c r="C2023" s="34"/>
      <c r="D2023" s="34"/>
      <c r="E2023" s="34"/>
      <c r="F2023" s="35"/>
      <c r="G2023" s="9"/>
      <c r="H2023" s="9"/>
      <c r="I2023" s="34"/>
      <c r="J2023" s="30" t="str">
        <f aca="false">IF(F2023="","",G2023-B2023)</f>
        <v/>
      </c>
      <c r="K2023" s="31" t="str">
        <f aca="false">IF(F2023="","",IF(H2023&lt;&gt;"",H2023,MAX('Vade Sapması'!$D$3,G2023)))</f>
        <v/>
      </c>
      <c r="L2023" s="30" t="str">
        <f aca="false">IF(F2023="","",K2023-B2023)</f>
        <v/>
      </c>
      <c r="M2023" s="30" t="str">
        <f aca="false">IF(F2023="","",L2023-J2023)</f>
        <v/>
      </c>
      <c r="N2023" s="32" t="str">
        <f aca="false">IF(F2023="","",IF(H2023&lt;&gt;"","Kapandı",IF('Vade Sapması'!$D$3&gt;G2023,"Açık · vadesi geçti","Açık · vadesi gelmedi")))</f>
        <v/>
      </c>
      <c r="O2023" s="30" t="str">
        <f aca="false">IF(F2023="","",IF(AND(H2023="",'Vade Sapması'!$D$3&gt;G2023),'Vade Sapması'!$D$3-G2023,0))</f>
        <v/>
      </c>
      <c r="P2023" s="33" t="str">
        <f aca="false">IF(F2023="","",F2023*J2023)</f>
        <v/>
      </c>
      <c r="Q2023" s="33" t="str">
        <f aca="false">IF(F2023="","",F2023*L2023)</f>
        <v/>
      </c>
      <c r="R2023" s="33" t="str">
        <f aca="false">IF(F2023="","",IF(H2023="",F2023,0))</f>
        <v/>
      </c>
      <c r="S2023" s="32" t="str">
        <f aca="false">IF(F2023="","",IF(N(O2023)=0,"",IF(O2023&lt;=30,"1-30",IF(O2023&lt;=60,"31-60",IF(O2023&lt;=90,"61-90","90+")))))</f>
        <v/>
      </c>
      <c r="T2023" s="32" t="str">
        <f aca="false">IF(F2023="","",IF(E2023="","Diğer",E2023))</f>
        <v/>
      </c>
      <c r="U2023" s="32" t="str">
        <f aca="false">IF(OR(F2023="",C2023=""),"",IF(COUNTIF($C$2:C2023,C2023)=1,MAX($U$1:U2022)+1,""))</f>
        <v/>
      </c>
    </row>
    <row r="2024" customFormat="false" ht="15" hidden="false" customHeight="false" outlineLevel="0" collapsed="false">
      <c r="A2024" s="34"/>
      <c r="B2024" s="9"/>
      <c r="C2024" s="34"/>
      <c r="D2024" s="34"/>
      <c r="E2024" s="34"/>
      <c r="F2024" s="35"/>
      <c r="G2024" s="9"/>
      <c r="H2024" s="9"/>
      <c r="I2024" s="34"/>
      <c r="J2024" s="30" t="str">
        <f aca="false">IF(F2024="","",G2024-B2024)</f>
        <v/>
      </c>
      <c r="K2024" s="31" t="str">
        <f aca="false">IF(F2024="","",IF(H2024&lt;&gt;"",H2024,MAX('Vade Sapması'!$D$3,G2024)))</f>
        <v/>
      </c>
      <c r="L2024" s="30" t="str">
        <f aca="false">IF(F2024="","",K2024-B2024)</f>
        <v/>
      </c>
      <c r="M2024" s="30" t="str">
        <f aca="false">IF(F2024="","",L2024-J2024)</f>
        <v/>
      </c>
      <c r="N2024" s="32" t="str">
        <f aca="false">IF(F2024="","",IF(H2024&lt;&gt;"","Kapandı",IF('Vade Sapması'!$D$3&gt;G2024,"Açık · vadesi geçti","Açık · vadesi gelmedi")))</f>
        <v/>
      </c>
      <c r="O2024" s="30" t="str">
        <f aca="false">IF(F2024="","",IF(AND(H2024="",'Vade Sapması'!$D$3&gt;G2024),'Vade Sapması'!$D$3-G2024,0))</f>
        <v/>
      </c>
      <c r="P2024" s="33" t="str">
        <f aca="false">IF(F2024="","",F2024*J2024)</f>
        <v/>
      </c>
      <c r="Q2024" s="33" t="str">
        <f aca="false">IF(F2024="","",F2024*L2024)</f>
        <v/>
      </c>
      <c r="R2024" s="33" t="str">
        <f aca="false">IF(F2024="","",IF(H2024="",F2024,0))</f>
        <v/>
      </c>
      <c r="S2024" s="32" t="str">
        <f aca="false">IF(F2024="","",IF(N(O2024)=0,"",IF(O2024&lt;=30,"1-30",IF(O2024&lt;=60,"31-60",IF(O2024&lt;=90,"61-90","90+")))))</f>
        <v/>
      </c>
      <c r="T2024" s="32" t="str">
        <f aca="false">IF(F2024="","",IF(E2024="","Diğer",E2024))</f>
        <v/>
      </c>
      <c r="U2024" s="32" t="str">
        <f aca="false">IF(OR(F2024="",C2024=""),"",IF(COUNTIF($C$2:C2024,C2024)=1,MAX($U$1:U2023)+1,""))</f>
        <v/>
      </c>
    </row>
    <row r="2025" customFormat="false" ht="15" hidden="false" customHeight="false" outlineLevel="0" collapsed="false">
      <c r="A2025" s="34"/>
      <c r="B2025" s="9"/>
      <c r="C2025" s="34"/>
      <c r="D2025" s="34"/>
      <c r="E2025" s="34"/>
      <c r="F2025" s="35"/>
      <c r="G2025" s="9"/>
      <c r="H2025" s="9"/>
      <c r="I2025" s="34"/>
      <c r="J2025" s="30" t="str">
        <f aca="false">IF(F2025="","",G2025-B2025)</f>
        <v/>
      </c>
      <c r="K2025" s="31" t="str">
        <f aca="false">IF(F2025="","",IF(H2025&lt;&gt;"",H2025,MAX('Vade Sapması'!$D$3,G2025)))</f>
        <v/>
      </c>
      <c r="L2025" s="30" t="str">
        <f aca="false">IF(F2025="","",K2025-B2025)</f>
        <v/>
      </c>
      <c r="M2025" s="30" t="str">
        <f aca="false">IF(F2025="","",L2025-J2025)</f>
        <v/>
      </c>
      <c r="N2025" s="32" t="str">
        <f aca="false">IF(F2025="","",IF(H2025&lt;&gt;"","Kapandı",IF('Vade Sapması'!$D$3&gt;G2025,"Açık · vadesi geçti","Açık · vadesi gelmedi")))</f>
        <v/>
      </c>
      <c r="O2025" s="30" t="str">
        <f aca="false">IF(F2025="","",IF(AND(H2025="",'Vade Sapması'!$D$3&gt;G2025),'Vade Sapması'!$D$3-G2025,0))</f>
        <v/>
      </c>
      <c r="P2025" s="33" t="str">
        <f aca="false">IF(F2025="","",F2025*J2025)</f>
        <v/>
      </c>
      <c r="Q2025" s="33" t="str">
        <f aca="false">IF(F2025="","",F2025*L2025)</f>
        <v/>
      </c>
      <c r="R2025" s="33" t="str">
        <f aca="false">IF(F2025="","",IF(H2025="",F2025,0))</f>
        <v/>
      </c>
      <c r="S2025" s="32" t="str">
        <f aca="false">IF(F2025="","",IF(N(O2025)=0,"",IF(O2025&lt;=30,"1-30",IF(O2025&lt;=60,"31-60",IF(O2025&lt;=90,"61-90","90+")))))</f>
        <v/>
      </c>
      <c r="T2025" s="32" t="str">
        <f aca="false">IF(F2025="","",IF(E2025="","Diğer",E2025))</f>
        <v/>
      </c>
      <c r="U2025" s="32" t="str">
        <f aca="false">IF(OR(F2025="",C2025=""),"",IF(COUNTIF($C$2:C2025,C2025)=1,MAX($U$1:U2024)+1,""))</f>
        <v/>
      </c>
    </row>
    <row r="2026" customFormat="false" ht="15" hidden="false" customHeight="false" outlineLevel="0" collapsed="false">
      <c r="A2026" s="34"/>
      <c r="B2026" s="9"/>
      <c r="C2026" s="34"/>
      <c r="D2026" s="34"/>
      <c r="E2026" s="34"/>
      <c r="F2026" s="35"/>
      <c r="G2026" s="9"/>
      <c r="H2026" s="9"/>
      <c r="I2026" s="34"/>
      <c r="J2026" s="30" t="str">
        <f aca="false">IF(F2026="","",G2026-B2026)</f>
        <v/>
      </c>
      <c r="K2026" s="31" t="str">
        <f aca="false">IF(F2026="","",IF(H2026&lt;&gt;"",H2026,MAX('Vade Sapması'!$D$3,G2026)))</f>
        <v/>
      </c>
      <c r="L2026" s="30" t="str">
        <f aca="false">IF(F2026="","",K2026-B2026)</f>
        <v/>
      </c>
      <c r="M2026" s="30" t="str">
        <f aca="false">IF(F2026="","",L2026-J2026)</f>
        <v/>
      </c>
      <c r="N2026" s="32" t="str">
        <f aca="false">IF(F2026="","",IF(H2026&lt;&gt;"","Kapandı",IF('Vade Sapması'!$D$3&gt;G2026,"Açık · vadesi geçti","Açık · vadesi gelmedi")))</f>
        <v/>
      </c>
      <c r="O2026" s="30" t="str">
        <f aca="false">IF(F2026="","",IF(AND(H2026="",'Vade Sapması'!$D$3&gt;G2026),'Vade Sapması'!$D$3-G2026,0))</f>
        <v/>
      </c>
      <c r="P2026" s="33" t="str">
        <f aca="false">IF(F2026="","",F2026*J2026)</f>
        <v/>
      </c>
      <c r="Q2026" s="33" t="str">
        <f aca="false">IF(F2026="","",F2026*L2026)</f>
        <v/>
      </c>
      <c r="R2026" s="33" t="str">
        <f aca="false">IF(F2026="","",IF(H2026="",F2026,0))</f>
        <v/>
      </c>
      <c r="S2026" s="32" t="str">
        <f aca="false">IF(F2026="","",IF(N(O2026)=0,"",IF(O2026&lt;=30,"1-30",IF(O2026&lt;=60,"31-60",IF(O2026&lt;=90,"61-90","90+")))))</f>
        <v/>
      </c>
      <c r="T2026" s="32" t="str">
        <f aca="false">IF(F2026="","",IF(E2026="","Diğer",E2026))</f>
        <v/>
      </c>
      <c r="U2026" s="32" t="str">
        <f aca="false">IF(OR(F2026="",C2026=""),"",IF(COUNTIF($C$2:C2026,C2026)=1,MAX($U$1:U2025)+1,""))</f>
        <v/>
      </c>
    </row>
    <row r="2027" customFormat="false" ht="15" hidden="false" customHeight="false" outlineLevel="0" collapsed="false">
      <c r="A2027" s="34"/>
      <c r="B2027" s="9"/>
      <c r="C2027" s="34"/>
      <c r="D2027" s="34"/>
      <c r="E2027" s="34"/>
      <c r="F2027" s="35"/>
      <c r="G2027" s="9"/>
      <c r="H2027" s="9"/>
      <c r="I2027" s="34"/>
      <c r="J2027" s="30" t="str">
        <f aca="false">IF(F2027="","",G2027-B2027)</f>
        <v/>
      </c>
      <c r="K2027" s="31" t="str">
        <f aca="false">IF(F2027="","",IF(H2027&lt;&gt;"",H2027,MAX('Vade Sapması'!$D$3,G2027)))</f>
        <v/>
      </c>
      <c r="L2027" s="30" t="str">
        <f aca="false">IF(F2027="","",K2027-B2027)</f>
        <v/>
      </c>
      <c r="M2027" s="30" t="str">
        <f aca="false">IF(F2027="","",L2027-J2027)</f>
        <v/>
      </c>
      <c r="N2027" s="32" t="str">
        <f aca="false">IF(F2027="","",IF(H2027&lt;&gt;"","Kapandı",IF('Vade Sapması'!$D$3&gt;G2027,"Açık · vadesi geçti","Açık · vadesi gelmedi")))</f>
        <v/>
      </c>
      <c r="O2027" s="30" t="str">
        <f aca="false">IF(F2027="","",IF(AND(H2027="",'Vade Sapması'!$D$3&gt;G2027),'Vade Sapması'!$D$3-G2027,0))</f>
        <v/>
      </c>
      <c r="P2027" s="33" t="str">
        <f aca="false">IF(F2027="","",F2027*J2027)</f>
        <v/>
      </c>
      <c r="Q2027" s="33" t="str">
        <f aca="false">IF(F2027="","",F2027*L2027)</f>
        <v/>
      </c>
      <c r="R2027" s="33" t="str">
        <f aca="false">IF(F2027="","",IF(H2027="",F2027,0))</f>
        <v/>
      </c>
      <c r="S2027" s="32" t="str">
        <f aca="false">IF(F2027="","",IF(N(O2027)=0,"",IF(O2027&lt;=30,"1-30",IF(O2027&lt;=60,"31-60",IF(O2027&lt;=90,"61-90","90+")))))</f>
        <v/>
      </c>
      <c r="T2027" s="32" t="str">
        <f aca="false">IF(F2027="","",IF(E2027="","Diğer",E2027))</f>
        <v/>
      </c>
      <c r="U2027" s="32" t="str">
        <f aca="false">IF(OR(F2027="",C2027=""),"",IF(COUNTIF($C$2:C2027,C2027)=1,MAX($U$1:U2026)+1,""))</f>
        <v/>
      </c>
    </row>
    <row r="2028" customFormat="false" ht="15" hidden="false" customHeight="false" outlineLevel="0" collapsed="false">
      <c r="A2028" s="34"/>
      <c r="B2028" s="9"/>
      <c r="C2028" s="34"/>
      <c r="D2028" s="34"/>
      <c r="E2028" s="34"/>
      <c r="F2028" s="35"/>
      <c r="G2028" s="9"/>
      <c r="H2028" s="9"/>
      <c r="I2028" s="34"/>
      <c r="J2028" s="30" t="str">
        <f aca="false">IF(F2028="","",G2028-B2028)</f>
        <v/>
      </c>
      <c r="K2028" s="31" t="str">
        <f aca="false">IF(F2028="","",IF(H2028&lt;&gt;"",H2028,MAX('Vade Sapması'!$D$3,G2028)))</f>
        <v/>
      </c>
      <c r="L2028" s="30" t="str">
        <f aca="false">IF(F2028="","",K2028-B2028)</f>
        <v/>
      </c>
      <c r="M2028" s="30" t="str">
        <f aca="false">IF(F2028="","",L2028-J2028)</f>
        <v/>
      </c>
      <c r="N2028" s="32" t="str">
        <f aca="false">IF(F2028="","",IF(H2028&lt;&gt;"","Kapandı",IF('Vade Sapması'!$D$3&gt;G2028,"Açık · vadesi geçti","Açık · vadesi gelmedi")))</f>
        <v/>
      </c>
      <c r="O2028" s="30" t="str">
        <f aca="false">IF(F2028="","",IF(AND(H2028="",'Vade Sapması'!$D$3&gt;G2028),'Vade Sapması'!$D$3-G2028,0))</f>
        <v/>
      </c>
      <c r="P2028" s="33" t="str">
        <f aca="false">IF(F2028="","",F2028*J2028)</f>
        <v/>
      </c>
      <c r="Q2028" s="33" t="str">
        <f aca="false">IF(F2028="","",F2028*L2028)</f>
        <v/>
      </c>
      <c r="R2028" s="33" t="str">
        <f aca="false">IF(F2028="","",IF(H2028="",F2028,0))</f>
        <v/>
      </c>
      <c r="S2028" s="32" t="str">
        <f aca="false">IF(F2028="","",IF(N(O2028)=0,"",IF(O2028&lt;=30,"1-30",IF(O2028&lt;=60,"31-60",IF(O2028&lt;=90,"61-90","90+")))))</f>
        <v/>
      </c>
      <c r="T2028" s="32" t="str">
        <f aca="false">IF(F2028="","",IF(E2028="","Diğer",E2028))</f>
        <v/>
      </c>
      <c r="U2028" s="32" t="str">
        <f aca="false">IF(OR(F2028="",C2028=""),"",IF(COUNTIF($C$2:C2028,C2028)=1,MAX($U$1:U2027)+1,""))</f>
        <v/>
      </c>
    </row>
    <row r="2029" customFormat="false" ht="15" hidden="false" customHeight="false" outlineLevel="0" collapsed="false">
      <c r="A2029" s="34"/>
      <c r="B2029" s="9"/>
      <c r="C2029" s="34"/>
      <c r="D2029" s="34"/>
      <c r="E2029" s="34"/>
      <c r="F2029" s="35"/>
      <c r="G2029" s="9"/>
      <c r="H2029" s="9"/>
      <c r="I2029" s="34"/>
      <c r="J2029" s="30" t="str">
        <f aca="false">IF(F2029="","",G2029-B2029)</f>
        <v/>
      </c>
      <c r="K2029" s="31" t="str">
        <f aca="false">IF(F2029="","",IF(H2029&lt;&gt;"",H2029,MAX('Vade Sapması'!$D$3,G2029)))</f>
        <v/>
      </c>
      <c r="L2029" s="30" t="str">
        <f aca="false">IF(F2029="","",K2029-B2029)</f>
        <v/>
      </c>
      <c r="M2029" s="30" t="str">
        <f aca="false">IF(F2029="","",L2029-J2029)</f>
        <v/>
      </c>
      <c r="N2029" s="32" t="str">
        <f aca="false">IF(F2029="","",IF(H2029&lt;&gt;"","Kapandı",IF('Vade Sapması'!$D$3&gt;G2029,"Açık · vadesi geçti","Açık · vadesi gelmedi")))</f>
        <v/>
      </c>
      <c r="O2029" s="30" t="str">
        <f aca="false">IF(F2029="","",IF(AND(H2029="",'Vade Sapması'!$D$3&gt;G2029),'Vade Sapması'!$D$3-G2029,0))</f>
        <v/>
      </c>
      <c r="P2029" s="33" t="str">
        <f aca="false">IF(F2029="","",F2029*J2029)</f>
        <v/>
      </c>
      <c r="Q2029" s="33" t="str">
        <f aca="false">IF(F2029="","",F2029*L2029)</f>
        <v/>
      </c>
      <c r="R2029" s="33" t="str">
        <f aca="false">IF(F2029="","",IF(H2029="",F2029,0))</f>
        <v/>
      </c>
      <c r="S2029" s="32" t="str">
        <f aca="false">IF(F2029="","",IF(N(O2029)=0,"",IF(O2029&lt;=30,"1-30",IF(O2029&lt;=60,"31-60",IF(O2029&lt;=90,"61-90","90+")))))</f>
        <v/>
      </c>
      <c r="T2029" s="32" t="str">
        <f aca="false">IF(F2029="","",IF(E2029="","Diğer",E2029))</f>
        <v/>
      </c>
      <c r="U2029" s="32" t="str">
        <f aca="false">IF(OR(F2029="",C2029=""),"",IF(COUNTIF($C$2:C2029,C2029)=1,MAX($U$1:U2028)+1,""))</f>
        <v/>
      </c>
    </row>
    <row r="2030" customFormat="false" ht="15" hidden="false" customHeight="false" outlineLevel="0" collapsed="false">
      <c r="A2030" s="34"/>
      <c r="B2030" s="9"/>
      <c r="C2030" s="34"/>
      <c r="D2030" s="34"/>
      <c r="E2030" s="34"/>
      <c r="F2030" s="35"/>
      <c r="G2030" s="9"/>
      <c r="H2030" s="9"/>
      <c r="I2030" s="34"/>
      <c r="J2030" s="30" t="str">
        <f aca="false">IF(F2030="","",G2030-B2030)</f>
        <v/>
      </c>
      <c r="K2030" s="31" t="str">
        <f aca="false">IF(F2030="","",IF(H2030&lt;&gt;"",H2030,MAX('Vade Sapması'!$D$3,G2030)))</f>
        <v/>
      </c>
      <c r="L2030" s="30" t="str">
        <f aca="false">IF(F2030="","",K2030-B2030)</f>
        <v/>
      </c>
      <c r="M2030" s="30" t="str">
        <f aca="false">IF(F2030="","",L2030-J2030)</f>
        <v/>
      </c>
      <c r="N2030" s="32" t="str">
        <f aca="false">IF(F2030="","",IF(H2030&lt;&gt;"","Kapandı",IF('Vade Sapması'!$D$3&gt;G2030,"Açık · vadesi geçti","Açık · vadesi gelmedi")))</f>
        <v/>
      </c>
      <c r="O2030" s="30" t="str">
        <f aca="false">IF(F2030="","",IF(AND(H2030="",'Vade Sapması'!$D$3&gt;G2030),'Vade Sapması'!$D$3-G2030,0))</f>
        <v/>
      </c>
      <c r="P2030" s="33" t="str">
        <f aca="false">IF(F2030="","",F2030*J2030)</f>
        <v/>
      </c>
      <c r="Q2030" s="33" t="str">
        <f aca="false">IF(F2030="","",F2030*L2030)</f>
        <v/>
      </c>
      <c r="R2030" s="33" t="str">
        <f aca="false">IF(F2030="","",IF(H2030="",F2030,0))</f>
        <v/>
      </c>
      <c r="S2030" s="32" t="str">
        <f aca="false">IF(F2030="","",IF(N(O2030)=0,"",IF(O2030&lt;=30,"1-30",IF(O2030&lt;=60,"31-60",IF(O2030&lt;=90,"61-90","90+")))))</f>
        <v/>
      </c>
      <c r="T2030" s="32" t="str">
        <f aca="false">IF(F2030="","",IF(E2030="","Diğer",E2030))</f>
        <v/>
      </c>
      <c r="U2030" s="32" t="str">
        <f aca="false">IF(OR(F2030="",C2030=""),"",IF(COUNTIF($C$2:C2030,C2030)=1,MAX($U$1:U2029)+1,""))</f>
        <v/>
      </c>
    </row>
    <row r="2031" customFormat="false" ht="15" hidden="false" customHeight="false" outlineLevel="0" collapsed="false">
      <c r="A2031" s="34"/>
      <c r="B2031" s="9"/>
      <c r="C2031" s="34"/>
      <c r="D2031" s="34"/>
      <c r="E2031" s="34"/>
      <c r="F2031" s="35"/>
      <c r="G2031" s="9"/>
      <c r="H2031" s="9"/>
      <c r="I2031" s="34"/>
      <c r="J2031" s="30" t="str">
        <f aca="false">IF(F2031="","",G2031-B2031)</f>
        <v/>
      </c>
      <c r="K2031" s="31" t="str">
        <f aca="false">IF(F2031="","",IF(H2031&lt;&gt;"",H2031,MAX('Vade Sapması'!$D$3,G2031)))</f>
        <v/>
      </c>
      <c r="L2031" s="30" t="str">
        <f aca="false">IF(F2031="","",K2031-B2031)</f>
        <v/>
      </c>
      <c r="M2031" s="30" t="str">
        <f aca="false">IF(F2031="","",L2031-J2031)</f>
        <v/>
      </c>
      <c r="N2031" s="32" t="str">
        <f aca="false">IF(F2031="","",IF(H2031&lt;&gt;"","Kapandı",IF('Vade Sapması'!$D$3&gt;G2031,"Açık · vadesi geçti","Açık · vadesi gelmedi")))</f>
        <v/>
      </c>
      <c r="O2031" s="30" t="str">
        <f aca="false">IF(F2031="","",IF(AND(H2031="",'Vade Sapması'!$D$3&gt;G2031),'Vade Sapması'!$D$3-G2031,0))</f>
        <v/>
      </c>
      <c r="P2031" s="33" t="str">
        <f aca="false">IF(F2031="","",F2031*J2031)</f>
        <v/>
      </c>
      <c r="Q2031" s="33" t="str">
        <f aca="false">IF(F2031="","",F2031*L2031)</f>
        <v/>
      </c>
      <c r="R2031" s="33" t="str">
        <f aca="false">IF(F2031="","",IF(H2031="",F2031,0))</f>
        <v/>
      </c>
      <c r="S2031" s="32" t="str">
        <f aca="false">IF(F2031="","",IF(N(O2031)=0,"",IF(O2031&lt;=30,"1-30",IF(O2031&lt;=60,"31-60",IF(O2031&lt;=90,"61-90","90+")))))</f>
        <v/>
      </c>
      <c r="T2031" s="32" t="str">
        <f aca="false">IF(F2031="","",IF(E2031="","Diğer",E2031))</f>
        <v/>
      </c>
      <c r="U2031" s="32" t="str">
        <f aca="false">IF(OR(F2031="",C2031=""),"",IF(COUNTIF($C$2:C2031,C2031)=1,MAX($U$1:U2030)+1,""))</f>
        <v/>
      </c>
    </row>
    <row r="2032" customFormat="false" ht="15" hidden="false" customHeight="false" outlineLevel="0" collapsed="false">
      <c r="A2032" s="34"/>
      <c r="B2032" s="9"/>
      <c r="C2032" s="34"/>
      <c r="D2032" s="34"/>
      <c r="E2032" s="34"/>
      <c r="F2032" s="35"/>
      <c r="G2032" s="9"/>
      <c r="H2032" s="9"/>
      <c r="I2032" s="34"/>
      <c r="J2032" s="30" t="str">
        <f aca="false">IF(F2032="","",G2032-B2032)</f>
        <v/>
      </c>
      <c r="K2032" s="31" t="str">
        <f aca="false">IF(F2032="","",IF(H2032&lt;&gt;"",H2032,MAX('Vade Sapması'!$D$3,G2032)))</f>
        <v/>
      </c>
      <c r="L2032" s="30" t="str">
        <f aca="false">IF(F2032="","",K2032-B2032)</f>
        <v/>
      </c>
      <c r="M2032" s="30" t="str">
        <f aca="false">IF(F2032="","",L2032-J2032)</f>
        <v/>
      </c>
      <c r="N2032" s="32" t="str">
        <f aca="false">IF(F2032="","",IF(H2032&lt;&gt;"","Kapandı",IF('Vade Sapması'!$D$3&gt;G2032,"Açık · vadesi geçti","Açık · vadesi gelmedi")))</f>
        <v/>
      </c>
      <c r="O2032" s="30" t="str">
        <f aca="false">IF(F2032="","",IF(AND(H2032="",'Vade Sapması'!$D$3&gt;G2032),'Vade Sapması'!$D$3-G2032,0))</f>
        <v/>
      </c>
      <c r="P2032" s="33" t="str">
        <f aca="false">IF(F2032="","",F2032*J2032)</f>
        <v/>
      </c>
      <c r="Q2032" s="33" t="str">
        <f aca="false">IF(F2032="","",F2032*L2032)</f>
        <v/>
      </c>
      <c r="R2032" s="33" t="str">
        <f aca="false">IF(F2032="","",IF(H2032="",F2032,0))</f>
        <v/>
      </c>
      <c r="S2032" s="32" t="str">
        <f aca="false">IF(F2032="","",IF(N(O2032)=0,"",IF(O2032&lt;=30,"1-30",IF(O2032&lt;=60,"31-60",IF(O2032&lt;=90,"61-90","90+")))))</f>
        <v/>
      </c>
      <c r="T2032" s="32" t="str">
        <f aca="false">IF(F2032="","",IF(E2032="","Diğer",E2032))</f>
        <v/>
      </c>
      <c r="U2032" s="32" t="str">
        <f aca="false">IF(OR(F2032="",C2032=""),"",IF(COUNTIF($C$2:C2032,C2032)=1,MAX($U$1:U2031)+1,""))</f>
        <v/>
      </c>
    </row>
    <row r="2033" customFormat="false" ht="15" hidden="false" customHeight="false" outlineLevel="0" collapsed="false">
      <c r="A2033" s="34"/>
      <c r="B2033" s="9"/>
      <c r="C2033" s="34"/>
      <c r="D2033" s="34"/>
      <c r="E2033" s="34"/>
      <c r="F2033" s="35"/>
      <c r="G2033" s="9"/>
      <c r="H2033" s="9"/>
      <c r="I2033" s="34"/>
      <c r="J2033" s="30" t="str">
        <f aca="false">IF(F2033="","",G2033-B2033)</f>
        <v/>
      </c>
      <c r="K2033" s="31" t="str">
        <f aca="false">IF(F2033="","",IF(H2033&lt;&gt;"",H2033,MAX('Vade Sapması'!$D$3,G2033)))</f>
        <v/>
      </c>
      <c r="L2033" s="30" t="str">
        <f aca="false">IF(F2033="","",K2033-B2033)</f>
        <v/>
      </c>
      <c r="M2033" s="30" t="str">
        <f aca="false">IF(F2033="","",L2033-J2033)</f>
        <v/>
      </c>
      <c r="N2033" s="32" t="str">
        <f aca="false">IF(F2033="","",IF(H2033&lt;&gt;"","Kapandı",IF('Vade Sapması'!$D$3&gt;G2033,"Açık · vadesi geçti","Açık · vadesi gelmedi")))</f>
        <v/>
      </c>
      <c r="O2033" s="30" t="str">
        <f aca="false">IF(F2033="","",IF(AND(H2033="",'Vade Sapması'!$D$3&gt;G2033),'Vade Sapması'!$D$3-G2033,0))</f>
        <v/>
      </c>
      <c r="P2033" s="33" t="str">
        <f aca="false">IF(F2033="","",F2033*J2033)</f>
        <v/>
      </c>
      <c r="Q2033" s="33" t="str">
        <f aca="false">IF(F2033="","",F2033*L2033)</f>
        <v/>
      </c>
      <c r="R2033" s="33" t="str">
        <f aca="false">IF(F2033="","",IF(H2033="",F2033,0))</f>
        <v/>
      </c>
      <c r="S2033" s="32" t="str">
        <f aca="false">IF(F2033="","",IF(N(O2033)=0,"",IF(O2033&lt;=30,"1-30",IF(O2033&lt;=60,"31-60",IF(O2033&lt;=90,"61-90","90+")))))</f>
        <v/>
      </c>
      <c r="T2033" s="32" t="str">
        <f aca="false">IF(F2033="","",IF(E2033="","Diğer",E2033))</f>
        <v/>
      </c>
      <c r="U2033" s="32" t="str">
        <f aca="false">IF(OR(F2033="",C2033=""),"",IF(COUNTIF($C$2:C2033,C2033)=1,MAX($U$1:U2032)+1,""))</f>
        <v/>
      </c>
    </row>
    <row r="2034" customFormat="false" ht="15" hidden="false" customHeight="false" outlineLevel="0" collapsed="false">
      <c r="A2034" s="34"/>
      <c r="B2034" s="9"/>
      <c r="C2034" s="34"/>
      <c r="D2034" s="34"/>
      <c r="E2034" s="34"/>
      <c r="F2034" s="35"/>
      <c r="G2034" s="9"/>
      <c r="H2034" s="9"/>
      <c r="I2034" s="34"/>
      <c r="J2034" s="30" t="str">
        <f aca="false">IF(F2034="","",G2034-B2034)</f>
        <v/>
      </c>
      <c r="K2034" s="31" t="str">
        <f aca="false">IF(F2034="","",IF(H2034&lt;&gt;"",H2034,MAX('Vade Sapması'!$D$3,G2034)))</f>
        <v/>
      </c>
      <c r="L2034" s="30" t="str">
        <f aca="false">IF(F2034="","",K2034-B2034)</f>
        <v/>
      </c>
      <c r="M2034" s="30" t="str">
        <f aca="false">IF(F2034="","",L2034-J2034)</f>
        <v/>
      </c>
      <c r="N2034" s="32" t="str">
        <f aca="false">IF(F2034="","",IF(H2034&lt;&gt;"","Kapandı",IF('Vade Sapması'!$D$3&gt;G2034,"Açık · vadesi geçti","Açık · vadesi gelmedi")))</f>
        <v/>
      </c>
      <c r="O2034" s="30" t="str">
        <f aca="false">IF(F2034="","",IF(AND(H2034="",'Vade Sapması'!$D$3&gt;G2034),'Vade Sapması'!$D$3-G2034,0))</f>
        <v/>
      </c>
      <c r="P2034" s="33" t="str">
        <f aca="false">IF(F2034="","",F2034*J2034)</f>
        <v/>
      </c>
      <c r="Q2034" s="33" t="str">
        <f aca="false">IF(F2034="","",F2034*L2034)</f>
        <v/>
      </c>
      <c r="R2034" s="33" t="str">
        <f aca="false">IF(F2034="","",IF(H2034="",F2034,0))</f>
        <v/>
      </c>
      <c r="S2034" s="32" t="str">
        <f aca="false">IF(F2034="","",IF(N(O2034)=0,"",IF(O2034&lt;=30,"1-30",IF(O2034&lt;=60,"31-60",IF(O2034&lt;=90,"61-90","90+")))))</f>
        <v/>
      </c>
      <c r="T2034" s="32" t="str">
        <f aca="false">IF(F2034="","",IF(E2034="","Diğer",E2034))</f>
        <v/>
      </c>
      <c r="U2034" s="32" t="str">
        <f aca="false">IF(OR(F2034="",C2034=""),"",IF(COUNTIF($C$2:C2034,C2034)=1,MAX($U$1:U2033)+1,""))</f>
        <v/>
      </c>
    </row>
    <row r="2035" customFormat="false" ht="15" hidden="false" customHeight="false" outlineLevel="0" collapsed="false">
      <c r="A2035" s="34"/>
      <c r="B2035" s="9"/>
      <c r="C2035" s="34"/>
      <c r="D2035" s="34"/>
      <c r="E2035" s="34"/>
      <c r="F2035" s="35"/>
      <c r="G2035" s="9"/>
      <c r="H2035" s="9"/>
      <c r="I2035" s="34"/>
      <c r="J2035" s="30" t="str">
        <f aca="false">IF(F2035="","",G2035-B2035)</f>
        <v/>
      </c>
      <c r="K2035" s="31" t="str">
        <f aca="false">IF(F2035="","",IF(H2035&lt;&gt;"",H2035,MAX('Vade Sapması'!$D$3,G2035)))</f>
        <v/>
      </c>
      <c r="L2035" s="30" t="str">
        <f aca="false">IF(F2035="","",K2035-B2035)</f>
        <v/>
      </c>
      <c r="M2035" s="30" t="str">
        <f aca="false">IF(F2035="","",L2035-J2035)</f>
        <v/>
      </c>
      <c r="N2035" s="32" t="str">
        <f aca="false">IF(F2035="","",IF(H2035&lt;&gt;"","Kapandı",IF('Vade Sapması'!$D$3&gt;G2035,"Açık · vadesi geçti","Açık · vadesi gelmedi")))</f>
        <v/>
      </c>
      <c r="O2035" s="30" t="str">
        <f aca="false">IF(F2035="","",IF(AND(H2035="",'Vade Sapması'!$D$3&gt;G2035),'Vade Sapması'!$D$3-G2035,0))</f>
        <v/>
      </c>
      <c r="P2035" s="33" t="str">
        <f aca="false">IF(F2035="","",F2035*J2035)</f>
        <v/>
      </c>
      <c r="Q2035" s="33" t="str">
        <f aca="false">IF(F2035="","",F2035*L2035)</f>
        <v/>
      </c>
      <c r="R2035" s="33" t="str">
        <f aca="false">IF(F2035="","",IF(H2035="",F2035,0))</f>
        <v/>
      </c>
      <c r="S2035" s="32" t="str">
        <f aca="false">IF(F2035="","",IF(N(O2035)=0,"",IF(O2035&lt;=30,"1-30",IF(O2035&lt;=60,"31-60",IF(O2035&lt;=90,"61-90","90+")))))</f>
        <v/>
      </c>
      <c r="T2035" s="32" t="str">
        <f aca="false">IF(F2035="","",IF(E2035="","Diğer",E2035))</f>
        <v/>
      </c>
      <c r="U2035" s="32" t="str">
        <f aca="false">IF(OR(F2035="",C2035=""),"",IF(COUNTIF($C$2:C2035,C2035)=1,MAX($U$1:U2034)+1,""))</f>
        <v/>
      </c>
    </row>
    <row r="2036" customFormat="false" ht="15" hidden="false" customHeight="false" outlineLevel="0" collapsed="false">
      <c r="A2036" s="34"/>
      <c r="B2036" s="9"/>
      <c r="C2036" s="34"/>
      <c r="D2036" s="34"/>
      <c r="E2036" s="34"/>
      <c r="F2036" s="35"/>
      <c r="G2036" s="9"/>
      <c r="H2036" s="9"/>
      <c r="I2036" s="34"/>
      <c r="J2036" s="30" t="str">
        <f aca="false">IF(F2036="","",G2036-B2036)</f>
        <v/>
      </c>
      <c r="K2036" s="31" t="str">
        <f aca="false">IF(F2036="","",IF(H2036&lt;&gt;"",H2036,MAX('Vade Sapması'!$D$3,G2036)))</f>
        <v/>
      </c>
      <c r="L2036" s="30" t="str">
        <f aca="false">IF(F2036="","",K2036-B2036)</f>
        <v/>
      </c>
      <c r="M2036" s="30" t="str">
        <f aca="false">IF(F2036="","",L2036-J2036)</f>
        <v/>
      </c>
      <c r="N2036" s="32" t="str">
        <f aca="false">IF(F2036="","",IF(H2036&lt;&gt;"","Kapandı",IF('Vade Sapması'!$D$3&gt;G2036,"Açık · vadesi geçti","Açık · vadesi gelmedi")))</f>
        <v/>
      </c>
      <c r="O2036" s="30" t="str">
        <f aca="false">IF(F2036="","",IF(AND(H2036="",'Vade Sapması'!$D$3&gt;G2036),'Vade Sapması'!$D$3-G2036,0))</f>
        <v/>
      </c>
      <c r="P2036" s="33" t="str">
        <f aca="false">IF(F2036="","",F2036*J2036)</f>
        <v/>
      </c>
      <c r="Q2036" s="33" t="str">
        <f aca="false">IF(F2036="","",F2036*L2036)</f>
        <v/>
      </c>
      <c r="R2036" s="33" t="str">
        <f aca="false">IF(F2036="","",IF(H2036="",F2036,0))</f>
        <v/>
      </c>
      <c r="S2036" s="32" t="str">
        <f aca="false">IF(F2036="","",IF(N(O2036)=0,"",IF(O2036&lt;=30,"1-30",IF(O2036&lt;=60,"31-60",IF(O2036&lt;=90,"61-90","90+")))))</f>
        <v/>
      </c>
      <c r="T2036" s="32" t="str">
        <f aca="false">IF(F2036="","",IF(E2036="","Diğer",E2036))</f>
        <v/>
      </c>
      <c r="U2036" s="32" t="str">
        <f aca="false">IF(OR(F2036="",C2036=""),"",IF(COUNTIF($C$2:C2036,C2036)=1,MAX($U$1:U2035)+1,""))</f>
        <v/>
      </c>
    </row>
    <row r="2037" customFormat="false" ht="15" hidden="false" customHeight="false" outlineLevel="0" collapsed="false">
      <c r="A2037" s="34"/>
      <c r="B2037" s="9"/>
      <c r="C2037" s="34"/>
      <c r="D2037" s="34"/>
      <c r="E2037" s="34"/>
      <c r="F2037" s="35"/>
      <c r="G2037" s="9"/>
      <c r="H2037" s="9"/>
      <c r="I2037" s="34"/>
      <c r="J2037" s="30" t="str">
        <f aca="false">IF(F2037="","",G2037-B2037)</f>
        <v/>
      </c>
      <c r="K2037" s="31" t="str">
        <f aca="false">IF(F2037="","",IF(H2037&lt;&gt;"",H2037,MAX('Vade Sapması'!$D$3,G2037)))</f>
        <v/>
      </c>
      <c r="L2037" s="30" t="str">
        <f aca="false">IF(F2037="","",K2037-B2037)</f>
        <v/>
      </c>
      <c r="M2037" s="30" t="str">
        <f aca="false">IF(F2037="","",L2037-J2037)</f>
        <v/>
      </c>
      <c r="N2037" s="32" t="str">
        <f aca="false">IF(F2037="","",IF(H2037&lt;&gt;"","Kapandı",IF('Vade Sapması'!$D$3&gt;G2037,"Açık · vadesi geçti","Açık · vadesi gelmedi")))</f>
        <v/>
      </c>
      <c r="O2037" s="30" t="str">
        <f aca="false">IF(F2037="","",IF(AND(H2037="",'Vade Sapması'!$D$3&gt;G2037),'Vade Sapması'!$D$3-G2037,0))</f>
        <v/>
      </c>
      <c r="P2037" s="33" t="str">
        <f aca="false">IF(F2037="","",F2037*J2037)</f>
        <v/>
      </c>
      <c r="Q2037" s="33" t="str">
        <f aca="false">IF(F2037="","",F2037*L2037)</f>
        <v/>
      </c>
      <c r="R2037" s="33" t="str">
        <f aca="false">IF(F2037="","",IF(H2037="",F2037,0))</f>
        <v/>
      </c>
      <c r="S2037" s="32" t="str">
        <f aca="false">IF(F2037="","",IF(N(O2037)=0,"",IF(O2037&lt;=30,"1-30",IF(O2037&lt;=60,"31-60",IF(O2037&lt;=90,"61-90","90+")))))</f>
        <v/>
      </c>
      <c r="T2037" s="32" t="str">
        <f aca="false">IF(F2037="","",IF(E2037="","Diğer",E2037))</f>
        <v/>
      </c>
      <c r="U2037" s="32" t="str">
        <f aca="false">IF(OR(F2037="",C2037=""),"",IF(COUNTIF($C$2:C2037,C2037)=1,MAX($U$1:U2036)+1,""))</f>
        <v/>
      </c>
    </row>
    <row r="2038" customFormat="false" ht="15" hidden="false" customHeight="false" outlineLevel="0" collapsed="false">
      <c r="A2038" s="34"/>
      <c r="B2038" s="9"/>
      <c r="C2038" s="34"/>
      <c r="D2038" s="34"/>
      <c r="E2038" s="34"/>
      <c r="F2038" s="35"/>
      <c r="G2038" s="9"/>
      <c r="H2038" s="9"/>
      <c r="I2038" s="34"/>
      <c r="J2038" s="30" t="str">
        <f aca="false">IF(F2038="","",G2038-B2038)</f>
        <v/>
      </c>
      <c r="K2038" s="31" t="str">
        <f aca="false">IF(F2038="","",IF(H2038&lt;&gt;"",H2038,MAX('Vade Sapması'!$D$3,G2038)))</f>
        <v/>
      </c>
      <c r="L2038" s="30" t="str">
        <f aca="false">IF(F2038="","",K2038-B2038)</f>
        <v/>
      </c>
      <c r="M2038" s="30" t="str">
        <f aca="false">IF(F2038="","",L2038-J2038)</f>
        <v/>
      </c>
      <c r="N2038" s="32" t="str">
        <f aca="false">IF(F2038="","",IF(H2038&lt;&gt;"","Kapandı",IF('Vade Sapması'!$D$3&gt;G2038,"Açık · vadesi geçti","Açık · vadesi gelmedi")))</f>
        <v/>
      </c>
      <c r="O2038" s="30" t="str">
        <f aca="false">IF(F2038="","",IF(AND(H2038="",'Vade Sapması'!$D$3&gt;G2038),'Vade Sapması'!$D$3-G2038,0))</f>
        <v/>
      </c>
      <c r="P2038" s="33" t="str">
        <f aca="false">IF(F2038="","",F2038*J2038)</f>
        <v/>
      </c>
      <c r="Q2038" s="33" t="str">
        <f aca="false">IF(F2038="","",F2038*L2038)</f>
        <v/>
      </c>
      <c r="R2038" s="33" t="str">
        <f aca="false">IF(F2038="","",IF(H2038="",F2038,0))</f>
        <v/>
      </c>
      <c r="S2038" s="32" t="str">
        <f aca="false">IF(F2038="","",IF(N(O2038)=0,"",IF(O2038&lt;=30,"1-30",IF(O2038&lt;=60,"31-60",IF(O2038&lt;=90,"61-90","90+")))))</f>
        <v/>
      </c>
      <c r="T2038" s="32" t="str">
        <f aca="false">IF(F2038="","",IF(E2038="","Diğer",E2038))</f>
        <v/>
      </c>
      <c r="U2038" s="32" t="str">
        <f aca="false">IF(OR(F2038="",C2038=""),"",IF(COUNTIF($C$2:C2038,C2038)=1,MAX($U$1:U2037)+1,""))</f>
        <v/>
      </c>
    </row>
    <row r="2039" customFormat="false" ht="15" hidden="false" customHeight="false" outlineLevel="0" collapsed="false">
      <c r="A2039" s="34"/>
      <c r="B2039" s="9"/>
      <c r="C2039" s="34"/>
      <c r="D2039" s="34"/>
      <c r="E2039" s="34"/>
      <c r="F2039" s="35"/>
      <c r="G2039" s="9"/>
      <c r="H2039" s="9"/>
      <c r="I2039" s="34"/>
      <c r="J2039" s="30" t="str">
        <f aca="false">IF(F2039="","",G2039-B2039)</f>
        <v/>
      </c>
      <c r="K2039" s="31" t="str">
        <f aca="false">IF(F2039="","",IF(H2039&lt;&gt;"",H2039,MAX('Vade Sapması'!$D$3,G2039)))</f>
        <v/>
      </c>
      <c r="L2039" s="30" t="str">
        <f aca="false">IF(F2039="","",K2039-B2039)</f>
        <v/>
      </c>
      <c r="M2039" s="30" t="str">
        <f aca="false">IF(F2039="","",L2039-J2039)</f>
        <v/>
      </c>
      <c r="N2039" s="32" t="str">
        <f aca="false">IF(F2039="","",IF(H2039&lt;&gt;"","Kapandı",IF('Vade Sapması'!$D$3&gt;G2039,"Açık · vadesi geçti","Açık · vadesi gelmedi")))</f>
        <v/>
      </c>
      <c r="O2039" s="30" t="str">
        <f aca="false">IF(F2039="","",IF(AND(H2039="",'Vade Sapması'!$D$3&gt;G2039),'Vade Sapması'!$D$3-G2039,0))</f>
        <v/>
      </c>
      <c r="P2039" s="33" t="str">
        <f aca="false">IF(F2039="","",F2039*J2039)</f>
        <v/>
      </c>
      <c r="Q2039" s="33" t="str">
        <f aca="false">IF(F2039="","",F2039*L2039)</f>
        <v/>
      </c>
      <c r="R2039" s="33" t="str">
        <f aca="false">IF(F2039="","",IF(H2039="",F2039,0))</f>
        <v/>
      </c>
      <c r="S2039" s="32" t="str">
        <f aca="false">IF(F2039="","",IF(N(O2039)=0,"",IF(O2039&lt;=30,"1-30",IF(O2039&lt;=60,"31-60",IF(O2039&lt;=90,"61-90","90+")))))</f>
        <v/>
      </c>
      <c r="T2039" s="32" t="str">
        <f aca="false">IF(F2039="","",IF(E2039="","Diğer",E2039))</f>
        <v/>
      </c>
      <c r="U2039" s="32" t="str">
        <f aca="false">IF(OR(F2039="",C2039=""),"",IF(COUNTIF($C$2:C2039,C2039)=1,MAX($U$1:U2038)+1,""))</f>
        <v/>
      </c>
    </row>
    <row r="2040" customFormat="false" ht="15" hidden="false" customHeight="false" outlineLevel="0" collapsed="false">
      <c r="A2040" s="34"/>
      <c r="B2040" s="9"/>
      <c r="C2040" s="34"/>
      <c r="D2040" s="34"/>
      <c r="E2040" s="34"/>
      <c r="F2040" s="35"/>
      <c r="G2040" s="9"/>
      <c r="H2040" s="9"/>
      <c r="I2040" s="34"/>
      <c r="J2040" s="30" t="str">
        <f aca="false">IF(F2040="","",G2040-B2040)</f>
        <v/>
      </c>
      <c r="K2040" s="31" t="str">
        <f aca="false">IF(F2040="","",IF(H2040&lt;&gt;"",H2040,MAX('Vade Sapması'!$D$3,G2040)))</f>
        <v/>
      </c>
      <c r="L2040" s="30" t="str">
        <f aca="false">IF(F2040="","",K2040-B2040)</f>
        <v/>
      </c>
      <c r="M2040" s="30" t="str">
        <f aca="false">IF(F2040="","",L2040-J2040)</f>
        <v/>
      </c>
      <c r="N2040" s="32" t="str">
        <f aca="false">IF(F2040="","",IF(H2040&lt;&gt;"","Kapandı",IF('Vade Sapması'!$D$3&gt;G2040,"Açık · vadesi geçti","Açık · vadesi gelmedi")))</f>
        <v/>
      </c>
      <c r="O2040" s="30" t="str">
        <f aca="false">IF(F2040="","",IF(AND(H2040="",'Vade Sapması'!$D$3&gt;G2040),'Vade Sapması'!$D$3-G2040,0))</f>
        <v/>
      </c>
      <c r="P2040" s="33" t="str">
        <f aca="false">IF(F2040="","",F2040*J2040)</f>
        <v/>
      </c>
      <c r="Q2040" s="33" t="str">
        <f aca="false">IF(F2040="","",F2040*L2040)</f>
        <v/>
      </c>
      <c r="R2040" s="33" t="str">
        <f aca="false">IF(F2040="","",IF(H2040="",F2040,0))</f>
        <v/>
      </c>
      <c r="S2040" s="32" t="str">
        <f aca="false">IF(F2040="","",IF(N(O2040)=0,"",IF(O2040&lt;=30,"1-30",IF(O2040&lt;=60,"31-60",IF(O2040&lt;=90,"61-90","90+")))))</f>
        <v/>
      </c>
      <c r="T2040" s="32" t="str">
        <f aca="false">IF(F2040="","",IF(E2040="","Diğer",E2040))</f>
        <v/>
      </c>
      <c r="U2040" s="32" t="str">
        <f aca="false">IF(OR(F2040="",C2040=""),"",IF(COUNTIF($C$2:C2040,C2040)=1,MAX($U$1:U2039)+1,""))</f>
        <v/>
      </c>
    </row>
    <row r="2041" customFormat="false" ht="15" hidden="false" customHeight="false" outlineLevel="0" collapsed="false">
      <c r="A2041" s="34"/>
      <c r="B2041" s="9"/>
      <c r="C2041" s="34"/>
      <c r="D2041" s="34"/>
      <c r="E2041" s="34"/>
      <c r="F2041" s="35"/>
      <c r="G2041" s="9"/>
      <c r="H2041" s="9"/>
      <c r="I2041" s="34"/>
      <c r="J2041" s="30" t="str">
        <f aca="false">IF(F2041="","",G2041-B2041)</f>
        <v/>
      </c>
      <c r="K2041" s="31" t="str">
        <f aca="false">IF(F2041="","",IF(H2041&lt;&gt;"",H2041,MAX('Vade Sapması'!$D$3,G2041)))</f>
        <v/>
      </c>
      <c r="L2041" s="30" t="str">
        <f aca="false">IF(F2041="","",K2041-B2041)</f>
        <v/>
      </c>
      <c r="M2041" s="30" t="str">
        <f aca="false">IF(F2041="","",L2041-J2041)</f>
        <v/>
      </c>
      <c r="N2041" s="32" t="str">
        <f aca="false">IF(F2041="","",IF(H2041&lt;&gt;"","Kapandı",IF('Vade Sapması'!$D$3&gt;G2041,"Açık · vadesi geçti","Açık · vadesi gelmedi")))</f>
        <v/>
      </c>
      <c r="O2041" s="30" t="str">
        <f aca="false">IF(F2041="","",IF(AND(H2041="",'Vade Sapması'!$D$3&gt;G2041),'Vade Sapması'!$D$3-G2041,0))</f>
        <v/>
      </c>
      <c r="P2041" s="33" t="str">
        <f aca="false">IF(F2041="","",F2041*J2041)</f>
        <v/>
      </c>
      <c r="Q2041" s="33" t="str">
        <f aca="false">IF(F2041="","",F2041*L2041)</f>
        <v/>
      </c>
      <c r="R2041" s="33" t="str">
        <f aca="false">IF(F2041="","",IF(H2041="",F2041,0))</f>
        <v/>
      </c>
      <c r="S2041" s="32" t="str">
        <f aca="false">IF(F2041="","",IF(N(O2041)=0,"",IF(O2041&lt;=30,"1-30",IF(O2041&lt;=60,"31-60",IF(O2041&lt;=90,"61-90","90+")))))</f>
        <v/>
      </c>
      <c r="T2041" s="32" t="str">
        <f aca="false">IF(F2041="","",IF(E2041="","Diğer",E2041))</f>
        <v/>
      </c>
      <c r="U2041" s="32" t="str">
        <f aca="false">IF(OR(F2041="",C2041=""),"",IF(COUNTIF($C$2:C2041,C2041)=1,MAX($U$1:U2040)+1,""))</f>
        <v/>
      </c>
    </row>
    <row r="2042" customFormat="false" ht="15" hidden="false" customHeight="false" outlineLevel="0" collapsed="false">
      <c r="A2042" s="34"/>
      <c r="B2042" s="9"/>
      <c r="C2042" s="34"/>
      <c r="D2042" s="34"/>
      <c r="E2042" s="34"/>
      <c r="F2042" s="35"/>
      <c r="G2042" s="9"/>
      <c r="H2042" s="9"/>
      <c r="I2042" s="34"/>
      <c r="J2042" s="30" t="str">
        <f aca="false">IF(F2042="","",G2042-B2042)</f>
        <v/>
      </c>
      <c r="K2042" s="31" t="str">
        <f aca="false">IF(F2042="","",IF(H2042&lt;&gt;"",H2042,MAX('Vade Sapması'!$D$3,G2042)))</f>
        <v/>
      </c>
      <c r="L2042" s="30" t="str">
        <f aca="false">IF(F2042="","",K2042-B2042)</f>
        <v/>
      </c>
      <c r="M2042" s="30" t="str">
        <f aca="false">IF(F2042="","",L2042-J2042)</f>
        <v/>
      </c>
      <c r="N2042" s="32" t="str">
        <f aca="false">IF(F2042="","",IF(H2042&lt;&gt;"","Kapandı",IF('Vade Sapması'!$D$3&gt;G2042,"Açık · vadesi geçti","Açık · vadesi gelmedi")))</f>
        <v/>
      </c>
      <c r="O2042" s="30" t="str">
        <f aca="false">IF(F2042="","",IF(AND(H2042="",'Vade Sapması'!$D$3&gt;G2042),'Vade Sapması'!$D$3-G2042,0))</f>
        <v/>
      </c>
      <c r="P2042" s="33" t="str">
        <f aca="false">IF(F2042="","",F2042*J2042)</f>
        <v/>
      </c>
      <c r="Q2042" s="33" t="str">
        <f aca="false">IF(F2042="","",F2042*L2042)</f>
        <v/>
      </c>
      <c r="R2042" s="33" t="str">
        <f aca="false">IF(F2042="","",IF(H2042="",F2042,0))</f>
        <v/>
      </c>
      <c r="S2042" s="32" t="str">
        <f aca="false">IF(F2042="","",IF(N(O2042)=0,"",IF(O2042&lt;=30,"1-30",IF(O2042&lt;=60,"31-60",IF(O2042&lt;=90,"61-90","90+")))))</f>
        <v/>
      </c>
      <c r="T2042" s="32" t="str">
        <f aca="false">IF(F2042="","",IF(E2042="","Diğer",E2042))</f>
        <v/>
      </c>
      <c r="U2042" s="32" t="str">
        <f aca="false">IF(OR(F2042="",C2042=""),"",IF(COUNTIF($C$2:C2042,C2042)=1,MAX($U$1:U2041)+1,""))</f>
        <v/>
      </c>
    </row>
    <row r="2043" customFormat="false" ht="15" hidden="false" customHeight="false" outlineLevel="0" collapsed="false">
      <c r="A2043" s="34"/>
      <c r="B2043" s="9"/>
      <c r="C2043" s="34"/>
      <c r="D2043" s="34"/>
      <c r="E2043" s="34"/>
      <c r="F2043" s="35"/>
      <c r="G2043" s="9"/>
      <c r="H2043" s="9"/>
      <c r="I2043" s="34"/>
      <c r="J2043" s="30" t="str">
        <f aca="false">IF(F2043="","",G2043-B2043)</f>
        <v/>
      </c>
      <c r="K2043" s="31" t="str">
        <f aca="false">IF(F2043="","",IF(H2043&lt;&gt;"",H2043,MAX('Vade Sapması'!$D$3,G2043)))</f>
        <v/>
      </c>
      <c r="L2043" s="30" t="str">
        <f aca="false">IF(F2043="","",K2043-B2043)</f>
        <v/>
      </c>
      <c r="M2043" s="30" t="str">
        <f aca="false">IF(F2043="","",L2043-J2043)</f>
        <v/>
      </c>
      <c r="N2043" s="32" t="str">
        <f aca="false">IF(F2043="","",IF(H2043&lt;&gt;"","Kapandı",IF('Vade Sapması'!$D$3&gt;G2043,"Açık · vadesi geçti","Açık · vadesi gelmedi")))</f>
        <v/>
      </c>
      <c r="O2043" s="30" t="str">
        <f aca="false">IF(F2043="","",IF(AND(H2043="",'Vade Sapması'!$D$3&gt;G2043),'Vade Sapması'!$D$3-G2043,0))</f>
        <v/>
      </c>
      <c r="P2043" s="33" t="str">
        <f aca="false">IF(F2043="","",F2043*J2043)</f>
        <v/>
      </c>
      <c r="Q2043" s="33" t="str">
        <f aca="false">IF(F2043="","",F2043*L2043)</f>
        <v/>
      </c>
      <c r="R2043" s="33" t="str">
        <f aca="false">IF(F2043="","",IF(H2043="",F2043,0))</f>
        <v/>
      </c>
      <c r="S2043" s="32" t="str">
        <f aca="false">IF(F2043="","",IF(N(O2043)=0,"",IF(O2043&lt;=30,"1-30",IF(O2043&lt;=60,"31-60",IF(O2043&lt;=90,"61-90","90+")))))</f>
        <v/>
      </c>
      <c r="T2043" s="32" t="str">
        <f aca="false">IF(F2043="","",IF(E2043="","Diğer",E2043))</f>
        <v/>
      </c>
      <c r="U2043" s="32" t="str">
        <f aca="false">IF(OR(F2043="",C2043=""),"",IF(COUNTIF($C$2:C2043,C2043)=1,MAX($U$1:U2042)+1,""))</f>
        <v/>
      </c>
    </row>
    <row r="2044" customFormat="false" ht="15" hidden="false" customHeight="false" outlineLevel="0" collapsed="false">
      <c r="A2044" s="34"/>
      <c r="B2044" s="9"/>
      <c r="C2044" s="34"/>
      <c r="D2044" s="34"/>
      <c r="E2044" s="34"/>
      <c r="F2044" s="35"/>
      <c r="G2044" s="9"/>
      <c r="H2044" s="9"/>
      <c r="I2044" s="34"/>
      <c r="J2044" s="30" t="str">
        <f aca="false">IF(F2044="","",G2044-B2044)</f>
        <v/>
      </c>
      <c r="K2044" s="31" t="str">
        <f aca="false">IF(F2044="","",IF(H2044&lt;&gt;"",H2044,MAX('Vade Sapması'!$D$3,G2044)))</f>
        <v/>
      </c>
      <c r="L2044" s="30" t="str">
        <f aca="false">IF(F2044="","",K2044-B2044)</f>
        <v/>
      </c>
      <c r="M2044" s="30" t="str">
        <f aca="false">IF(F2044="","",L2044-J2044)</f>
        <v/>
      </c>
      <c r="N2044" s="32" t="str">
        <f aca="false">IF(F2044="","",IF(H2044&lt;&gt;"","Kapandı",IF('Vade Sapması'!$D$3&gt;G2044,"Açık · vadesi geçti","Açık · vadesi gelmedi")))</f>
        <v/>
      </c>
      <c r="O2044" s="30" t="str">
        <f aca="false">IF(F2044="","",IF(AND(H2044="",'Vade Sapması'!$D$3&gt;G2044),'Vade Sapması'!$D$3-G2044,0))</f>
        <v/>
      </c>
      <c r="P2044" s="33" t="str">
        <f aca="false">IF(F2044="","",F2044*J2044)</f>
        <v/>
      </c>
      <c r="Q2044" s="33" t="str">
        <f aca="false">IF(F2044="","",F2044*L2044)</f>
        <v/>
      </c>
      <c r="R2044" s="33" t="str">
        <f aca="false">IF(F2044="","",IF(H2044="",F2044,0))</f>
        <v/>
      </c>
      <c r="S2044" s="32" t="str">
        <f aca="false">IF(F2044="","",IF(N(O2044)=0,"",IF(O2044&lt;=30,"1-30",IF(O2044&lt;=60,"31-60",IF(O2044&lt;=90,"61-90","90+")))))</f>
        <v/>
      </c>
      <c r="T2044" s="32" t="str">
        <f aca="false">IF(F2044="","",IF(E2044="","Diğer",E2044))</f>
        <v/>
      </c>
      <c r="U2044" s="32" t="str">
        <f aca="false">IF(OR(F2044="",C2044=""),"",IF(COUNTIF($C$2:C2044,C2044)=1,MAX($U$1:U2043)+1,""))</f>
        <v/>
      </c>
    </row>
    <row r="2045" customFormat="false" ht="15" hidden="false" customHeight="false" outlineLevel="0" collapsed="false">
      <c r="A2045" s="34"/>
      <c r="B2045" s="9"/>
      <c r="C2045" s="34"/>
      <c r="D2045" s="34"/>
      <c r="E2045" s="34"/>
      <c r="F2045" s="35"/>
      <c r="G2045" s="9"/>
      <c r="H2045" s="9"/>
      <c r="I2045" s="34"/>
      <c r="J2045" s="30" t="str">
        <f aca="false">IF(F2045="","",G2045-B2045)</f>
        <v/>
      </c>
      <c r="K2045" s="31" t="str">
        <f aca="false">IF(F2045="","",IF(H2045&lt;&gt;"",H2045,MAX('Vade Sapması'!$D$3,G2045)))</f>
        <v/>
      </c>
      <c r="L2045" s="30" t="str">
        <f aca="false">IF(F2045="","",K2045-B2045)</f>
        <v/>
      </c>
      <c r="M2045" s="30" t="str">
        <f aca="false">IF(F2045="","",L2045-J2045)</f>
        <v/>
      </c>
      <c r="N2045" s="32" t="str">
        <f aca="false">IF(F2045="","",IF(H2045&lt;&gt;"","Kapandı",IF('Vade Sapması'!$D$3&gt;G2045,"Açık · vadesi geçti","Açık · vadesi gelmedi")))</f>
        <v/>
      </c>
      <c r="O2045" s="30" t="str">
        <f aca="false">IF(F2045="","",IF(AND(H2045="",'Vade Sapması'!$D$3&gt;G2045),'Vade Sapması'!$D$3-G2045,0))</f>
        <v/>
      </c>
      <c r="P2045" s="33" t="str">
        <f aca="false">IF(F2045="","",F2045*J2045)</f>
        <v/>
      </c>
      <c r="Q2045" s="33" t="str">
        <f aca="false">IF(F2045="","",F2045*L2045)</f>
        <v/>
      </c>
      <c r="R2045" s="33" t="str">
        <f aca="false">IF(F2045="","",IF(H2045="",F2045,0))</f>
        <v/>
      </c>
      <c r="S2045" s="32" t="str">
        <f aca="false">IF(F2045="","",IF(N(O2045)=0,"",IF(O2045&lt;=30,"1-30",IF(O2045&lt;=60,"31-60",IF(O2045&lt;=90,"61-90","90+")))))</f>
        <v/>
      </c>
      <c r="T2045" s="32" t="str">
        <f aca="false">IF(F2045="","",IF(E2045="","Diğer",E2045))</f>
        <v/>
      </c>
      <c r="U2045" s="32" t="str">
        <f aca="false">IF(OR(F2045="",C2045=""),"",IF(COUNTIF($C$2:C2045,C2045)=1,MAX($U$1:U2044)+1,""))</f>
        <v/>
      </c>
    </row>
    <row r="2046" customFormat="false" ht="15" hidden="false" customHeight="false" outlineLevel="0" collapsed="false">
      <c r="A2046" s="34"/>
      <c r="B2046" s="9"/>
      <c r="C2046" s="34"/>
      <c r="D2046" s="34"/>
      <c r="E2046" s="34"/>
      <c r="F2046" s="35"/>
      <c r="G2046" s="9"/>
      <c r="H2046" s="9"/>
      <c r="I2046" s="34"/>
      <c r="J2046" s="30" t="str">
        <f aca="false">IF(F2046="","",G2046-B2046)</f>
        <v/>
      </c>
      <c r="K2046" s="31" t="str">
        <f aca="false">IF(F2046="","",IF(H2046&lt;&gt;"",H2046,MAX('Vade Sapması'!$D$3,G2046)))</f>
        <v/>
      </c>
      <c r="L2046" s="30" t="str">
        <f aca="false">IF(F2046="","",K2046-B2046)</f>
        <v/>
      </c>
      <c r="M2046" s="30" t="str">
        <f aca="false">IF(F2046="","",L2046-J2046)</f>
        <v/>
      </c>
      <c r="N2046" s="32" t="str">
        <f aca="false">IF(F2046="","",IF(H2046&lt;&gt;"","Kapandı",IF('Vade Sapması'!$D$3&gt;G2046,"Açık · vadesi geçti","Açık · vadesi gelmedi")))</f>
        <v/>
      </c>
      <c r="O2046" s="30" t="str">
        <f aca="false">IF(F2046="","",IF(AND(H2046="",'Vade Sapması'!$D$3&gt;G2046),'Vade Sapması'!$D$3-G2046,0))</f>
        <v/>
      </c>
      <c r="P2046" s="33" t="str">
        <f aca="false">IF(F2046="","",F2046*J2046)</f>
        <v/>
      </c>
      <c r="Q2046" s="33" t="str">
        <f aca="false">IF(F2046="","",F2046*L2046)</f>
        <v/>
      </c>
      <c r="R2046" s="33" t="str">
        <f aca="false">IF(F2046="","",IF(H2046="",F2046,0))</f>
        <v/>
      </c>
      <c r="S2046" s="32" t="str">
        <f aca="false">IF(F2046="","",IF(N(O2046)=0,"",IF(O2046&lt;=30,"1-30",IF(O2046&lt;=60,"31-60",IF(O2046&lt;=90,"61-90","90+")))))</f>
        <v/>
      </c>
      <c r="T2046" s="32" t="str">
        <f aca="false">IF(F2046="","",IF(E2046="","Diğer",E2046))</f>
        <v/>
      </c>
      <c r="U2046" s="32" t="str">
        <f aca="false">IF(OR(F2046="",C2046=""),"",IF(COUNTIF($C$2:C2046,C2046)=1,MAX($U$1:U2045)+1,""))</f>
        <v/>
      </c>
    </row>
    <row r="2047" customFormat="false" ht="15" hidden="false" customHeight="false" outlineLevel="0" collapsed="false">
      <c r="A2047" s="34"/>
      <c r="B2047" s="9"/>
      <c r="C2047" s="34"/>
      <c r="D2047" s="34"/>
      <c r="E2047" s="34"/>
      <c r="F2047" s="35"/>
      <c r="G2047" s="9"/>
      <c r="H2047" s="9"/>
      <c r="I2047" s="34"/>
      <c r="J2047" s="30" t="str">
        <f aca="false">IF(F2047="","",G2047-B2047)</f>
        <v/>
      </c>
      <c r="K2047" s="31" t="str">
        <f aca="false">IF(F2047="","",IF(H2047&lt;&gt;"",H2047,MAX('Vade Sapması'!$D$3,G2047)))</f>
        <v/>
      </c>
      <c r="L2047" s="30" t="str">
        <f aca="false">IF(F2047="","",K2047-B2047)</f>
        <v/>
      </c>
      <c r="M2047" s="30" t="str">
        <f aca="false">IF(F2047="","",L2047-J2047)</f>
        <v/>
      </c>
      <c r="N2047" s="32" t="str">
        <f aca="false">IF(F2047="","",IF(H2047&lt;&gt;"","Kapandı",IF('Vade Sapması'!$D$3&gt;G2047,"Açık · vadesi geçti","Açık · vadesi gelmedi")))</f>
        <v/>
      </c>
      <c r="O2047" s="30" t="str">
        <f aca="false">IF(F2047="","",IF(AND(H2047="",'Vade Sapması'!$D$3&gt;G2047),'Vade Sapması'!$D$3-G2047,0))</f>
        <v/>
      </c>
      <c r="P2047" s="33" t="str">
        <f aca="false">IF(F2047="","",F2047*J2047)</f>
        <v/>
      </c>
      <c r="Q2047" s="33" t="str">
        <f aca="false">IF(F2047="","",F2047*L2047)</f>
        <v/>
      </c>
      <c r="R2047" s="33" t="str">
        <f aca="false">IF(F2047="","",IF(H2047="",F2047,0))</f>
        <v/>
      </c>
      <c r="S2047" s="32" t="str">
        <f aca="false">IF(F2047="","",IF(N(O2047)=0,"",IF(O2047&lt;=30,"1-30",IF(O2047&lt;=60,"31-60",IF(O2047&lt;=90,"61-90","90+")))))</f>
        <v/>
      </c>
      <c r="T2047" s="32" t="str">
        <f aca="false">IF(F2047="","",IF(E2047="","Diğer",E2047))</f>
        <v/>
      </c>
      <c r="U2047" s="32" t="str">
        <f aca="false">IF(OR(F2047="",C2047=""),"",IF(COUNTIF($C$2:C2047,C2047)=1,MAX($U$1:U2046)+1,""))</f>
        <v/>
      </c>
    </row>
    <row r="2048" customFormat="false" ht="15" hidden="false" customHeight="false" outlineLevel="0" collapsed="false">
      <c r="A2048" s="34"/>
      <c r="B2048" s="9"/>
      <c r="C2048" s="34"/>
      <c r="D2048" s="34"/>
      <c r="E2048" s="34"/>
      <c r="F2048" s="35"/>
      <c r="G2048" s="9"/>
      <c r="H2048" s="9"/>
      <c r="I2048" s="34"/>
      <c r="J2048" s="30" t="str">
        <f aca="false">IF(F2048="","",G2048-B2048)</f>
        <v/>
      </c>
      <c r="K2048" s="31" t="str">
        <f aca="false">IF(F2048="","",IF(H2048&lt;&gt;"",H2048,MAX('Vade Sapması'!$D$3,G2048)))</f>
        <v/>
      </c>
      <c r="L2048" s="30" t="str">
        <f aca="false">IF(F2048="","",K2048-B2048)</f>
        <v/>
      </c>
      <c r="M2048" s="30" t="str">
        <f aca="false">IF(F2048="","",L2048-J2048)</f>
        <v/>
      </c>
      <c r="N2048" s="32" t="str">
        <f aca="false">IF(F2048="","",IF(H2048&lt;&gt;"","Kapandı",IF('Vade Sapması'!$D$3&gt;G2048,"Açık · vadesi geçti","Açık · vadesi gelmedi")))</f>
        <v/>
      </c>
      <c r="O2048" s="30" t="str">
        <f aca="false">IF(F2048="","",IF(AND(H2048="",'Vade Sapması'!$D$3&gt;G2048),'Vade Sapması'!$D$3-G2048,0))</f>
        <v/>
      </c>
      <c r="P2048" s="33" t="str">
        <f aca="false">IF(F2048="","",F2048*J2048)</f>
        <v/>
      </c>
      <c r="Q2048" s="33" t="str">
        <f aca="false">IF(F2048="","",F2048*L2048)</f>
        <v/>
      </c>
      <c r="R2048" s="33" t="str">
        <f aca="false">IF(F2048="","",IF(H2048="",F2048,0))</f>
        <v/>
      </c>
      <c r="S2048" s="32" t="str">
        <f aca="false">IF(F2048="","",IF(N(O2048)=0,"",IF(O2048&lt;=30,"1-30",IF(O2048&lt;=60,"31-60",IF(O2048&lt;=90,"61-90","90+")))))</f>
        <v/>
      </c>
      <c r="T2048" s="32" t="str">
        <f aca="false">IF(F2048="","",IF(E2048="","Diğer",E2048))</f>
        <v/>
      </c>
      <c r="U2048" s="32" t="str">
        <f aca="false">IF(OR(F2048="",C2048=""),"",IF(COUNTIF($C$2:C2048,C2048)=1,MAX($U$1:U2047)+1,""))</f>
        <v/>
      </c>
    </row>
    <row r="2049" customFormat="false" ht="15" hidden="false" customHeight="false" outlineLevel="0" collapsed="false">
      <c r="A2049" s="34"/>
      <c r="B2049" s="9"/>
      <c r="C2049" s="34"/>
      <c r="D2049" s="34"/>
      <c r="E2049" s="34"/>
      <c r="F2049" s="35"/>
      <c r="G2049" s="9"/>
      <c r="H2049" s="9"/>
      <c r="I2049" s="34"/>
      <c r="J2049" s="30" t="str">
        <f aca="false">IF(F2049="","",G2049-B2049)</f>
        <v/>
      </c>
      <c r="K2049" s="31" t="str">
        <f aca="false">IF(F2049="","",IF(H2049&lt;&gt;"",H2049,MAX('Vade Sapması'!$D$3,G2049)))</f>
        <v/>
      </c>
      <c r="L2049" s="30" t="str">
        <f aca="false">IF(F2049="","",K2049-B2049)</f>
        <v/>
      </c>
      <c r="M2049" s="30" t="str">
        <f aca="false">IF(F2049="","",L2049-J2049)</f>
        <v/>
      </c>
      <c r="N2049" s="32" t="str">
        <f aca="false">IF(F2049="","",IF(H2049&lt;&gt;"","Kapandı",IF('Vade Sapması'!$D$3&gt;G2049,"Açık · vadesi geçti","Açık · vadesi gelmedi")))</f>
        <v/>
      </c>
      <c r="O2049" s="30" t="str">
        <f aca="false">IF(F2049="","",IF(AND(H2049="",'Vade Sapması'!$D$3&gt;G2049),'Vade Sapması'!$D$3-G2049,0))</f>
        <v/>
      </c>
      <c r="P2049" s="33" t="str">
        <f aca="false">IF(F2049="","",F2049*J2049)</f>
        <v/>
      </c>
      <c r="Q2049" s="33" t="str">
        <f aca="false">IF(F2049="","",F2049*L2049)</f>
        <v/>
      </c>
      <c r="R2049" s="33" t="str">
        <f aca="false">IF(F2049="","",IF(H2049="",F2049,0))</f>
        <v/>
      </c>
      <c r="S2049" s="32" t="str">
        <f aca="false">IF(F2049="","",IF(N(O2049)=0,"",IF(O2049&lt;=30,"1-30",IF(O2049&lt;=60,"31-60",IF(O2049&lt;=90,"61-90","90+")))))</f>
        <v/>
      </c>
      <c r="T2049" s="32" t="str">
        <f aca="false">IF(F2049="","",IF(E2049="","Diğer",E2049))</f>
        <v/>
      </c>
      <c r="U2049" s="32" t="str">
        <f aca="false">IF(OR(F2049="",C2049=""),"",IF(COUNTIF($C$2:C2049,C2049)=1,MAX($U$1:U2048)+1,""))</f>
        <v/>
      </c>
    </row>
    <row r="2050" customFormat="false" ht="15" hidden="false" customHeight="false" outlineLevel="0" collapsed="false">
      <c r="A2050" s="34"/>
      <c r="B2050" s="9"/>
      <c r="C2050" s="34"/>
      <c r="D2050" s="34"/>
      <c r="E2050" s="34"/>
      <c r="F2050" s="35"/>
      <c r="G2050" s="9"/>
      <c r="H2050" s="9"/>
      <c r="I2050" s="34"/>
      <c r="J2050" s="30" t="str">
        <f aca="false">IF(F2050="","",G2050-B2050)</f>
        <v/>
      </c>
      <c r="K2050" s="31" t="str">
        <f aca="false">IF(F2050="","",IF(H2050&lt;&gt;"",H2050,MAX('Vade Sapması'!$D$3,G2050)))</f>
        <v/>
      </c>
      <c r="L2050" s="30" t="str">
        <f aca="false">IF(F2050="","",K2050-B2050)</f>
        <v/>
      </c>
      <c r="M2050" s="30" t="str">
        <f aca="false">IF(F2050="","",L2050-J2050)</f>
        <v/>
      </c>
      <c r="N2050" s="32" t="str">
        <f aca="false">IF(F2050="","",IF(H2050&lt;&gt;"","Kapandı",IF('Vade Sapması'!$D$3&gt;G2050,"Açık · vadesi geçti","Açık · vadesi gelmedi")))</f>
        <v/>
      </c>
      <c r="O2050" s="30" t="str">
        <f aca="false">IF(F2050="","",IF(AND(H2050="",'Vade Sapması'!$D$3&gt;G2050),'Vade Sapması'!$D$3-G2050,0))</f>
        <v/>
      </c>
      <c r="P2050" s="33" t="str">
        <f aca="false">IF(F2050="","",F2050*J2050)</f>
        <v/>
      </c>
      <c r="Q2050" s="33" t="str">
        <f aca="false">IF(F2050="","",F2050*L2050)</f>
        <v/>
      </c>
      <c r="R2050" s="33" t="str">
        <f aca="false">IF(F2050="","",IF(H2050="",F2050,0))</f>
        <v/>
      </c>
      <c r="S2050" s="32" t="str">
        <f aca="false">IF(F2050="","",IF(N(O2050)=0,"",IF(O2050&lt;=30,"1-30",IF(O2050&lt;=60,"31-60",IF(O2050&lt;=90,"61-90","90+")))))</f>
        <v/>
      </c>
      <c r="T2050" s="32" t="str">
        <f aca="false">IF(F2050="","",IF(E2050="","Diğer",E2050))</f>
        <v/>
      </c>
      <c r="U2050" s="32" t="str">
        <f aca="false">IF(OR(F2050="",C2050=""),"",IF(COUNTIF($C$2:C2050,C2050)=1,MAX($U$1:U2049)+1,""))</f>
        <v/>
      </c>
    </row>
    <row r="2051" customFormat="false" ht="15" hidden="false" customHeight="false" outlineLevel="0" collapsed="false">
      <c r="A2051" s="34"/>
      <c r="B2051" s="9"/>
      <c r="C2051" s="34"/>
      <c r="D2051" s="34"/>
      <c r="E2051" s="34"/>
      <c r="F2051" s="35"/>
      <c r="G2051" s="9"/>
      <c r="H2051" s="9"/>
      <c r="I2051" s="34"/>
      <c r="J2051" s="30" t="str">
        <f aca="false">IF(F2051="","",G2051-B2051)</f>
        <v/>
      </c>
      <c r="K2051" s="31" t="str">
        <f aca="false">IF(F2051="","",IF(H2051&lt;&gt;"",H2051,MAX('Vade Sapması'!$D$3,G2051)))</f>
        <v/>
      </c>
      <c r="L2051" s="30" t="str">
        <f aca="false">IF(F2051="","",K2051-B2051)</f>
        <v/>
      </c>
      <c r="M2051" s="30" t="str">
        <f aca="false">IF(F2051="","",L2051-J2051)</f>
        <v/>
      </c>
      <c r="N2051" s="32" t="str">
        <f aca="false">IF(F2051="","",IF(H2051&lt;&gt;"","Kapandı",IF('Vade Sapması'!$D$3&gt;G2051,"Açık · vadesi geçti","Açık · vadesi gelmedi")))</f>
        <v/>
      </c>
      <c r="O2051" s="30" t="str">
        <f aca="false">IF(F2051="","",IF(AND(H2051="",'Vade Sapması'!$D$3&gt;G2051),'Vade Sapması'!$D$3-G2051,0))</f>
        <v/>
      </c>
      <c r="P2051" s="33" t="str">
        <f aca="false">IF(F2051="","",F2051*J2051)</f>
        <v/>
      </c>
      <c r="Q2051" s="33" t="str">
        <f aca="false">IF(F2051="","",F2051*L2051)</f>
        <v/>
      </c>
      <c r="R2051" s="33" t="str">
        <f aca="false">IF(F2051="","",IF(H2051="",F2051,0))</f>
        <v/>
      </c>
      <c r="S2051" s="32" t="str">
        <f aca="false">IF(F2051="","",IF(N(O2051)=0,"",IF(O2051&lt;=30,"1-30",IF(O2051&lt;=60,"31-60",IF(O2051&lt;=90,"61-90","90+")))))</f>
        <v/>
      </c>
      <c r="T2051" s="32" t="str">
        <f aca="false">IF(F2051="","",IF(E2051="","Diğer",E2051))</f>
        <v/>
      </c>
      <c r="U2051" s="32" t="str">
        <f aca="false">IF(OR(F2051="",C2051=""),"",IF(COUNTIF($C$2:C2051,C2051)=1,MAX($U$1:U2050)+1,""))</f>
        <v/>
      </c>
    </row>
    <row r="2052" customFormat="false" ht="15" hidden="false" customHeight="false" outlineLevel="0" collapsed="false">
      <c r="A2052" s="34"/>
      <c r="B2052" s="9"/>
      <c r="C2052" s="34"/>
      <c r="D2052" s="34"/>
      <c r="E2052" s="34"/>
      <c r="F2052" s="35"/>
      <c r="G2052" s="9"/>
      <c r="H2052" s="9"/>
      <c r="I2052" s="34"/>
      <c r="J2052" s="30" t="str">
        <f aca="false">IF(F2052="","",G2052-B2052)</f>
        <v/>
      </c>
      <c r="K2052" s="31" t="str">
        <f aca="false">IF(F2052="","",IF(H2052&lt;&gt;"",H2052,MAX('Vade Sapması'!$D$3,G2052)))</f>
        <v/>
      </c>
      <c r="L2052" s="30" t="str">
        <f aca="false">IF(F2052="","",K2052-B2052)</f>
        <v/>
      </c>
      <c r="M2052" s="30" t="str">
        <f aca="false">IF(F2052="","",L2052-J2052)</f>
        <v/>
      </c>
      <c r="N2052" s="32" t="str">
        <f aca="false">IF(F2052="","",IF(H2052&lt;&gt;"","Kapandı",IF('Vade Sapması'!$D$3&gt;G2052,"Açık · vadesi geçti","Açık · vadesi gelmedi")))</f>
        <v/>
      </c>
      <c r="O2052" s="30" t="str">
        <f aca="false">IF(F2052="","",IF(AND(H2052="",'Vade Sapması'!$D$3&gt;G2052),'Vade Sapması'!$D$3-G2052,0))</f>
        <v/>
      </c>
      <c r="P2052" s="33" t="str">
        <f aca="false">IF(F2052="","",F2052*J2052)</f>
        <v/>
      </c>
      <c r="Q2052" s="33" t="str">
        <f aca="false">IF(F2052="","",F2052*L2052)</f>
        <v/>
      </c>
      <c r="R2052" s="33" t="str">
        <f aca="false">IF(F2052="","",IF(H2052="",F2052,0))</f>
        <v/>
      </c>
      <c r="S2052" s="32" t="str">
        <f aca="false">IF(F2052="","",IF(N(O2052)=0,"",IF(O2052&lt;=30,"1-30",IF(O2052&lt;=60,"31-60",IF(O2052&lt;=90,"61-90","90+")))))</f>
        <v/>
      </c>
      <c r="T2052" s="32" t="str">
        <f aca="false">IF(F2052="","",IF(E2052="","Diğer",E2052))</f>
        <v/>
      </c>
      <c r="U2052" s="32" t="str">
        <f aca="false">IF(OR(F2052="",C2052=""),"",IF(COUNTIF($C$2:C2052,C2052)=1,MAX($U$1:U2051)+1,""))</f>
        <v/>
      </c>
    </row>
    <row r="2053" customFormat="false" ht="15" hidden="false" customHeight="false" outlineLevel="0" collapsed="false">
      <c r="A2053" s="34"/>
      <c r="B2053" s="9"/>
      <c r="C2053" s="34"/>
      <c r="D2053" s="34"/>
      <c r="E2053" s="34"/>
      <c r="F2053" s="35"/>
      <c r="G2053" s="9"/>
      <c r="H2053" s="9"/>
      <c r="I2053" s="34"/>
      <c r="J2053" s="30" t="str">
        <f aca="false">IF(F2053="","",G2053-B2053)</f>
        <v/>
      </c>
      <c r="K2053" s="31" t="str">
        <f aca="false">IF(F2053="","",IF(H2053&lt;&gt;"",H2053,MAX('Vade Sapması'!$D$3,G2053)))</f>
        <v/>
      </c>
      <c r="L2053" s="30" t="str">
        <f aca="false">IF(F2053="","",K2053-B2053)</f>
        <v/>
      </c>
      <c r="M2053" s="30" t="str">
        <f aca="false">IF(F2053="","",L2053-J2053)</f>
        <v/>
      </c>
      <c r="N2053" s="32" t="str">
        <f aca="false">IF(F2053="","",IF(H2053&lt;&gt;"","Kapandı",IF('Vade Sapması'!$D$3&gt;G2053,"Açık · vadesi geçti","Açık · vadesi gelmedi")))</f>
        <v/>
      </c>
      <c r="O2053" s="30" t="str">
        <f aca="false">IF(F2053="","",IF(AND(H2053="",'Vade Sapması'!$D$3&gt;G2053),'Vade Sapması'!$D$3-G2053,0))</f>
        <v/>
      </c>
      <c r="P2053" s="33" t="str">
        <f aca="false">IF(F2053="","",F2053*J2053)</f>
        <v/>
      </c>
      <c r="Q2053" s="33" t="str">
        <f aca="false">IF(F2053="","",F2053*L2053)</f>
        <v/>
      </c>
      <c r="R2053" s="33" t="str">
        <f aca="false">IF(F2053="","",IF(H2053="",F2053,0))</f>
        <v/>
      </c>
      <c r="S2053" s="32" t="str">
        <f aca="false">IF(F2053="","",IF(N(O2053)=0,"",IF(O2053&lt;=30,"1-30",IF(O2053&lt;=60,"31-60",IF(O2053&lt;=90,"61-90","90+")))))</f>
        <v/>
      </c>
      <c r="T2053" s="32" t="str">
        <f aca="false">IF(F2053="","",IF(E2053="","Diğer",E2053))</f>
        <v/>
      </c>
      <c r="U2053" s="32" t="str">
        <f aca="false">IF(OR(F2053="",C2053=""),"",IF(COUNTIF($C$2:C2053,C2053)=1,MAX($U$1:U2052)+1,""))</f>
        <v/>
      </c>
    </row>
    <row r="2054" customFormat="false" ht="15" hidden="false" customHeight="false" outlineLevel="0" collapsed="false">
      <c r="A2054" s="34"/>
      <c r="B2054" s="9"/>
      <c r="C2054" s="34"/>
      <c r="D2054" s="34"/>
      <c r="E2054" s="34"/>
      <c r="F2054" s="35"/>
      <c r="G2054" s="9"/>
      <c r="H2054" s="9"/>
      <c r="I2054" s="34"/>
      <c r="J2054" s="30" t="str">
        <f aca="false">IF(F2054="","",G2054-B2054)</f>
        <v/>
      </c>
      <c r="K2054" s="31" t="str">
        <f aca="false">IF(F2054="","",IF(H2054&lt;&gt;"",H2054,MAX('Vade Sapması'!$D$3,G2054)))</f>
        <v/>
      </c>
      <c r="L2054" s="30" t="str">
        <f aca="false">IF(F2054="","",K2054-B2054)</f>
        <v/>
      </c>
      <c r="M2054" s="30" t="str">
        <f aca="false">IF(F2054="","",L2054-J2054)</f>
        <v/>
      </c>
      <c r="N2054" s="32" t="str">
        <f aca="false">IF(F2054="","",IF(H2054&lt;&gt;"","Kapandı",IF('Vade Sapması'!$D$3&gt;G2054,"Açık · vadesi geçti","Açık · vadesi gelmedi")))</f>
        <v/>
      </c>
      <c r="O2054" s="30" t="str">
        <f aca="false">IF(F2054="","",IF(AND(H2054="",'Vade Sapması'!$D$3&gt;G2054),'Vade Sapması'!$D$3-G2054,0))</f>
        <v/>
      </c>
      <c r="P2054" s="33" t="str">
        <f aca="false">IF(F2054="","",F2054*J2054)</f>
        <v/>
      </c>
      <c r="Q2054" s="33" t="str">
        <f aca="false">IF(F2054="","",F2054*L2054)</f>
        <v/>
      </c>
      <c r="R2054" s="33" t="str">
        <f aca="false">IF(F2054="","",IF(H2054="",F2054,0))</f>
        <v/>
      </c>
      <c r="S2054" s="32" t="str">
        <f aca="false">IF(F2054="","",IF(N(O2054)=0,"",IF(O2054&lt;=30,"1-30",IF(O2054&lt;=60,"31-60",IF(O2054&lt;=90,"61-90","90+")))))</f>
        <v/>
      </c>
      <c r="T2054" s="32" t="str">
        <f aca="false">IF(F2054="","",IF(E2054="","Diğer",E2054))</f>
        <v/>
      </c>
      <c r="U2054" s="32" t="str">
        <f aca="false">IF(OR(F2054="",C2054=""),"",IF(COUNTIF($C$2:C2054,C2054)=1,MAX($U$1:U2053)+1,""))</f>
        <v/>
      </c>
    </row>
    <row r="2055" customFormat="false" ht="15" hidden="false" customHeight="false" outlineLevel="0" collapsed="false">
      <c r="A2055" s="34"/>
      <c r="B2055" s="9"/>
      <c r="C2055" s="34"/>
      <c r="D2055" s="34"/>
      <c r="E2055" s="34"/>
      <c r="F2055" s="35"/>
      <c r="G2055" s="9"/>
      <c r="H2055" s="9"/>
      <c r="I2055" s="34"/>
      <c r="J2055" s="30" t="str">
        <f aca="false">IF(F2055="","",G2055-B2055)</f>
        <v/>
      </c>
      <c r="K2055" s="31" t="str">
        <f aca="false">IF(F2055="","",IF(H2055&lt;&gt;"",H2055,MAX('Vade Sapması'!$D$3,G2055)))</f>
        <v/>
      </c>
      <c r="L2055" s="30" t="str">
        <f aca="false">IF(F2055="","",K2055-B2055)</f>
        <v/>
      </c>
      <c r="M2055" s="30" t="str">
        <f aca="false">IF(F2055="","",L2055-J2055)</f>
        <v/>
      </c>
      <c r="N2055" s="32" t="str">
        <f aca="false">IF(F2055="","",IF(H2055&lt;&gt;"","Kapandı",IF('Vade Sapması'!$D$3&gt;G2055,"Açık · vadesi geçti","Açık · vadesi gelmedi")))</f>
        <v/>
      </c>
      <c r="O2055" s="30" t="str">
        <f aca="false">IF(F2055="","",IF(AND(H2055="",'Vade Sapması'!$D$3&gt;G2055),'Vade Sapması'!$D$3-G2055,0))</f>
        <v/>
      </c>
      <c r="P2055" s="33" t="str">
        <f aca="false">IF(F2055="","",F2055*J2055)</f>
        <v/>
      </c>
      <c r="Q2055" s="33" t="str">
        <f aca="false">IF(F2055="","",F2055*L2055)</f>
        <v/>
      </c>
      <c r="R2055" s="33" t="str">
        <f aca="false">IF(F2055="","",IF(H2055="",F2055,0))</f>
        <v/>
      </c>
      <c r="S2055" s="32" t="str">
        <f aca="false">IF(F2055="","",IF(N(O2055)=0,"",IF(O2055&lt;=30,"1-30",IF(O2055&lt;=60,"31-60",IF(O2055&lt;=90,"61-90","90+")))))</f>
        <v/>
      </c>
      <c r="T2055" s="32" t="str">
        <f aca="false">IF(F2055="","",IF(E2055="","Diğer",E2055))</f>
        <v/>
      </c>
      <c r="U2055" s="32" t="str">
        <f aca="false">IF(OR(F2055="",C2055=""),"",IF(COUNTIF($C$2:C2055,C2055)=1,MAX($U$1:U2054)+1,""))</f>
        <v/>
      </c>
    </row>
    <row r="2056" customFormat="false" ht="15" hidden="false" customHeight="false" outlineLevel="0" collapsed="false">
      <c r="A2056" s="34"/>
      <c r="B2056" s="9"/>
      <c r="C2056" s="34"/>
      <c r="D2056" s="34"/>
      <c r="E2056" s="34"/>
      <c r="F2056" s="35"/>
      <c r="G2056" s="9"/>
      <c r="H2056" s="9"/>
      <c r="I2056" s="34"/>
      <c r="J2056" s="30" t="str">
        <f aca="false">IF(F2056="","",G2056-B2056)</f>
        <v/>
      </c>
      <c r="K2056" s="31" t="str">
        <f aca="false">IF(F2056="","",IF(H2056&lt;&gt;"",H2056,MAX('Vade Sapması'!$D$3,G2056)))</f>
        <v/>
      </c>
      <c r="L2056" s="30" t="str">
        <f aca="false">IF(F2056="","",K2056-B2056)</f>
        <v/>
      </c>
      <c r="M2056" s="30" t="str">
        <f aca="false">IF(F2056="","",L2056-J2056)</f>
        <v/>
      </c>
      <c r="N2056" s="32" t="str">
        <f aca="false">IF(F2056="","",IF(H2056&lt;&gt;"","Kapandı",IF('Vade Sapması'!$D$3&gt;G2056,"Açık · vadesi geçti","Açık · vadesi gelmedi")))</f>
        <v/>
      </c>
      <c r="O2056" s="30" t="str">
        <f aca="false">IF(F2056="","",IF(AND(H2056="",'Vade Sapması'!$D$3&gt;G2056),'Vade Sapması'!$D$3-G2056,0))</f>
        <v/>
      </c>
      <c r="P2056" s="33" t="str">
        <f aca="false">IF(F2056="","",F2056*J2056)</f>
        <v/>
      </c>
      <c r="Q2056" s="33" t="str">
        <f aca="false">IF(F2056="","",F2056*L2056)</f>
        <v/>
      </c>
      <c r="R2056" s="33" t="str">
        <f aca="false">IF(F2056="","",IF(H2056="",F2056,0))</f>
        <v/>
      </c>
      <c r="S2056" s="32" t="str">
        <f aca="false">IF(F2056="","",IF(N(O2056)=0,"",IF(O2056&lt;=30,"1-30",IF(O2056&lt;=60,"31-60",IF(O2056&lt;=90,"61-90","90+")))))</f>
        <v/>
      </c>
      <c r="T2056" s="32" t="str">
        <f aca="false">IF(F2056="","",IF(E2056="","Diğer",E2056))</f>
        <v/>
      </c>
      <c r="U2056" s="32" t="str">
        <f aca="false">IF(OR(F2056="",C2056=""),"",IF(COUNTIF($C$2:C2056,C2056)=1,MAX($U$1:U2055)+1,""))</f>
        <v/>
      </c>
    </row>
    <row r="2057" customFormat="false" ht="15" hidden="false" customHeight="false" outlineLevel="0" collapsed="false">
      <c r="A2057" s="34"/>
      <c r="B2057" s="9"/>
      <c r="C2057" s="34"/>
      <c r="D2057" s="34"/>
      <c r="E2057" s="34"/>
      <c r="F2057" s="35"/>
      <c r="G2057" s="9"/>
      <c r="H2057" s="9"/>
      <c r="I2057" s="34"/>
      <c r="J2057" s="30" t="str">
        <f aca="false">IF(F2057="","",G2057-B2057)</f>
        <v/>
      </c>
      <c r="K2057" s="31" t="str">
        <f aca="false">IF(F2057="","",IF(H2057&lt;&gt;"",H2057,MAX('Vade Sapması'!$D$3,G2057)))</f>
        <v/>
      </c>
      <c r="L2057" s="30" t="str">
        <f aca="false">IF(F2057="","",K2057-B2057)</f>
        <v/>
      </c>
      <c r="M2057" s="30" t="str">
        <f aca="false">IF(F2057="","",L2057-J2057)</f>
        <v/>
      </c>
      <c r="N2057" s="32" t="str">
        <f aca="false">IF(F2057="","",IF(H2057&lt;&gt;"","Kapandı",IF('Vade Sapması'!$D$3&gt;G2057,"Açık · vadesi geçti","Açık · vadesi gelmedi")))</f>
        <v/>
      </c>
      <c r="O2057" s="30" t="str">
        <f aca="false">IF(F2057="","",IF(AND(H2057="",'Vade Sapması'!$D$3&gt;G2057),'Vade Sapması'!$D$3-G2057,0))</f>
        <v/>
      </c>
      <c r="P2057" s="33" t="str">
        <f aca="false">IF(F2057="","",F2057*J2057)</f>
        <v/>
      </c>
      <c r="Q2057" s="33" t="str">
        <f aca="false">IF(F2057="","",F2057*L2057)</f>
        <v/>
      </c>
      <c r="R2057" s="33" t="str">
        <f aca="false">IF(F2057="","",IF(H2057="",F2057,0))</f>
        <v/>
      </c>
      <c r="S2057" s="32" t="str">
        <f aca="false">IF(F2057="","",IF(N(O2057)=0,"",IF(O2057&lt;=30,"1-30",IF(O2057&lt;=60,"31-60",IF(O2057&lt;=90,"61-90","90+")))))</f>
        <v/>
      </c>
      <c r="T2057" s="32" t="str">
        <f aca="false">IF(F2057="","",IF(E2057="","Diğer",E2057))</f>
        <v/>
      </c>
      <c r="U2057" s="32" t="str">
        <f aca="false">IF(OR(F2057="",C2057=""),"",IF(COUNTIF($C$2:C2057,C2057)=1,MAX($U$1:U2056)+1,""))</f>
        <v/>
      </c>
    </row>
    <row r="2058" customFormat="false" ht="15" hidden="false" customHeight="false" outlineLevel="0" collapsed="false">
      <c r="A2058" s="34"/>
      <c r="B2058" s="9"/>
      <c r="C2058" s="34"/>
      <c r="D2058" s="34"/>
      <c r="E2058" s="34"/>
      <c r="F2058" s="35"/>
      <c r="G2058" s="9"/>
      <c r="H2058" s="9"/>
      <c r="I2058" s="34"/>
      <c r="J2058" s="30" t="str">
        <f aca="false">IF(F2058="","",G2058-B2058)</f>
        <v/>
      </c>
      <c r="K2058" s="31" t="str">
        <f aca="false">IF(F2058="","",IF(H2058&lt;&gt;"",H2058,MAX('Vade Sapması'!$D$3,G2058)))</f>
        <v/>
      </c>
      <c r="L2058" s="30" t="str">
        <f aca="false">IF(F2058="","",K2058-B2058)</f>
        <v/>
      </c>
      <c r="M2058" s="30" t="str">
        <f aca="false">IF(F2058="","",L2058-J2058)</f>
        <v/>
      </c>
      <c r="N2058" s="32" t="str">
        <f aca="false">IF(F2058="","",IF(H2058&lt;&gt;"","Kapandı",IF('Vade Sapması'!$D$3&gt;G2058,"Açık · vadesi geçti","Açık · vadesi gelmedi")))</f>
        <v/>
      </c>
      <c r="O2058" s="30" t="str">
        <f aca="false">IF(F2058="","",IF(AND(H2058="",'Vade Sapması'!$D$3&gt;G2058),'Vade Sapması'!$D$3-G2058,0))</f>
        <v/>
      </c>
      <c r="P2058" s="33" t="str">
        <f aca="false">IF(F2058="","",F2058*J2058)</f>
        <v/>
      </c>
      <c r="Q2058" s="33" t="str">
        <f aca="false">IF(F2058="","",F2058*L2058)</f>
        <v/>
      </c>
      <c r="R2058" s="33" t="str">
        <f aca="false">IF(F2058="","",IF(H2058="",F2058,0))</f>
        <v/>
      </c>
      <c r="S2058" s="32" t="str">
        <f aca="false">IF(F2058="","",IF(N(O2058)=0,"",IF(O2058&lt;=30,"1-30",IF(O2058&lt;=60,"31-60",IF(O2058&lt;=90,"61-90","90+")))))</f>
        <v/>
      </c>
      <c r="T2058" s="32" t="str">
        <f aca="false">IF(F2058="","",IF(E2058="","Diğer",E2058))</f>
        <v/>
      </c>
      <c r="U2058" s="32" t="str">
        <f aca="false">IF(OR(F2058="",C2058=""),"",IF(COUNTIF($C$2:C2058,C2058)=1,MAX($U$1:U2057)+1,""))</f>
        <v/>
      </c>
    </row>
    <row r="2059" customFormat="false" ht="15" hidden="false" customHeight="false" outlineLevel="0" collapsed="false">
      <c r="A2059" s="34"/>
      <c r="B2059" s="9"/>
      <c r="C2059" s="34"/>
      <c r="D2059" s="34"/>
      <c r="E2059" s="34"/>
      <c r="F2059" s="35"/>
      <c r="G2059" s="9"/>
      <c r="H2059" s="9"/>
      <c r="I2059" s="34"/>
      <c r="J2059" s="30" t="str">
        <f aca="false">IF(F2059="","",G2059-B2059)</f>
        <v/>
      </c>
      <c r="K2059" s="31" t="str">
        <f aca="false">IF(F2059="","",IF(H2059&lt;&gt;"",H2059,MAX('Vade Sapması'!$D$3,G2059)))</f>
        <v/>
      </c>
      <c r="L2059" s="30" t="str">
        <f aca="false">IF(F2059="","",K2059-B2059)</f>
        <v/>
      </c>
      <c r="M2059" s="30" t="str">
        <f aca="false">IF(F2059="","",L2059-J2059)</f>
        <v/>
      </c>
      <c r="N2059" s="32" t="str">
        <f aca="false">IF(F2059="","",IF(H2059&lt;&gt;"","Kapandı",IF('Vade Sapması'!$D$3&gt;G2059,"Açık · vadesi geçti","Açık · vadesi gelmedi")))</f>
        <v/>
      </c>
      <c r="O2059" s="30" t="str">
        <f aca="false">IF(F2059="","",IF(AND(H2059="",'Vade Sapması'!$D$3&gt;G2059),'Vade Sapması'!$D$3-G2059,0))</f>
        <v/>
      </c>
      <c r="P2059" s="33" t="str">
        <f aca="false">IF(F2059="","",F2059*J2059)</f>
        <v/>
      </c>
      <c r="Q2059" s="33" t="str">
        <f aca="false">IF(F2059="","",F2059*L2059)</f>
        <v/>
      </c>
      <c r="R2059" s="33" t="str">
        <f aca="false">IF(F2059="","",IF(H2059="",F2059,0))</f>
        <v/>
      </c>
      <c r="S2059" s="32" t="str">
        <f aca="false">IF(F2059="","",IF(N(O2059)=0,"",IF(O2059&lt;=30,"1-30",IF(O2059&lt;=60,"31-60",IF(O2059&lt;=90,"61-90","90+")))))</f>
        <v/>
      </c>
      <c r="T2059" s="32" t="str">
        <f aca="false">IF(F2059="","",IF(E2059="","Diğer",E2059))</f>
        <v/>
      </c>
      <c r="U2059" s="32" t="str">
        <f aca="false">IF(OR(F2059="",C2059=""),"",IF(COUNTIF($C$2:C2059,C2059)=1,MAX($U$1:U2058)+1,""))</f>
        <v/>
      </c>
    </row>
    <row r="2060" customFormat="false" ht="15" hidden="false" customHeight="false" outlineLevel="0" collapsed="false">
      <c r="A2060" s="34"/>
      <c r="B2060" s="9"/>
      <c r="C2060" s="34"/>
      <c r="D2060" s="34"/>
      <c r="E2060" s="34"/>
      <c r="F2060" s="35"/>
      <c r="G2060" s="9"/>
      <c r="H2060" s="9"/>
      <c r="I2060" s="34"/>
      <c r="J2060" s="30" t="str">
        <f aca="false">IF(F2060="","",G2060-B2060)</f>
        <v/>
      </c>
      <c r="K2060" s="31" t="str">
        <f aca="false">IF(F2060="","",IF(H2060&lt;&gt;"",H2060,MAX('Vade Sapması'!$D$3,G2060)))</f>
        <v/>
      </c>
      <c r="L2060" s="30" t="str">
        <f aca="false">IF(F2060="","",K2060-B2060)</f>
        <v/>
      </c>
      <c r="M2060" s="30" t="str">
        <f aca="false">IF(F2060="","",L2060-J2060)</f>
        <v/>
      </c>
      <c r="N2060" s="32" t="str">
        <f aca="false">IF(F2060="","",IF(H2060&lt;&gt;"","Kapandı",IF('Vade Sapması'!$D$3&gt;G2060,"Açık · vadesi geçti","Açık · vadesi gelmedi")))</f>
        <v/>
      </c>
      <c r="O2060" s="30" t="str">
        <f aca="false">IF(F2060="","",IF(AND(H2060="",'Vade Sapması'!$D$3&gt;G2060),'Vade Sapması'!$D$3-G2060,0))</f>
        <v/>
      </c>
      <c r="P2060" s="33" t="str">
        <f aca="false">IF(F2060="","",F2060*J2060)</f>
        <v/>
      </c>
      <c r="Q2060" s="33" t="str">
        <f aca="false">IF(F2060="","",F2060*L2060)</f>
        <v/>
      </c>
      <c r="R2060" s="33" t="str">
        <f aca="false">IF(F2060="","",IF(H2060="",F2060,0))</f>
        <v/>
      </c>
      <c r="S2060" s="32" t="str">
        <f aca="false">IF(F2060="","",IF(N(O2060)=0,"",IF(O2060&lt;=30,"1-30",IF(O2060&lt;=60,"31-60",IF(O2060&lt;=90,"61-90","90+")))))</f>
        <v/>
      </c>
      <c r="T2060" s="32" t="str">
        <f aca="false">IF(F2060="","",IF(E2060="","Diğer",E2060))</f>
        <v/>
      </c>
      <c r="U2060" s="32" t="str">
        <f aca="false">IF(OR(F2060="",C2060=""),"",IF(COUNTIF($C$2:C2060,C2060)=1,MAX($U$1:U2059)+1,""))</f>
        <v/>
      </c>
    </row>
    <row r="2061" customFormat="false" ht="15" hidden="false" customHeight="false" outlineLevel="0" collapsed="false">
      <c r="A2061" s="34"/>
      <c r="B2061" s="9"/>
      <c r="C2061" s="34"/>
      <c r="D2061" s="34"/>
      <c r="E2061" s="34"/>
      <c r="F2061" s="35"/>
      <c r="G2061" s="9"/>
      <c r="H2061" s="9"/>
      <c r="I2061" s="34"/>
      <c r="J2061" s="30" t="str">
        <f aca="false">IF(F2061="","",G2061-B2061)</f>
        <v/>
      </c>
      <c r="K2061" s="31" t="str">
        <f aca="false">IF(F2061="","",IF(H2061&lt;&gt;"",H2061,MAX('Vade Sapması'!$D$3,G2061)))</f>
        <v/>
      </c>
      <c r="L2061" s="30" t="str">
        <f aca="false">IF(F2061="","",K2061-B2061)</f>
        <v/>
      </c>
      <c r="M2061" s="30" t="str">
        <f aca="false">IF(F2061="","",L2061-J2061)</f>
        <v/>
      </c>
      <c r="N2061" s="32" t="str">
        <f aca="false">IF(F2061="","",IF(H2061&lt;&gt;"","Kapandı",IF('Vade Sapması'!$D$3&gt;G2061,"Açık · vadesi geçti","Açık · vadesi gelmedi")))</f>
        <v/>
      </c>
      <c r="O2061" s="30" t="str">
        <f aca="false">IF(F2061="","",IF(AND(H2061="",'Vade Sapması'!$D$3&gt;G2061),'Vade Sapması'!$D$3-G2061,0))</f>
        <v/>
      </c>
      <c r="P2061" s="33" t="str">
        <f aca="false">IF(F2061="","",F2061*J2061)</f>
        <v/>
      </c>
      <c r="Q2061" s="33" t="str">
        <f aca="false">IF(F2061="","",F2061*L2061)</f>
        <v/>
      </c>
      <c r="R2061" s="33" t="str">
        <f aca="false">IF(F2061="","",IF(H2061="",F2061,0))</f>
        <v/>
      </c>
      <c r="S2061" s="32" t="str">
        <f aca="false">IF(F2061="","",IF(N(O2061)=0,"",IF(O2061&lt;=30,"1-30",IF(O2061&lt;=60,"31-60",IF(O2061&lt;=90,"61-90","90+")))))</f>
        <v/>
      </c>
      <c r="T2061" s="32" t="str">
        <f aca="false">IF(F2061="","",IF(E2061="","Diğer",E2061))</f>
        <v/>
      </c>
      <c r="U2061" s="32" t="str">
        <f aca="false">IF(OR(F2061="",C2061=""),"",IF(COUNTIF($C$2:C2061,C2061)=1,MAX($U$1:U2060)+1,""))</f>
        <v/>
      </c>
    </row>
    <row r="2062" customFormat="false" ht="15" hidden="false" customHeight="false" outlineLevel="0" collapsed="false">
      <c r="A2062" s="34"/>
      <c r="B2062" s="9"/>
      <c r="C2062" s="34"/>
      <c r="D2062" s="34"/>
      <c r="E2062" s="34"/>
      <c r="F2062" s="35"/>
      <c r="G2062" s="9"/>
      <c r="H2062" s="9"/>
      <c r="I2062" s="34"/>
      <c r="J2062" s="30" t="str">
        <f aca="false">IF(F2062="","",G2062-B2062)</f>
        <v/>
      </c>
      <c r="K2062" s="31" t="str">
        <f aca="false">IF(F2062="","",IF(H2062&lt;&gt;"",H2062,MAX('Vade Sapması'!$D$3,G2062)))</f>
        <v/>
      </c>
      <c r="L2062" s="30" t="str">
        <f aca="false">IF(F2062="","",K2062-B2062)</f>
        <v/>
      </c>
      <c r="M2062" s="30" t="str">
        <f aca="false">IF(F2062="","",L2062-J2062)</f>
        <v/>
      </c>
      <c r="N2062" s="32" t="str">
        <f aca="false">IF(F2062="","",IF(H2062&lt;&gt;"","Kapandı",IF('Vade Sapması'!$D$3&gt;G2062,"Açık · vadesi geçti","Açık · vadesi gelmedi")))</f>
        <v/>
      </c>
      <c r="O2062" s="30" t="str">
        <f aca="false">IF(F2062="","",IF(AND(H2062="",'Vade Sapması'!$D$3&gt;G2062),'Vade Sapması'!$D$3-G2062,0))</f>
        <v/>
      </c>
      <c r="P2062" s="33" t="str">
        <f aca="false">IF(F2062="","",F2062*J2062)</f>
        <v/>
      </c>
      <c r="Q2062" s="33" t="str">
        <f aca="false">IF(F2062="","",F2062*L2062)</f>
        <v/>
      </c>
      <c r="R2062" s="33" t="str">
        <f aca="false">IF(F2062="","",IF(H2062="",F2062,0))</f>
        <v/>
      </c>
      <c r="S2062" s="32" t="str">
        <f aca="false">IF(F2062="","",IF(N(O2062)=0,"",IF(O2062&lt;=30,"1-30",IF(O2062&lt;=60,"31-60",IF(O2062&lt;=90,"61-90","90+")))))</f>
        <v/>
      </c>
      <c r="T2062" s="32" t="str">
        <f aca="false">IF(F2062="","",IF(E2062="","Diğer",E2062))</f>
        <v/>
      </c>
      <c r="U2062" s="32" t="str">
        <f aca="false">IF(OR(F2062="",C2062=""),"",IF(COUNTIF($C$2:C2062,C2062)=1,MAX($U$1:U2061)+1,""))</f>
        <v/>
      </c>
    </row>
    <row r="2063" customFormat="false" ht="15" hidden="false" customHeight="false" outlineLevel="0" collapsed="false">
      <c r="A2063" s="34"/>
      <c r="B2063" s="9"/>
      <c r="C2063" s="34"/>
      <c r="D2063" s="34"/>
      <c r="E2063" s="34"/>
      <c r="F2063" s="35"/>
      <c r="G2063" s="9"/>
      <c r="H2063" s="9"/>
      <c r="I2063" s="34"/>
      <c r="J2063" s="30" t="str">
        <f aca="false">IF(F2063="","",G2063-B2063)</f>
        <v/>
      </c>
      <c r="K2063" s="31" t="str">
        <f aca="false">IF(F2063="","",IF(H2063&lt;&gt;"",H2063,MAX('Vade Sapması'!$D$3,G2063)))</f>
        <v/>
      </c>
      <c r="L2063" s="30" t="str">
        <f aca="false">IF(F2063="","",K2063-B2063)</f>
        <v/>
      </c>
      <c r="M2063" s="30" t="str">
        <f aca="false">IF(F2063="","",L2063-J2063)</f>
        <v/>
      </c>
      <c r="N2063" s="32" t="str">
        <f aca="false">IF(F2063="","",IF(H2063&lt;&gt;"","Kapandı",IF('Vade Sapması'!$D$3&gt;G2063,"Açık · vadesi geçti","Açık · vadesi gelmedi")))</f>
        <v/>
      </c>
      <c r="O2063" s="30" t="str">
        <f aca="false">IF(F2063="","",IF(AND(H2063="",'Vade Sapması'!$D$3&gt;G2063),'Vade Sapması'!$D$3-G2063,0))</f>
        <v/>
      </c>
      <c r="P2063" s="33" t="str">
        <f aca="false">IF(F2063="","",F2063*J2063)</f>
        <v/>
      </c>
      <c r="Q2063" s="33" t="str">
        <f aca="false">IF(F2063="","",F2063*L2063)</f>
        <v/>
      </c>
      <c r="R2063" s="33" t="str">
        <f aca="false">IF(F2063="","",IF(H2063="",F2063,0))</f>
        <v/>
      </c>
      <c r="S2063" s="32" t="str">
        <f aca="false">IF(F2063="","",IF(N(O2063)=0,"",IF(O2063&lt;=30,"1-30",IF(O2063&lt;=60,"31-60",IF(O2063&lt;=90,"61-90","90+")))))</f>
        <v/>
      </c>
      <c r="T2063" s="32" t="str">
        <f aca="false">IF(F2063="","",IF(E2063="","Diğer",E2063))</f>
        <v/>
      </c>
      <c r="U2063" s="32" t="str">
        <f aca="false">IF(OR(F2063="",C2063=""),"",IF(COUNTIF($C$2:C2063,C2063)=1,MAX($U$1:U2062)+1,""))</f>
        <v/>
      </c>
    </row>
    <row r="2064" customFormat="false" ht="15" hidden="false" customHeight="false" outlineLevel="0" collapsed="false">
      <c r="A2064" s="34"/>
      <c r="B2064" s="9"/>
      <c r="C2064" s="34"/>
      <c r="D2064" s="34"/>
      <c r="E2064" s="34"/>
      <c r="F2064" s="35"/>
      <c r="G2064" s="9"/>
      <c r="H2064" s="9"/>
      <c r="I2064" s="34"/>
      <c r="J2064" s="30" t="str">
        <f aca="false">IF(F2064="","",G2064-B2064)</f>
        <v/>
      </c>
      <c r="K2064" s="31" t="str">
        <f aca="false">IF(F2064="","",IF(H2064&lt;&gt;"",H2064,MAX('Vade Sapması'!$D$3,G2064)))</f>
        <v/>
      </c>
      <c r="L2064" s="30" t="str">
        <f aca="false">IF(F2064="","",K2064-B2064)</f>
        <v/>
      </c>
      <c r="M2064" s="30" t="str">
        <f aca="false">IF(F2064="","",L2064-J2064)</f>
        <v/>
      </c>
      <c r="N2064" s="32" t="str">
        <f aca="false">IF(F2064="","",IF(H2064&lt;&gt;"","Kapandı",IF('Vade Sapması'!$D$3&gt;G2064,"Açık · vadesi geçti","Açık · vadesi gelmedi")))</f>
        <v/>
      </c>
      <c r="O2064" s="30" t="str">
        <f aca="false">IF(F2064="","",IF(AND(H2064="",'Vade Sapması'!$D$3&gt;G2064),'Vade Sapması'!$D$3-G2064,0))</f>
        <v/>
      </c>
      <c r="P2064" s="33" t="str">
        <f aca="false">IF(F2064="","",F2064*J2064)</f>
        <v/>
      </c>
      <c r="Q2064" s="33" t="str">
        <f aca="false">IF(F2064="","",F2064*L2064)</f>
        <v/>
      </c>
      <c r="R2064" s="33" t="str">
        <f aca="false">IF(F2064="","",IF(H2064="",F2064,0))</f>
        <v/>
      </c>
      <c r="S2064" s="32" t="str">
        <f aca="false">IF(F2064="","",IF(N(O2064)=0,"",IF(O2064&lt;=30,"1-30",IF(O2064&lt;=60,"31-60",IF(O2064&lt;=90,"61-90","90+")))))</f>
        <v/>
      </c>
      <c r="T2064" s="32" t="str">
        <f aca="false">IF(F2064="","",IF(E2064="","Diğer",E2064))</f>
        <v/>
      </c>
      <c r="U2064" s="32" t="str">
        <f aca="false">IF(OR(F2064="",C2064=""),"",IF(COUNTIF($C$2:C2064,C2064)=1,MAX($U$1:U2063)+1,""))</f>
        <v/>
      </c>
    </row>
    <row r="2065" customFormat="false" ht="15" hidden="false" customHeight="false" outlineLevel="0" collapsed="false">
      <c r="A2065" s="34"/>
      <c r="B2065" s="9"/>
      <c r="C2065" s="34"/>
      <c r="D2065" s="34"/>
      <c r="E2065" s="34"/>
      <c r="F2065" s="35"/>
      <c r="G2065" s="9"/>
      <c r="H2065" s="9"/>
      <c r="I2065" s="34"/>
      <c r="J2065" s="30" t="str">
        <f aca="false">IF(F2065="","",G2065-B2065)</f>
        <v/>
      </c>
      <c r="K2065" s="31" t="str">
        <f aca="false">IF(F2065="","",IF(H2065&lt;&gt;"",H2065,MAX('Vade Sapması'!$D$3,G2065)))</f>
        <v/>
      </c>
      <c r="L2065" s="30" t="str">
        <f aca="false">IF(F2065="","",K2065-B2065)</f>
        <v/>
      </c>
      <c r="M2065" s="30" t="str">
        <f aca="false">IF(F2065="","",L2065-J2065)</f>
        <v/>
      </c>
      <c r="N2065" s="32" t="str">
        <f aca="false">IF(F2065="","",IF(H2065&lt;&gt;"","Kapandı",IF('Vade Sapması'!$D$3&gt;G2065,"Açık · vadesi geçti","Açık · vadesi gelmedi")))</f>
        <v/>
      </c>
      <c r="O2065" s="30" t="str">
        <f aca="false">IF(F2065="","",IF(AND(H2065="",'Vade Sapması'!$D$3&gt;G2065),'Vade Sapması'!$D$3-G2065,0))</f>
        <v/>
      </c>
      <c r="P2065" s="33" t="str">
        <f aca="false">IF(F2065="","",F2065*J2065)</f>
        <v/>
      </c>
      <c r="Q2065" s="33" t="str">
        <f aca="false">IF(F2065="","",F2065*L2065)</f>
        <v/>
      </c>
      <c r="R2065" s="33" t="str">
        <f aca="false">IF(F2065="","",IF(H2065="",F2065,0))</f>
        <v/>
      </c>
      <c r="S2065" s="32" t="str">
        <f aca="false">IF(F2065="","",IF(N(O2065)=0,"",IF(O2065&lt;=30,"1-30",IF(O2065&lt;=60,"31-60",IF(O2065&lt;=90,"61-90","90+")))))</f>
        <v/>
      </c>
      <c r="T2065" s="32" t="str">
        <f aca="false">IF(F2065="","",IF(E2065="","Diğer",E2065))</f>
        <v/>
      </c>
      <c r="U2065" s="32" t="str">
        <f aca="false">IF(OR(F2065="",C2065=""),"",IF(COUNTIF($C$2:C2065,C2065)=1,MAX($U$1:U2064)+1,""))</f>
        <v/>
      </c>
    </row>
    <row r="2066" customFormat="false" ht="15" hidden="false" customHeight="false" outlineLevel="0" collapsed="false">
      <c r="A2066" s="34"/>
      <c r="B2066" s="9"/>
      <c r="C2066" s="34"/>
      <c r="D2066" s="34"/>
      <c r="E2066" s="34"/>
      <c r="F2066" s="35"/>
      <c r="G2066" s="9"/>
      <c r="H2066" s="9"/>
      <c r="I2066" s="34"/>
      <c r="J2066" s="30" t="str">
        <f aca="false">IF(F2066="","",G2066-B2066)</f>
        <v/>
      </c>
      <c r="K2066" s="31" t="str">
        <f aca="false">IF(F2066="","",IF(H2066&lt;&gt;"",H2066,MAX('Vade Sapması'!$D$3,G2066)))</f>
        <v/>
      </c>
      <c r="L2066" s="30" t="str">
        <f aca="false">IF(F2066="","",K2066-B2066)</f>
        <v/>
      </c>
      <c r="M2066" s="30" t="str">
        <f aca="false">IF(F2066="","",L2066-J2066)</f>
        <v/>
      </c>
      <c r="N2066" s="32" t="str">
        <f aca="false">IF(F2066="","",IF(H2066&lt;&gt;"","Kapandı",IF('Vade Sapması'!$D$3&gt;G2066,"Açık · vadesi geçti","Açık · vadesi gelmedi")))</f>
        <v/>
      </c>
      <c r="O2066" s="30" t="str">
        <f aca="false">IF(F2066="","",IF(AND(H2066="",'Vade Sapması'!$D$3&gt;G2066),'Vade Sapması'!$D$3-G2066,0))</f>
        <v/>
      </c>
      <c r="P2066" s="33" t="str">
        <f aca="false">IF(F2066="","",F2066*J2066)</f>
        <v/>
      </c>
      <c r="Q2066" s="33" t="str">
        <f aca="false">IF(F2066="","",F2066*L2066)</f>
        <v/>
      </c>
      <c r="R2066" s="33" t="str">
        <f aca="false">IF(F2066="","",IF(H2066="",F2066,0))</f>
        <v/>
      </c>
      <c r="S2066" s="32" t="str">
        <f aca="false">IF(F2066="","",IF(N(O2066)=0,"",IF(O2066&lt;=30,"1-30",IF(O2066&lt;=60,"31-60",IF(O2066&lt;=90,"61-90","90+")))))</f>
        <v/>
      </c>
      <c r="T2066" s="32" t="str">
        <f aca="false">IF(F2066="","",IF(E2066="","Diğer",E2066))</f>
        <v/>
      </c>
      <c r="U2066" s="32" t="str">
        <f aca="false">IF(OR(F2066="",C2066=""),"",IF(COUNTIF($C$2:C2066,C2066)=1,MAX($U$1:U2065)+1,""))</f>
        <v/>
      </c>
    </row>
    <row r="2067" customFormat="false" ht="15" hidden="false" customHeight="false" outlineLevel="0" collapsed="false">
      <c r="A2067" s="34"/>
      <c r="B2067" s="9"/>
      <c r="C2067" s="34"/>
      <c r="D2067" s="34"/>
      <c r="E2067" s="34"/>
      <c r="F2067" s="35"/>
      <c r="G2067" s="9"/>
      <c r="H2067" s="9"/>
      <c r="I2067" s="34"/>
      <c r="J2067" s="30" t="str">
        <f aca="false">IF(F2067="","",G2067-B2067)</f>
        <v/>
      </c>
      <c r="K2067" s="31" t="str">
        <f aca="false">IF(F2067="","",IF(H2067&lt;&gt;"",H2067,MAX('Vade Sapması'!$D$3,G2067)))</f>
        <v/>
      </c>
      <c r="L2067" s="30" t="str">
        <f aca="false">IF(F2067="","",K2067-B2067)</f>
        <v/>
      </c>
      <c r="M2067" s="30" t="str">
        <f aca="false">IF(F2067="","",L2067-J2067)</f>
        <v/>
      </c>
      <c r="N2067" s="32" t="str">
        <f aca="false">IF(F2067="","",IF(H2067&lt;&gt;"","Kapandı",IF('Vade Sapması'!$D$3&gt;G2067,"Açık · vadesi geçti","Açık · vadesi gelmedi")))</f>
        <v/>
      </c>
      <c r="O2067" s="30" t="str">
        <f aca="false">IF(F2067="","",IF(AND(H2067="",'Vade Sapması'!$D$3&gt;G2067),'Vade Sapması'!$D$3-G2067,0))</f>
        <v/>
      </c>
      <c r="P2067" s="33" t="str">
        <f aca="false">IF(F2067="","",F2067*J2067)</f>
        <v/>
      </c>
      <c r="Q2067" s="33" t="str">
        <f aca="false">IF(F2067="","",F2067*L2067)</f>
        <v/>
      </c>
      <c r="R2067" s="33" t="str">
        <f aca="false">IF(F2067="","",IF(H2067="",F2067,0))</f>
        <v/>
      </c>
      <c r="S2067" s="32" t="str">
        <f aca="false">IF(F2067="","",IF(N(O2067)=0,"",IF(O2067&lt;=30,"1-30",IF(O2067&lt;=60,"31-60",IF(O2067&lt;=90,"61-90","90+")))))</f>
        <v/>
      </c>
      <c r="T2067" s="32" t="str">
        <f aca="false">IF(F2067="","",IF(E2067="","Diğer",E2067))</f>
        <v/>
      </c>
      <c r="U2067" s="32" t="str">
        <f aca="false">IF(OR(F2067="",C2067=""),"",IF(COUNTIF($C$2:C2067,C2067)=1,MAX($U$1:U2066)+1,""))</f>
        <v/>
      </c>
    </row>
    <row r="2068" customFormat="false" ht="15" hidden="false" customHeight="false" outlineLevel="0" collapsed="false">
      <c r="A2068" s="34"/>
      <c r="B2068" s="9"/>
      <c r="C2068" s="34"/>
      <c r="D2068" s="34"/>
      <c r="E2068" s="34"/>
      <c r="F2068" s="35"/>
      <c r="G2068" s="9"/>
      <c r="H2068" s="9"/>
      <c r="I2068" s="34"/>
      <c r="J2068" s="30" t="str">
        <f aca="false">IF(F2068="","",G2068-B2068)</f>
        <v/>
      </c>
      <c r="K2068" s="31" t="str">
        <f aca="false">IF(F2068="","",IF(H2068&lt;&gt;"",H2068,MAX('Vade Sapması'!$D$3,G2068)))</f>
        <v/>
      </c>
      <c r="L2068" s="30" t="str">
        <f aca="false">IF(F2068="","",K2068-B2068)</f>
        <v/>
      </c>
      <c r="M2068" s="30" t="str">
        <f aca="false">IF(F2068="","",L2068-J2068)</f>
        <v/>
      </c>
      <c r="N2068" s="32" t="str">
        <f aca="false">IF(F2068="","",IF(H2068&lt;&gt;"","Kapandı",IF('Vade Sapması'!$D$3&gt;G2068,"Açık · vadesi geçti","Açık · vadesi gelmedi")))</f>
        <v/>
      </c>
      <c r="O2068" s="30" t="str">
        <f aca="false">IF(F2068="","",IF(AND(H2068="",'Vade Sapması'!$D$3&gt;G2068),'Vade Sapması'!$D$3-G2068,0))</f>
        <v/>
      </c>
      <c r="P2068" s="33" t="str">
        <f aca="false">IF(F2068="","",F2068*J2068)</f>
        <v/>
      </c>
      <c r="Q2068" s="33" t="str">
        <f aca="false">IF(F2068="","",F2068*L2068)</f>
        <v/>
      </c>
      <c r="R2068" s="33" t="str">
        <f aca="false">IF(F2068="","",IF(H2068="",F2068,0))</f>
        <v/>
      </c>
      <c r="S2068" s="32" t="str">
        <f aca="false">IF(F2068="","",IF(N(O2068)=0,"",IF(O2068&lt;=30,"1-30",IF(O2068&lt;=60,"31-60",IF(O2068&lt;=90,"61-90","90+")))))</f>
        <v/>
      </c>
      <c r="T2068" s="32" t="str">
        <f aca="false">IF(F2068="","",IF(E2068="","Diğer",E2068))</f>
        <v/>
      </c>
      <c r="U2068" s="32" t="str">
        <f aca="false">IF(OR(F2068="",C2068=""),"",IF(COUNTIF($C$2:C2068,C2068)=1,MAX($U$1:U2067)+1,""))</f>
        <v/>
      </c>
    </row>
    <row r="2069" customFormat="false" ht="15" hidden="false" customHeight="false" outlineLevel="0" collapsed="false">
      <c r="A2069" s="34"/>
      <c r="B2069" s="9"/>
      <c r="C2069" s="34"/>
      <c r="D2069" s="34"/>
      <c r="E2069" s="34"/>
      <c r="F2069" s="35"/>
      <c r="G2069" s="9"/>
      <c r="H2069" s="9"/>
      <c r="I2069" s="34"/>
      <c r="J2069" s="30" t="str">
        <f aca="false">IF(F2069="","",G2069-B2069)</f>
        <v/>
      </c>
      <c r="K2069" s="31" t="str">
        <f aca="false">IF(F2069="","",IF(H2069&lt;&gt;"",H2069,MAX('Vade Sapması'!$D$3,G2069)))</f>
        <v/>
      </c>
      <c r="L2069" s="30" t="str">
        <f aca="false">IF(F2069="","",K2069-B2069)</f>
        <v/>
      </c>
      <c r="M2069" s="30" t="str">
        <f aca="false">IF(F2069="","",L2069-J2069)</f>
        <v/>
      </c>
      <c r="N2069" s="32" t="str">
        <f aca="false">IF(F2069="","",IF(H2069&lt;&gt;"","Kapandı",IF('Vade Sapması'!$D$3&gt;G2069,"Açık · vadesi geçti","Açık · vadesi gelmedi")))</f>
        <v/>
      </c>
      <c r="O2069" s="30" t="str">
        <f aca="false">IF(F2069="","",IF(AND(H2069="",'Vade Sapması'!$D$3&gt;G2069),'Vade Sapması'!$D$3-G2069,0))</f>
        <v/>
      </c>
      <c r="P2069" s="33" t="str">
        <f aca="false">IF(F2069="","",F2069*J2069)</f>
        <v/>
      </c>
      <c r="Q2069" s="33" t="str">
        <f aca="false">IF(F2069="","",F2069*L2069)</f>
        <v/>
      </c>
      <c r="R2069" s="33" t="str">
        <f aca="false">IF(F2069="","",IF(H2069="",F2069,0))</f>
        <v/>
      </c>
      <c r="S2069" s="32" t="str">
        <f aca="false">IF(F2069="","",IF(N(O2069)=0,"",IF(O2069&lt;=30,"1-30",IF(O2069&lt;=60,"31-60",IF(O2069&lt;=90,"61-90","90+")))))</f>
        <v/>
      </c>
      <c r="T2069" s="32" t="str">
        <f aca="false">IF(F2069="","",IF(E2069="","Diğer",E2069))</f>
        <v/>
      </c>
      <c r="U2069" s="32" t="str">
        <f aca="false">IF(OR(F2069="",C2069=""),"",IF(COUNTIF($C$2:C2069,C2069)=1,MAX($U$1:U2068)+1,""))</f>
        <v/>
      </c>
    </row>
    <row r="2070" customFormat="false" ht="15" hidden="false" customHeight="false" outlineLevel="0" collapsed="false">
      <c r="A2070" s="34"/>
      <c r="B2070" s="9"/>
      <c r="C2070" s="34"/>
      <c r="D2070" s="34"/>
      <c r="E2070" s="34"/>
      <c r="F2070" s="35"/>
      <c r="G2070" s="9"/>
      <c r="H2070" s="9"/>
      <c r="I2070" s="34"/>
      <c r="J2070" s="30" t="str">
        <f aca="false">IF(F2070="","",G2070-B2070)</f>
        <v/>
      </c>
      <c r="K2070" s="31" t="str">
        <f aca="false">IF(F2070="","",IF(H2070&lt;&gt;"",H2070,MAX('Vade Sapması'!$D$3,G2070)))</f>
        <v/>
      </c>
      <c r="L2070" s="30" t="str">
        <f aca="false">IF(F2070="","",K2070-B2070)</f>
        <v/>
      </c>
      <c r="M2070" s="30" t="str">
        <f aca="false">IF(F2070="","",L2070-J2070)</f>
        <v/>
      </c>
      <c r="N2070" s="32" t="str">
        <f aca="false">IF(F2070="","",IF(H2070&lt;&gt;"","Kapandı",IF('Vade Sapması'!$D$3&gt;G2070,"Açık · vadesi geçti","Açık · vadesi gelmedi")))</f>
        <v/>
      </c>
      <c r="O2070" s="30" t="str">
        <f aca="false">IF(F2070="","",IF(AND(H2070="",'Vade Sapması'!$D$3&gt;G2070),'Vade Sapması'!$D$3-G2070,0))</f>
        <v/>
      </c>
      <c r="P2070" s="33" t="str">
        <f aca="false">IF(F2070="","",F2070*J2070)</f>
        <v/>
      </c>
      <c r="Q2070" s="33" t="str">
        <f aca="false">IF(F2070="","",F2070*L2070)</f>
        <v/>
      </c>
      <c r="R2070" s="33" t="str">
        <f aca="false">IF(F2070="","",IF(H2070="",F2070,0))</f>
        <v/>
      </c>
      <c r="S2070" s="32" t="str">
        <f aca="false">IF(F2070="","",IF(N(O2070)=0,"",IF(O2070&lt;=30,"1-30",IF(O2070&lt;=60,"31-60",IF(O2070&lt;=90,"61-90","90+")))))</f>
        <v/>
      </c>
      <c r="T2070" s="32" t="str">
        <f aca="false">IF(F2070="","",IF(E2070="","Diğer",E2070))</f>
        <v/>
      </c>
      <c r="U2070" s="32" t="str">
        <f aca="false">IF(OR(F2070="",C2070=""),"",IF(COUNTIF($C$2:C2070,C2070)=1,MAX($U$1:U2069)+1,""))</f>
        <v/>
      </c>
    </row>
    <row r="2071" customFormat="false" ht="15" hidden="false" customHeight="false" outlineLevel="0" collapsed="false">
      <c r="A2071" s="34"/>
      <c r="B2071" s="9"/>
      <c r="C2071" s="34"/>
      <c r="D2071" s="34"/>
      <c r="E2071" s="34"/>
      <c r="F2071" s="35"/>
      <c r="G2071" s="9"/>
      <c r="H2071" s="9"/>
      <c r="I2071" s="34"/>
      <c r="J2071" s="30" t="str">
        <f aca="false">IF(F2071="","",G2071-B2071)</f>
        <v/>
      </c>
      <c r="K2071" s="31" t="str">
        <f aca="false">IF(F2071="","",IF(H2071&lt;&gt;"",H2071,MAX('Vade Sapması'!$D$3,G2071)))</f>
        <v/>
      </c>
      <c r="L2071" s="30" t="str">
        <f aca="false">IF(F2071="","",K2071-B2071)</f>
        <v/>
      </c>
      <c r="M2071" s="30" t="str">
        <f aca="false">IF(F2071="","",L2071-J2071)</f>
        <v/>
      </c>
      <c r="N2071" s="32" t="str">
        <f aca="false">IF(F2071="","",IF(H2071&lt;&gt;"","Kapandı",IF('Vade Sapması'!$D$3&gt;G2071,"Açık · vadesi geçti","Açık · vadesi gelmedi")))</f>
        <v/>
      </c>
      <c r="O2071" s="30" t="str">
        <f aca="false">IF(F2071="","",IF(AND(H2071="",'Vade Sapması'!$D$3&gt;G2071),'Vade Sapması'!$D$3-G2071,0))</f>
        <v/>
      </c>
      <c r="P2071" s="33" t="str">
        <f aca="false">IF(F2071="","",F2071*J2071)</f>
        <v/>
      </c>
      <c r="Q2071" s="33" t="str">
        <f aca="false">IF(F2071="","",F2071*L2071)</f>
        <v/>
      </c>
      <c r="R2071" s="33" t="str">
        <f aca="false">IF(F2071="","",IF(H2071="",F2071,0))</f>
        <v/>
      </c>
      <c r="S2071" s="32" t="str">
        <f aca="false">IF(F2071="","",IF(N(O2071)=0,"",IF(O2071&lt;=30,"1-30",IF(O2071&lt;=60,"31-60",IF(O2071&lt;=90,"61-90","90+")))))</f>
        <v/>
      </c>
      <c r="T2071" s="32" t="str">
        <f aca="false">IF(F2071="","",IF(E2071="","Diğer",E2071))</f>
        <v/>
      </c>
      <c r="U2071" s="32" t="str">
        <f aca="false">IF(OR(F2071="",C2071=""),"",IF(COUNTIF($C$2:C2071,C2071)=1,MAX($U$1:U2070)+1,""))</f>
        <v/>
      </c>
    </row>
    <row r="2072" customFormat="false" ht="15" hidden="false" customHeight="false" outlineLevel="0" collapsed="false">
      <c r="A2072" s="34"/>
      <c r="B2072" s="9"/>
      <c r="C2072" s="34"/>
      <c r="D2072" s="34"/>
      <c r="E2072" s="34"/>
      <c r="F2072" s="35"/>
      <c r="G2072" s="9"/>
      <c r="H2072" s="9"/>
      <c r="I2072" s="34"/>
      <c r="J2072" s="30" t="str">
        <f aca="false">IF(F2072="","",G2072-B2072)</f>
        <v/>
      </c>
      <c r="K2072" s="31" t="str">
        <f aca="false">IF(F2072="","",IF(H2072&lt;&gt;"",H2072,MAX('Vade Sapması'!$D$3,G2072)))</f>
        <v/>
      </c>
      <c r="L2072" s="30" t="str">
        <f aca="false">IF(F2072="","",K2072-B2072)</f>
        <v/>
      </c>
      <c r="M2072" s="30" t="str">
        <f aca="false">IF(F2072="","",L2072-J2072)</f>
        <v/>
      </c>
      <c r="N2072" s="32" t="str">
        <f aca="false">IF(F2072="","",IF(H2072&lt;&gt;"","Kapandı",IF('Vade Sapması'!$D$3&gt;G2072,"Açık · vadesi geçti","Açık · vadesi gelmedi")))</f>
        <v/>
      </c>
      <c r="O2072" s="30" t="str">
        <f aca="false">IF(F2072="","",IF(AND(H2072="",'Vade Sapması'!$D$3&gt;G2072),'Vade Sapması'!$D$3-G2072,0))</f>
        <v/>
      </c>
      <c r="P2072" s="33" t="str">
        <f aca="false">IF(F2072="","",F2072*J2072)</f>
        <v/>
      </c>
      <c r="Q2072" s="33" t="str">
        <f aca="false">IF(F2072="","",F2072*L2072)</f>
        <v/>
      </c>
      <c r="R2072" s="33" t="str">
        <f aca="false">IF(F2072="","",IF(H2072="",F2072,0))</f>
        <v/>
      </c>
      <c r="S2072" s="32" t="str">
        <f aca="false">IF(F2072="","",IF(N(O2072)=0,"",IF(O2072&lt;=30,"1-30",IF(O2072&lt;=60,"31-60",IF(O2072&lt;=90,"61-90","90+")))))</f>
        <v/>
      </c>
      <c r="T2072" s="32" t="str">
        <f aca="false">IF(F2072="","",IF(E2072="","Diğer",E2072))</f>
        <v/>
      </c>
      <c r="U2072" s="32" t="str">
        <f aca="false">IF(OR(F2072="",C2072=""),"",IF(COUNTIF($C$2:C2072,C2072)=1,MAX($U$1:U2071)+1,""))</f>
        <v/>
      </c>
    </row>
    <row r="2073" customFormat="false" ht="15" hidden="false" customHeight="false" outlineLevel="0" collapsed="false">
      <c r="A2073" s="34"/>
      <c r="B2073" s="9"/>
      <c r="C2073" s="34"/>
      <c r="D2073" s="34"/>
      <c r="E2073" s="34"/>
      <c r="F2073" s="35"/>
      <c r="G2073" s="9"/>
      <c r="H2073" s="9"/>
      <c r="I2073" s="34"/>
      <c r="J2073" s="30" t="str">
        <f aca="false">IF(F2073="","",G2073-B2073)</f>
        <v/>
      </c>
      <c r="K2073" s="31" t="str">
        <f aca="false">IF(F2073="","",IF(H2073&lt;&gt;"",H2073,MAX('Vade Sapması'!$D$3,G2073)))</f>
        <v/>
      </c>
      <c r="L2073" s="30" t="str">
        <f aca="false">IF(F2073="","",K2073-B2073)</f>
        <v/>
      </c>
      <c r="M2073" s="30" t="str">
        <f aca="false">IF(F2073="","",L2073-J2073)</f>
        <v/>
      </c>
      <c r="N2073" s="32" t="str">
        <f aca="false">IF(F2073="","",IF(H2073&lt;&gt;"","Kapandı",IF('Vade Sapması'!$D$3&gt;G2073,"Açık · vadesi geçti","Açık · vadesi gelmedi")))</f>
        <v/>
      </c>
      <c r="O2073" s="30" t="str">
        <f aca="false">IF(F2073="","",IF(AND(H2073="",'Vade Sapması'!$D$3&gt;G2073),'Vade Sapması'!$D$3-G2073,0))</f>
        <v/>
      </c>
      <c r="P2073" s="33" t="str">
        <f aca="false">IF(F2073="","",F2073*J2073)</f>
        <v/>
      </c>
      <c r="Q2073" s="33" t="str">
        <f aca="false">IF(F2073="","",F2073*L2073)</f>
        <v/>
      </c>
      <c r="R2073" s="33" t="str">
        <f aca="false">IF(F2073="","",IF(H2073="",F2073,0))</f>
        <v/>
      </c>
      <c r="S2073" s="32" t="str">
        <f aca="false">IF(F2073="","",IF(N(O2073)=0,"",IF(O2073&lt;=30,"1-30",IF(O2073&lt;=60,"31-60",IF(O2073&lt;=90,"61-90","90+")))))</f>
        <v/>
      </c>
      <c r="T2073" s="32" t="str">
        <f aca="false">IF(F2073="","",IF(E2073="","Diğer",E2073))</f>
        <v/>
      </c>
      <c r="U2073" s="32" t="str">
        <f aca="false">IF(OR(F2073="",C2073=""),"",IF(COUNTIF($C$2:C2073,C2073)=1,MAX($U$1:U2072)+1,""))</f>
        <v/>
      </c>
    </row>
    <row r="2074" customFormat="false" ht="15" hidden="false" customHeight="false" outlineLevel="0" collapsed="false">
      <c r="A2074" s="34"/>
      <c r="B2074" s="9"/>
      <c r="C2074" s="34"/>
      <c r="D2074" s="34"/>
      <c r="E2074" s="34"/>
      <c r="F2074" s="35"/>
      <c r="G2074" s="9"/>
      <c r="H2074" s="9"/>
      <c r="I2074" s="34"/>
      <c r="J2074" s="30" t="str">
        <f aca="false">IF(F2074="","",G2074-B2074)</f>
        <v/>
      </c>
      <c r="K2074" s="31" t="str">
        <f aca="false">IF(F2074="","",IF(H2074&lt;&gt;"",H2074,MAX('Vade Sapması'!$D$3,G2074)))</f>
        <v/>
      </c>
      <c r="L2074" s="30" t="str">
        <f aca="false">IF(F2074="","",K2074-B2074)</f>
        <v/>
      </c>
      <c r="M2074" s="30" t="str">
        <f aca="false">IF(F2074="","",L2074-J2074)</f>
        <v/>
      </c>
      <c r="N2074" s="32" t="str">
        <f aca="false">IF(F2074="","",IF(H2074&lt;&gt;"","Kapandı",IF('Vade Sapması'!$D$3&gt;G2074,"Açık · vadesi geçti","Açık · vadesi gelmedi")))</f>
        <v/>
      </c>
      <c r="O2074" s="30" t="str">
        <f aca="false">IF(F2074="","",IF(AND(H2074="",'Vade Sapması'!$D$3&gt;G2074),'Vade Sapması'!$D$3-G2074,0))</f>
        <v/>
      </c>
      <c r="P2074" s="33" t="str">
        <f aca="false">IF(F2074="","",F2074*J2074)</f>
        <v/>
      </c>
      <c r="Q2074" s="33" t="str">
        <f aca="false">IF(F2074="","",F2074*L2074)</f>
        <v/>
      </c>
      <c r="R2074" s="33" t="str">
        <f aca="false">IF(F2074="","",IF(H2074="",F2074,0))</f>
        <v/>
      </c>
      <c r="S2074" s="32" t="str">
        <f aca="false">IF(F2074="","",IF(N(O2074)=0,"",IF(O2074&lt;=30,"1-30",IF(O2074&lt;=60,"31-60",IF(O2074&lt;=90,"61-90","90+")))))</f>
        <v/>
      </c>
      <c r="T2074" s="32" t="str">
        <f aca="false">IF(F2074="","",IF(E2074="","Diğer",E2074))</f>
        <v/>
      </c>
      <c r="U2074" s="32" t="str">
        <f aca="false">IF(OR(F2074="",C2074=""),"",IF(COUNTIF($C$2:C2074,C2074)=1,MAX($U$1:U2073)+1,""))</f>
        <v/>
      </c>
    </row>
    <row r="2075" customFormat="false" ht="15" hidden="false" customHeight="false" outlineLevel="0" collapsed="false">
      <c r="A2075" s="34"/>
      <c r="B2075" s="9"/>
      <c r="C2075" s="34"/>
      <c r="D2075" s="34"/>
      <c r="E2075" s="34"/>
      <c r="F2075" s="35"/>
      <c r="G2075" s="9"/>
      <c r="H2075" s="9"/>
      <c r="I2075" s="34"/>
      <c r="J2075" s="30" t="str">
        <f aca="false">IF(F2075="","",G2075-B2075)</f>
        <v/>
      </c>
      <c r="K2075" s="31" t="str">
        <f aca="false">IF(F2075="","",IF(H2075&lt;&gt;"",H2075,MAX('Vade Sapması'!$D$3,G2075)))</f>
        <v/>
      </c>
      <c r="L2075" s="30" t="str">
        <f aca="false">IF(F2075="","",K2075-B2075)</f>
        <v/>
      </c>
      <c r="M2075" s="30" t="str">
        <f aca="false">IF(F2075="","",L2075-J2075)</f>
        <v/>
      </c>
      <c r="N2075" s="32" t="str">
        <f aca="false">IF(F2075="","",IF(H2075&lt;&gt;"","Kapandı",IF('Vade Sapması'!$D$3&gt;G2075,"Açık · vadesi geçti","Açık · vadesi gelmedi")))</f>
        <v/>
      </c>
      <c r="O2075" s="30" t="str">
        <f aca="false">IF(F2075="","",IF(AND(H2075="",'Vade Sapması'!$D$3&gt;G2075),'Vade Sapması'!$D$3-G2075,0))</f>
        <v/>
      </c>
      <c r="P2075" s="33" t="str">
        <f aca="false">IF(F2075="","",F2075*J2075)</f>
        <v/>
      </c>
      <c r="Q2075" s="33" t="str">
        <f aca="false">IF(F2075="","",F2075*L2075)</f>
        <v/>
      </c>
      <c r="R2075" s="33" t="str">
        <f aca="false">IF(F2075="","",IF(H2075="",F2075,0))</f>
        <v/>
      </c>
      <c r="S2075" s="32" t="str">
        <f aca="false">IF(F2075="","",IF(N(O2075)=0,"",IF(O2075&lt;=30,"1-30",IF(O2075&lt;=60,"31-60",IF(O2075&lt;=90,"61-90","90+")))))</f>
        <v/>
      </c>
      <c r="T2075" s="32" t="str">
        <f aca="false">IF(F2075="","",IF(E2075="","Diğer",E2075))</f>
        <v/>
      </c>
      <c r="U2075" s="32" t="str">
        <f aca="false">IF(OR(F2075="",C2075=""),"",IF(COUNTIF($C$2:C2075,C2075)=1,MAX($U$1:U2074)+1,""))</f>
        <v/>
      </c>
    </row>
    <row r="2076" customFormat="false" ht="15" hidden="false" customHeight="false" outlineLevel="0" collapsed="false">
      <c r="A2076" s="34"/>
      <c r="B2076" s="9"/>
      <c r="C2076" s="34"/>
      <c r="D2076" s="34"/>
      <c r="E2076" s="34"/>
      <c r="F2076" s="35"/>
      <c r="G2076" s="9"/>
      <c r="H2076" s="9"/>
      <c r="I2076" s="34"/>
      <c r="J2076" s="30" t="str">
        <f aca="false">IF(F2076="","",G2076-B2076)</f>
        <v/>
      </c>
      <c r="K2076" s="31" t="str">
        <f aca="false">IF(F2076="","",IF(H2076&lt;&gt;"",H2076,MAX('Vade Sapması'!$D$3,G2076)))</f>
        <v/>
      </c>
      <c r="L2076" s="30" t="str">
        <f aca="false">IF(F2076="","",K2076-B2076)</f>
        <v/>
      </c>
      <c r="M2076" s="30" t="str">
        <f aca="false">IF(F2076="","",L2076-J2076)</f>
        <v/>
      </c>
      <c r="N2076" s="32" t="str">
        <f aca="false">IF(F2076="","",IF(H2076&lt;&gt;"","Kapandı",IF('Vade Sapması'!$D$3&gt;G2076,"Açık · vadesi geçti","Açık · vadesi gelmedi")))</f>
        <v/>
      </c>
      <c r="O2076" s="30" t="str">
        <f aca="false">IF(F2076="","",IF(AND(H2076="",'Vade Sapması'!$D$3&gt;G2076),'Vade Sapması'!$D$3-G2076,0))</f>
        <v/>
      </c>
      <c r="P2076" s="33" t="str">
        <f aca="false">IF(F2076="","",F2076*J2076)</f>
        <v/>
      </c>
      <c r="Q2076" s="33" t="str">
        <f aca="false">IF(F2076="","",F2076*L2076)</f>
        <v/>
      </c>
      <c r="R2076" s="33" t="str">
        <f aca="false">IF(F2076="","",IF(H2076="",F2076,0))</f>
        <v/>
      </c>
      <c r="S2076" s="32" t="str">
        <f aca="false">IF(F2076="","",IF(N(O2076)=0,"",IF(O2076&lt;=30,"1-30",IF(O2076&lt;=60,"31-60",IF(O2076&lt;=90,"61-90","90+")))))</f>
        <v/>
      </c>
      <c r="T2076" s="32" t="str">
        <f aca="false">IF(F2076="","",IF(E2076="","Diğer",E2076))</f>
        <v/>
      </c>
      <c r="U2076" s="32" t="str">
        <f aca="false">IF(OR(F2076="",C2076=""),"",IF(COUNTIF($C$2:C2076,C2076)=1,MAX($U$1:U2075)+1,""))</f>
        <v/>
      </c>
    </row>
    <row r="2077" customFormat="false" ht="15" hidden="false" customHeight="false" outlineLevel="0" collapsed="false">
      <c r="A2077" s="34"/>
      <c r="B2077" s="9"/>
      <c r="C2077" s="34"/>
      <c r="D2077" s="34"/>
      <c r="E2077" s="34"/>
      <c r="F2077" s="35"/>
      <c r="G2077" s="9"/>
      <c r="H2077" s="9"/>
      <c r="I2077" s="34"/>
      <c r="J2077" s="30" t="str">
        <f aca="false">IF(F2077="","",G2077-B2077)</f>
        <v/>
      </c>
      <c r="K2077" s="31" t="str">
        <f aca="false">IF(F2077="","",IF(H2077&lt;&gt;"",H2077,MAX('Vade Sapması'!$D$3,G2077)))</f>
        <v/>
      </c>
      <c r="L2077" s="30" t="str">
        <f aca="false">IF(F2077="","",K2077-B2077)</f>
        <v/>
      </c>
      <c r="M2077" s="30" t="str">
        <f aca="false">IF(F2077="","",L2077-J2077)</f>
        <v/>
      </c>
      <c r="N2077" s="32" t="str">
        <f aca="false">IF(F2077="","",IF(H2077&lt;&gt;"","Kapandı",IF('Vade Sapması'!$D$3&gt;G2077,"Açık · vadesi geçti","Açık · vadesi gelmedi")))</f>
        <v/>
      </c>
      <c r="O2077" s="30" t="str">
        <f aca="false">IF(F2077="","",IF(AND(H2077="",'Vade Sapması'!$D$3&gt;G2077),'Vade Sapması'!$D$3-G2077,0))</f>
        <v/>
      </c>
      <c r="P2077" s="33" t="str">
        <f aca="false">IF(F2077="","",F2077*J2077)</f>
        <v/>
      </c>
      <c r="Q2077" s="33" t="str">
        <f aca="false">IF(F2077="","",F2077*L2077)</f>
        <v/>
      </c>
      <c r="R2077" s="33" t="str">
        <f aca="false">IF(F2077="","",IF(H2077="",F2077,0))</f>
        <v/>
      </c>
      <c r="S2077" s="32" t="str">
        <f aca="false">IF(F2077="","",IF(N(O2077)=0,"",IF(O2077&lt;=30,"1-30",IF(O2077&lt;=60,"31-60",IF(O2077&lt;=90,"61-90","90+")))))</f>
        <v/>
      </c>
      <c r="T2077" s="32" t="str">
        <f aca="false">IF(F2077="","",IF(E2077="","Diğer",E2077))</f>
        <v/>
      </c>
      <c r="U2077" s="32" t="str">
        <f aca="false">IF(OR(F2077="",C2077=""),"",IF(COUNTIF($C$2:C2077,C2077)=1,MAX($U$1:U2076)+1,""))</f>
        <v/>
      </c>
    </row>
    <row r="2078" customFormat="false" ht="15" hidden="false" customHeight="false" outlineLevel="0" collapsed="false">
      <c r="A2078" s="34"/>
      <c r="B2078" s="9"/>
      <c r="C2078" s="34"/>
      <c r="D2078" s="34"/>
      <c r="E2078" s="34"/>
      <c r="F2078" s="35"/>
      <c r="G2078" s="9"/>
      <c r="H2078" s="9"/>
      <c r="I2078" s="34"/>
      <c r="J2078" s="30" t="str">
        <f aca="false">IF(F2078="","",G2078-B2078)</f>
        <v/>
      </c>
      <c r="K2078" s="31" t="str">
        <f aca="false">IF(F2078="","",IF(H2078&lt;&gt;"",H2078,MAX('Vade Sapması'!$D$3,G2078)))</f>
        <v/>
      </c>
      <c r="L2078" s="30" t="str">
        <f aca="false">IF(F2078="","",K2078-B2078)</f>
        <v/>
      </c>
      <c r="M2078" s="30" t="str">
        <f aca="false">IF(F2078="","",L2078-J2078)</f>
        <v/>
      </c>
      <c r="N2078" s="32" t="str">
        <f aca="false">IF(F2078="","",IF(H2078&lt;&gt;"","Kapandı",IF('Vade Sapması'!$D$3&gt;G2078,"Açık · vadesi geçti","Açık · vadesi gelmedi")))</f>
        <v/>
      </c>
      <c r="O2078" s="30" t="str">
        <f aca="false">IF(F2078="","",IF(AND(H2078="",'Vade Sapması'!$D$3&gt;G2078),'Vade Sapması'!$D$3-G2078,0))</f>
        <v/>
      </c>
      <c r="P2078" s="33" t="str">
        <f aca="false">IF(F2078="","",F2078*J2078)</f>
        <v/>
      </c>
      <c r="Q2078" s="33" t="str">
        <f aca="false">IF(F2078="","",F2078*L2078)</f>
        <v/>
      </c>
      <c r="R2078" s="33" t="str">
        <f aca="false">IF(F2078="","",IF(H2078="",F2078,0))</f>
        <v/>
      </c>
      <c r="S2078" s="32" t="str">
        <f aca="false">IF(F2078="","",IF(N(O2078)=0,"",IF(O2078&lt;=30,"1-30",IF(O2078&lt;=60,"31-60",IF(O2078&lt;=90,"61-90","90+")))))</f>
        <v/>
      </c>
      <c r="T2078" s="32" t="str">
        <f aca="false">IF(F2078="","",IF(E2078="","Diğer",E2078))</f>
        <v/>
      </c>
      <c r="U2078" s="32" t="str">
        <f aca="false">IF(OR(F2078="",C2078=""),"",IF(COUNTIF($C$2:C2078,C2078)=1,MAX($U$1:U2077)+1,""))</f>
        <v/>
      </c>
    </row>
    <row r="2079" customFormat="false" ht="15" hidden="false" customHeight="false" outlineLevel="0" collapsed="false">
      <c r="A2079" s="34"/>
      <c r="B2079" s="9"/>
      <c r="C2079" s="34"/>
      <c r="D2079" s="34"/>
      <c r="E2079" s="34"/>
      <c r="F2079" s="35"/>
      <c r="G2079" s="9"/>
      <c r="H2079" s="9"/>
      <c r="I2079" s="34"/>
      <c r="J2079" s="30" t="str">
        <f aca="false">IF(F2079="","",G2079-B2079)</f>
        <v/>
      </c>
      <c r="K2079" s="31" t="str">
        <f aca="false">IF(F2079="","",IF(H2079&lt;&gt;"",H2079,MAX('Vade Sapması'!$D$3,G2079)))</f>
        <v/>
      </c>
      <c r="L2079" s="30" t="str">
        <f aca="false">IF(F2079="","",K2079-B2079)</f>
        <v/>
      </c>
      <c r="M2079" s="30" t="str">
        <f aca="false">IF(F2079="","",L2079-J2079)</f>
        <v/>
      </c>
      <c r="N2079" s="32" t="str">
        <f aca="false">IF(F2079="","",IF(H2079&lt;&gt;"","Kapandı",IF('Vade Sapması'!$D$3&gt;G2079,"Açık · vadesi geçti","Açık · vadesi gelmedi")))</f>
        <v/>
      </c>
      <c r="O2079" s="30" t="str">
        <f aca="false">IF(F2079="","",IF(AND(H2079="",'Vade Sapması'!$D$3&gt;G2079),'Vade Sapması'!$D$3-G2079,0))</f>
        <v/>
      </c>
      <c r="P2079" s="33" t="str">
        <f aca="false">IF(F2079="","",F2079*J2079)</f>
        <v/>
      </c>
      <c r="Q2079" s="33" t="str">
        <f aca="false">IF(F2079="","",F2079*L2079)</f>
        <v/>
      </c>
      <c r="R2079" s="33" t="str">
        <f aca="false">IF(F2079="","",IF(H2079="",F2079,0))</f>
        <v/>
      </c>
      <c r="S2079" s="32" t="str">
        <f aca="false">IF(F2079="","",IF(N(O2079)=0,"",IF(O2079&lt;=30,"1-30",IF(O2079&lt;=60,"31-60",IF(O2079&lt;=90,"61-90","90+")))))</f>
        <v/>
      </c>
      <c r="T2079" s="32" t="str">
        <f aca="false">IF(F2079="","",IF(E2079="","Diğer",E2079))</f>
        <v/>
      </c>
      <c r="U2079" s="32" t="str">
        <f aca="false">IF(OR(F2079="",C2079=""),"",IF(COUNTIF($C$2:C2079,C2079)=1,MAX($U$1:U2078)+1,""))</f>
        <v/>
      </c>
    </row>
    <row r="2080" customFormat="false" ht="15" hidden="false" customHeight="false" outlineLevel="0" collapsed="false">
      <c r="A2080" s="34"/>
      <c r="B2080" s="9"/>
      <c r="C2080" s="34"/>
      <c r="D2080" s="34"/>
      <c r="E2080" s="34"/>
      <c r="F2080" s="35"/>
      <c r="G2080" s="9"/>
      <c r="H2080" s="9"/>
      <c r="I2080" s="34"/>
      <c r="J2080" s="30" t="str">
        <f aca="false">IF(F2080="","",G2080-B2080)</f>
        <v/>
      </c>
      <c r="K2080" s="31" t="str">
        <f aca="false">IF(F2080="","",IF(H2080&lt;&gt;"",H2080,MAX('Vade Sapması'!$D$3,G2080)))</f>
        <v/>
      </c>
      <c r="L2080" s="30" t="str">
        <f aca="false">IF(F2080="","",K2080-B2080)</f>
        <v/>
      </c>
      <c r="M2080" s="30" t="str">
        <f aca="false">IF(F2080="","",L2080-J2080)</f>
        <v/>
      </c>
      <c r="N2080" s="32" t="str">
        <f aca="false">IF(F2080="","",IF(H2080&lt;&gt;"","Kapandı",IF('Vade Sapması'!$D$3&gt;G2080,"Açık · vadesi geçti","Açık · vadesi gelmedi")))</f>
        <v/>
      </c>
      <c r="O2080" s="30" t="str">
        <f aca="false">IF(F2080="","",IF(AND(H2080="",'Vade Sapması'!$D$3&gt;G2080),'Vade Sapması'!$D$3-G2080,0))</f>
        <v/>
      </c>
      <c r="P2080" s="33" t="str">
        <f aca="false">IF(F2080="","",F2080*J2080)</f>
        <v/>
      </c>
      <c r="Q2080" s="33" t="str">
        <f aca="false">IF(F2080="","",F2080*L2080)</f>
        <v/>
      </c>
      <c r="R2080" s="33" t="str">
        <f aca="false">IF(F2080="","",IF(H2080="",F2080,0))</f>
        <v/>
      </c>
      <c r="S2080" s="32" t="str">
        <f aca="false">IF(F2080="","",IF(N(O2080)=0,"",IF(O2080&lt;=30,"1-30",IF(O2080&lt;=60,"31-60",IF(O2080&lt;=90,"61-90","90+")))))</f>
        <v/>
      </c>
      <c r="T2080" s="32" t="str">
        <f aca="false">IF(F2080="","",IF(E2080="","Diğer",E2080))</f>
        <v/>
      </c>
      <c r="U2080" s="32" t="str">
        <f aca="false">IF(OR(F2080="",C2080=""),"",IF(COUNTIF($C$2:C2080,C2080)=1,MAX($U$1:U2079)+1,""))</f>
        <v/>
      </c>
    </row>
    <row r="2081" customFormat="false" ht="15" hidden="false" customHeight="false" outlineLevel="0" collapsed="false">
      <c r="A2081" s="34"/>
      <c r="B2081" s="9"/>
      <c r="C2081" s="34"/>
      <c r="D2081" s="34"/>
      <c r="E2081" s="34"/>
      <c r="F2081" s="35"/>
      <c r="G2081" s="9"/>
      <c r="H2081" s="9"/>
      <c r="I2081" s="34"/>
      <c r="J2081" s="30" t="str">
        <f aca="false">IF(F2081="","",G2081-B2081)</f>
        <v/>
      </c>
      <c r="K2081" s="31" t="str">
        <f aca="false">IF(F2081="","",IF(H2081&lt;&gt;"",H2081,MAX('Vade Sapması'!$D$3,G2081)))</f>
        <v/>
      </c>
      <c r="L2081" s="30" t="str">
        <f aca="false">IF(F2081="","",K2081-B2081)</f>
        <v/>
      </c>
      <c r="M2081" s="30" t="str">
        <f aca="false">IF(F2081="","",L2081-J2081)</f>
        <v/>
      </c>
      <c r="N2081" s="32" t="str">
        <f aca="false">IF(F2081="","",IF(H2081&lt;&gt;"","Kapandı",IF('Vade Sapması'!$D$3&gt;G2081,"Açık · vadesi geçti","Açık · vadesi gelmedi")))</f>
        <v/>
      </c>
      <c r="O2081" s="30" t="str">
        <f aca="false">IF(F2081="","",IF(AND(H2081="",'Vade Sapması'!$D$3&gt;G2081),'Vade Sapması'!$D$3-G2081,0))</f>
        <v/>
      </c>
      <c r="P2081" s="33" t="str">
        <f aca="false">IF(F2081="","",F2081*J2081)</f>
        <v/>
      </c>
      <c r="Q2081" s="33" t="str">
        <f aca="false">IF(F2081="","",F2081*L2081)</f>
        <v/>
      </c>
      <c r="R2081" s="33" t="str">
        <f aca="false">IF(F2081="","",IF(H2081="",F2081,0))</f>
        <v/>
      </c>
      <c r="S2081" s="32" t="str">
        <f aca="false">IF(F2081="","",IF(N(O2081)=0,"",IF(O2081&lt;=30,"1-30",IF(O2081&lt;=60,"31-60",IF(O2081&lt;=90,"61-90","90+")))))</f>
        <v/>
      </c>
      <c r="T2081" s="32" t="str">
        <f aca="false">IF(F2081="","",IF(E2081="","Diğer",E2081))</f>
        <v/>
      </c>
      <c r="U2081" s="32" t="str">
        <f aca="false">IF(OR(F2081="",C2081=""),"",IF(COUNTIF($C$2:C2081,C2081)=1,MAX($U$1:U2080)+1,""))</f>
        <v/>
      </c>
    </row>
    <row r="2082" customFormat="false" ht="15" hidden="false" customHeight="false" outlineLevel="0" collapsed="false">
      <c r="A2082" s="34"/>
      <c r="B2082" s="9"/>
      <c r="C2082" s="34"/>
      <c r="D2082" s="34"/>
      <c r="E2082" s="34"/>
      <c r="F2082" s="35"/>
      <c r="G2082" s="9"/>
      <c r="H2082" s="9"/>
      <c r="I2082" s="34"/>
      <c r="J2082" s="30" t="str">
        <f aca="false">IF(F2082="","",G2082-B2082)</f>
        <v/>
      </c>
      <c r="K2082" s="31" t="str">
        <f aca="false">IF(F2082="","",IF(H2082&lt;&gt;"",H2082,MAX('Vade Sapması'!$D$3,G2082)))</f>
        <v/>
      </c>
      <c r="L2082" s="30" t="str">
        <f aca="false">IF(F2082="","",K2082-B2082)</f>
        <v/>
      </c>
      <c r="M2082" s="30" t="str">
        <f aca="false">IF(F2082="","",L2082-J2082)</f>
        <v/>
      </c>
      <c r="N2082" s="32" t="str">
        <f aca="false">IF(F2082="","",IF(H2082&lt;&gt;"","Kapandı",IF('Vade Sapması'!$D$3&gt;G2082,"Açık · vadesi geçti","Açık · vadesi gelmedi")))</f>
        <v/>
      </c>
      <c r="O2082" s="30" t="str">
        <f aca="false">IF(F2082="","",IF(AND(H2082="",'Vade Sapması'!$D$3&gt;G2082),'Vade Sapması'!$D$3-G2082,0))</f>
        <v/>
      </c>
      <c r="P2082" s="33" t="str">
        <f aca="false">IF(F2082="","",F2082*J2082)</f>
        <v/>
      </c>
      <c r="Q2082" s="33" t="str">
        <f aca="false">IF(F2082="","",F2082*L2082)</f>
        <v/>
      </c>
      <c r="R2082" s="33" t="str">
        <f aca="false">IF(F2082="","",IF(H2082="",F2082,0))</f>
        <v/>
      </c>
      <c r="S2082" s="32" t="str">
        <f aca="false">IF(F2082="","",IF(N(O2082)=0,"",IF(O2082&lt;=30,"1-30",IF(O2082&lt;=60,"31-60",IF(O2082&lt;=90,"61-90","90+")))))</f>
        <v/>
      </c>
      <c r="T2082" s="32" t="str">
        <f aca="false">IF(F2082="","",IF(E2082="","Diğer",E2082))</f>
        <v/>
      </c>
      <c r="U2082" s="32" t="str">
        <f aca="false">IF(OR(F2082="",C2082=""),"",IF(COUNTIF($C$2:C2082,C2082)=1,MAX($U$1:U2081)+1,""))</f>
        <v/>
      </c>
    </row>
    <row r="2083" customFormat="false" ht="15" hidden="false" customHeight="false" outlineLevel="0" collapsed="false">
      <c r="A2083" s="34"/>
      <c r="B2083" s="9"/>
      <c r="C2083" s="34"/>
      <c r="D2083" s="34"/>
      <c r="E2083" s="34"/>
      <c r="F2083" s="35"/>
      <c r="G2083" s="9"/>
      <c r="H2083" s="9"/>
      <c r="I2083" s="34"/>
      <c r="J2083" s="30" t="str">
        <f aca="false">IF(F2083="","",G2083-B2083)</f>
        <v/>
      </c>
      <c r="K2083" s="31" t="str">
        <f aca="false">IF(F2083="","",IF(H2083&lt;&gt;"",H2083,MAX('Vade Sapması'!$D$3,G2083)))</f>
        <v/>
      </c>
      <c r="L2083" s="30" t="str">
        <f aca="false">IF(F2083="","",K2083-B2083)</f>
        <v/>
      </c>
      <c r="M2083" s="30" t="str">
        <f aca="false">IF(F2083="","",L2083-J2083)</f>
        <v/>
      </c>
      <c r="N2083" s="32" t="str">
        <f aca="false">IF(F2083="","",IF(H2083&lt;&gt;"","Kapandı",IF('Vade Sapması'!$D$3&gt;G2083,"Açık · vadesi geçti","Açık · vadesi gelmedi")))</f>
        <v/>
      </c>
      <c r="O2083" s="30" t="str">
        <f aca="false">IF(F2083="","",IF(AND(H2083="",'Vade Sapması'!$D$3&gt;G2083),'Vade Sapması'!$D$3-G2083,0))</f>
        <v/>
      </c>
      <c r="P2083" s="33" t="str">
        <f aca="false">IF(F2083="","",F2083*J2083)</f>
        <v/>
      </c>
      <c r="Q2083" s="33" t="str">
        <f aca="false">IF(F2083="","",F2083*L2083)</f>
        <v/>
      </c>
      <c r="R2083" s="33" t="str">
        <f aca="false">IF(F2083="","",IF(H2083="",F2083,0))</f>
        <v/>
      </c>
      <c r="S2083" s="32" t="str">
        <f aca="false">IF(F2083="","",IF(N(O2083)=0,"",IF(O2083&lt;=30,"1-30",IF(O2083&lt;=60,"31-60",IF(O2083&lt;=90,"61-90","90+")))))</f>
        <v/>
      </c>
      <c r="T2083" s="32" t="str">
        <f aca="false">IF(F2083="","",IF(E2083="","Diğer",E2083))</f>
        <v/>
      </c>
      <c r="U2083" s="32" t="str">
        <f aca="false">IF(OR(F2083="",C2083=""),"",IF(COUNTIF($C$2:C2083,C2083)=1,MAX($U$1:U2082)+1,""))</f>
        <v/>
      </c>
    </row>
    <row r="2084" customFormat="false" ht="15" hidden="false" customHeight="false" outlineLevel="0" collapsed="false">
      <c r="A2084" s="34"/>
      <c r="B2084" s="9"/>
      <c r="C2084" s="34"/>
      <c r="D2084" s="34"/>
      <c r="E2084" s="34"/>
      <c r="F2084" s="35"/>
      <c r="G2084" s="9"/>
      <c r="H2084" s="9"/>
      <c r="I2084" s="34"/>
      <c r="J2084" s="30" t="str">
        <f aca="false">IF(F2084="","",G2084-B2084)</f>
        <v/>
      </c>
      <c r="K2084" s="31" t="str">
        <f aca="false">IF(F2084="","",IF(H2084&lt;&gt;"",H2084,MAX('Vade Sapması'!$D$3,G2084)))</f>
        <v/>
      </c>
      <c r="L2084" s="30" t="str">
        <f aca="false">IF(F2084="","",K2084-B2084)</f>
        <v/>
      </c>
      <c r="M2084" s="30" t="str">
        <f aca="false">IF(F2084="","",L2084-J2084)</f>
        <v/>
      </c>
      <c r="N2084" s="32" t="str">
        <f aca="false">IF(F2084="","",IF(H2084&lt;&gt;"","Kapandı",IF('Vade Sapması'!$D$3&gt;G2084,"Açık · vadesi geçti","Açık · vadesi gelmedi")))</f>
        <v/>
      </c>
      <c r="O2084" s="30" t="str">
        <f aca="false">IF(F2084="","",IF(AND(H2084="",'Vade Sapması'!$D$3&gt;G2084),'Vade Sapması'!$D$3-G2084,0))</f>
        <v/>
      </c>
      <c r="P2084" s="33" t="str">
        <f aca="false">IF(F2084="","",F2084*J2084)</f>
        <v/>
      </c>
      <c r="Q2084" s="33" t="str">
        <f aca="false">IF(F2084="","",F2084*L2084)</f>
        <v/>
      </c>
      <c r="R2084" s="33" t="str">
        <f aca="false">IF(F2084="","",IF(H2084="",F2084,0))</f>
        <v/>
      </c>
      <c r="S2084" s="32" t="str">
        <f aca="false">IF(F2084="","",IF(N(O2084)=0,"",IF(O2084&lt;=30,"1-30",IF(O2084&lt;=60,"31-60",IF(O2084&lt;=90,"61-90","90+")))))</f>
        <v/>
      </c>
      <c r="T2084" s="32" t="str">
        <f aca="false">IF(F2084="","",IF(E2084="","Diğer",E2084))</f>
        <v/>
      </c>
      <c r="U2084" s="32" t="str">
        <f aca="false">IF(OR(F2084="",C2084=""),"",IF(COUNTIF($C$2:C2084,C2084)=1,MAX($U$1:U2083)+1,""))</f>
        <v/>
      </c>
    </row>
    <row r="2085" customFormat="false" ht="15" hidden="false" customHeight="false" outlineLevel="0" collapsed="false">
      <c r="A2085" s="34"/>
      <c r="B2085" s="9"/>
      <c r="C2085" s="34"/>
      <c r="D2085" s="34"/>
      <c r="E2085" s="34"/>
      <c r="F2085" s="35"/>
      <c r="G2085" s="9"/>
      <c r="H2085" s="9"/>
      <c r="I2085" s="34"/>
      <c r="J2085" s="30" t="str">
        <f aca="false">IF(F2085="","",G2085-B2085)</f>
        <v/>
      </c>
      <c r="K2085" s="31" t="str">
        <f aca="false">IF(F2085="","",IF(H2085&lt;&gt;"",H2085,MAX('Vade Sapması'!$D$3,G2085)))</f>
        <v/>
      </c>
      <c r="L2085" s="30" t="str">
        <f aca="false">IF(F2085="","",K2085-B2085)</f>
        <v/>
      </c>
      <c r="M2085" s="30" t="str">
        <f aca="false">IF(F2085="","",L2085-J2085)</f>
        <v/>
      </c>
      <c r="N2085" s="32" t="str">
        <f aca="false">IF(F2085="","",IF(H2085&lt;&gt;"","Kapandı",IF('Vade Sapması'!$D$3&gt;G2085,"Açık · vadesi geçti","Açık · vadesi gelmedi")))</f>
        <v/>
      </c>
      <c r="O2085" s="30" t="str">
        <f aca="false">IF(F2085="","",IF(AND(H2085="",'Vade Sapması'!$D$3&gt;G2085),'Vade Sapması'!$D$3-G2085,0))</f>
        <v/>
      </c>
      <c r="P2085" s="33" t="str">
        <f aca="false">IF(F2085="","",F2085*J2085)</f>
        <v/>
      </c>
      <c r="Q2085" s="33" t="str">
        <f aca="false">IF(F2085="","",F2085*L2085)</f>
        <v/>
      </c>
      <c r="R2085" s="33" t="str">
        <f aca="false">IF(F2085="","",IF(H2085="",F2085,0))</f>
        <v/>
      </c>
      <c r="S2085" s="32" t="str">
        <f aca="false">IF(F2085="","",IF(N(O2085)=0,"",IF(O2085&lt;=30,"1-30",IF(O2085&lt;=60,"31-60",IF(O2085&lt;=90,"61-90","90+")))))</f>
        <v/>
      </c>
      <c r="T2085" s="32" t="str">
        <f aca="false">IF(F2085="","",IF(E2085="","Diğer",E2085))</f>
        <v/>
      </c>
      <c r="U2085" s="32" t="str">
        <f aca="false">IF(OR(F2085="",C2085=""),"",IF(COUNTIF($C$2:C2085,C2085)=1,MAX($U$1:U2084)+1,""))</f>
        <v/>
      </c>
    </row>
    <row r="2086" customFormat="false" ht="15" hidden="false" customHeight="false" outlineLevel="0" collapsed="false">
      <c r="A2086" s="34"/>
      <c r="B2086" s="9"/>
      <c r="C2086" s="34"/>
      <c r="D2086" s="34"/>
      <c r="E2086" s="34"/>
      <c r="F2086" s="35"/>
      <c r="G2086" s="9"/>
      <c r="H2086" s="9"/>
      <c r="I2086" s="34"/>
      <c r="J2086" s="30" t="str">
        <f aca="false">IF(F2086="","",G2086-B2086)</f>
        <v/>
      </c>
      <c r="K2086" s="31" t="str">
        <f aca="false">IF(F2086="","",IF(H2086&lt;&gt;"",H2086,MAX('Vade Sapması'!$D$3,G2086)))</f>
        <v/>
      </c>
      <c r="L2086" s="30" t="str">
        <f aca="false">IF(F2086="","",K2086-B2086)</f>
        <v/>
      </c>
      <c r="M2086" s="30" t="str">
        <f aca="false">IF(F2086="","",L2086-J2086)</f>
        <v/>
      </c>
      <c r="N2086" s="32" t="str">
        <f aca="false">IF(F2086="","",IF(H2086&lt;&gt;"","Kapandı",IF('Vade Sapması'!$D$3&gt;G2086,"Açık · vadesi geçti","Açık · vadesi gelmedi")))</f>
        <v/>
      </c>
      <c r="O2086" s="30" t="str">
        <f aca="false">IF(F2086="","",IF(AND(H2086="",'Vade Sapması'!$D$3&gt;G2086),'Vade Sapması'!$D$3-G2086,0))</f>
        <v/>
      </c>
      <c r="P2086" s="33" t="str">
        <f aca="false">IF(F2086="","",F2086*J2086)</f>
        <v/>
      </c>
      <c r="Q2086" s="33" t="str">
        <f aca="false">IF(F2086="","",F2086*L2086)</f>
        <v/>
      </c>
      <c r="R2086" s="33" t="str">
        <f aca="false">IF(F2086="","",IF(H2086="",F2086,0))</f>
        <v/>
      </c>
      <c r="S2086" s="32" t="str">
        <f aca="false">IF(F2086="","",IF(N(O2086)=0,"",IF(O2086&lt;=30,"1-30",IF(O2086&lt;=60,"31-60",IF(O2086&lt;=90,"61-90","90+")))))</f>
        <v/>
      </c>
      <c r="T2086" s="32" t="str">
        <f aca="false">IF(F2086="","",IF(E2086="","Diğer",E2086))</f>
        <v/>
      </c>
      <c r="U2086" s="32" t="str">
        <f aca="false">IF(OR(F2086="",C2086=""),"",IF(COUNTIF($C$2:C2086,C2086)=1,MAX($U$1:U2085)+1,""))</f>
        <v/>
      </c>
    </row>
    <row r="2087" customFormat="false" ht="15" hidden="false" customHeight="false" outlineLevel="0" collapsed="false">
      <c r="A2087" s="34"/>
      <c r="B2087" s="9"/>
      <c r="C2087" s="34"/>
      <c r="D2087" s="34"/>
      <c r="E2087" s="34"/>
      <c r="F2087" s="35"/>
      <c r="G2087" s="9"/>
      <c r="H2087" s="9"/>
      <c r="I2087" s="34"/>
      <c r="J2087" s="30" t="str">
        <f aca="false">IF(F2087="","",G2087-B2087)</f>
        <v/>
      </c>
      <c r="K2087" s="31" t="str">
        <f aca="false">IF(F2087="","",IF(H2087&lt;&gt;"",H2087,MAX('Vade Sapması'!$D$3,G2087)))</f>
        <v/>
      </c>
      <c r="L2087" s="30" t="str">
        <f aca="false">IF(F2087="","",K2087-B2087)</f>
        <v/>
      </c>
      <c r="M2087" s="30" t="str">
        <f aca="false">IF(F2087="","",L2087-J2087)</f>
        <v/>
      </c>
      <c r="N2087" s="32" t="str">
        <f aca="false">IF(F2087="","",IF(H2087&lt;&gt;"","Kapandı",IF('Vade Sapması'!$D$3&gt;G2087,"Açık · vadesi geçti","Açık · vadesi gelmedi")))</f>
        <v/>
      </c>
      <c r="O2087" s="30" t="str">
        <f aca="false">IF(F2087="","",IF(AND(H2087="",'Vade Sapması'!$D$3&gt;G2087),'Vade Sapması'!$D$3-G2087,0))</f>
        <v/>
      </c>
      <c r="P2087" s="33" t="str">
        <f aca="false">IF(F2087="","",F2087*J2087)</f>
        <v/>
      </c>
      <c r="Q2087" s="33" t="str">
        <f aca="false">IF(F2087="","",F2087*L2087)</f>
        <v/>
      </c>
      <c r="R2087" s="33" t="str">
        <f aca="false">IF(F2087="","",IF(H2087="",F2087,0))</f>
        <v/>
      </c>
      <c r="S2087" s="32" t="str">
        <f aca="false">IF(F2087="","",IF(N(O2087)=0,"",IF(O2087&lt;=30,"1-30",IF(O2087&lt;=60,"31-60",IF(O2087&lt;=90,"61-90","90+")))))</f>
        <v/>
      </c>
      <c r="T2087" s="32" t="str">
        <f aca="false">IF(F2087="","",IF(E2087="","Diğer",E2087))</f>
        <v/>
      </c>
      <c r="U2087" s="32" t="str">
        <f aca="false">IF(OR(F2087="",C2087=""),"",IF(COUNTIF($C$2:C2087,C2087)=1,MAX($U$1:U2086)+1,""))</f>
        <v/>
      </c>
    </row>
    <row r="2088" customFormat="false" ht="15" hidden="false" customHeight="false" outlineLevel="0" collapsed="false">
      <c r="A2088" s="34"/>
      <c r="B2088" s="9"/>
      <c r="C2088" s="34"/>
      <c r="D2088" s="34"/>
      <c r="E2088" s="34"/>
      <c r="F2088" s="35"/>
      <c r="G2088" s="9"/>
      <c r="H2088" s="9"/>
      <c r="I2088" s="34"/>
      <c r="J2088" s="30" t="str">
        <f aca="false">IF(F2088="","",G2088-B2088)</f>
        <v/>
      </c>
      <c r="K2088" s="31" t="str">
        <f aca="false">IF(F2088="","",IF(H2088&lt;&gt;"",H2088,MAX('Vade Sapması'!$D$3,G2088)))</f>
        <v/>
      </c>
      <c r="L2088" s="30" t="str">
        <f aca="false">IF(F2088="","",K2088-B2088)</f>
        <v/>
      </c>
      <c r="M2088" s="30" t="str">
        <f aca="false">IF(F2088="","",L2088-J2088)</f>
        <v/>
      </c>
      <c r="N2088" s="32" t="str">
        <f aca="false">IF(F2088="","",IF(H2088&lt;&gt;"","Kapandı",IF('Vade Sapması'!$D$3&gt;G2088,"Açık · vadesi geçti","Açık · vadesi gelmedi")))</f>
        <v/>
      </c>
      <c r="O2088" s="30" t="str">
        <f aca="false">IF(F2088="","",IF(AND(H2088="",'Vade Sapması'!$D$3&gt;G2088),'Vade Sapması'!$D$3-G2088,0))</f>
        <v/>
      </c>
      <c r="P2088" s="33" t="str">
        <f aca="false">IF(F2088="","",F2088*J2088)</f>
        <v/>
      </c>
      <c r="Q2088" s="33" t="str">
        <f aca="false">IF(F2088="","",F2088*L2088)</f>
        <v/>
      </c>
      <c r="R2088" s="33" t="str">
        <f aca="false">IF(F2088="","",IF(H2088="",F2088,0))</f>
        <v/>
      </c>
      <c r="S2088" s="32" t="str">
        <f aca="false">IF(F2088="","",IF(N(O2088)=0,"",IF(O2088&lt;=30,"1-30",IF(O2088&lt;=60,"31-60",IF(O2088&lt;=90,"61-90","90+")))))</f>
        <v/>
      </c>
      <c r="T2088" s="32" t="str">
        <f aca="false">IF(F2088="","",IF(E2088="","Diğer",E2088))</f>
        <v/>
      </c>
      <c r="U2088" s="32" t="str">
        <f aca="false">IF(OR(F2088="",C2088=""),"",IF(COUNTIF($C$2:C2088,C2088)=1,MAX($U$1:U2087)+1,""))</f>
        <v/>
      </c>
    </row>
    <row r="2089" customFormat="false" ht="15" hidden="false" customHeight="false" outlineLevel="0" collapsed="false">
      <c r="A2089" s="34"/>
      <c r="B2089" s="9"/>
      <c r="C2089" s="34"/>
      <c r="D2089" s="34"/>
      <c r="E2089" s="34"/>
      <c r="F2089" s="35"/>
      <c r="G2089" s="9"/>
      <c r="H2089" s="9"/>
      <c r="I2089" s="34"/>
      <c r="J2089" s="30" t="str">
        <f aca="false">IF(F2089="","",G2089-B2089)</f>
        <v/>
      </c>
      <c r="K2089" s="31" t="str">
        <f aca="false">IF(F2089="","",IF(H2089&lt;&gt;"",H2089,MAX('Vade Sapması'!$D$3,G2089)))</f>
        <v/>
      </c>
      <c r="L2089" s="30" t="str">
        <f aca="false">IF(F2089="","",K2089-B2089)</f>
        <v/>
      </c>
      <c r="M2089" s="30" t="str">
        <f aca="false">IF(F2089="","",L2089-J2089)</f>
        <v/>
      </c>
      <c r="N2089" s="32" t="str">
        <f aca="false">IF(F2089="","",IF(H2089&lt;&gt;"","Kapandı",IF('Vade Sapması'!$D$3&gt;G2089,"Açık · vadesi geçti","Açık · vadesi gelmedi")))</f>
        <v/>
      </c>
      <c r="O2089" s="30" t="str">
        <f aca="false">IF(F2089="","",IF(AND(H2089="",'Vade Sapması'!$D$3&gt;G2089),'Vade Sapması'!$D$3-G2089,0))</f>
        <v/>
      </c>
      <c r="P2089" s="33" t="str">
        <f aca="false">IF(F2089="","",F2089*J2089)</f>
        <v/>
      </c>
      <c r="Q2089" s="33" t="str">
        <f aca="false">IF(F2089="","",F2089*L2089)</f>
        <v/>
      </c>
      <c r="R2089" s="33" t="str">
        <f aca="false">IF(F2089="","",IF(H2089="",F2089,0))</f>
        <v/>
      </c>
      <c r="S2089" s="32" t="str">
        <f aca="false">IF(F2089="","",IF(N(O2089)=0,"",IF(O2089&lt;=30,"1-30",IF(O2089&lt;=60,"31-60",IF(O2089&lt;=90,"61-90","90+")))))</f>
        <v/>
      </c>
      <c r="T2089" s="32" t="str">
        <f aca="false">IF(F2089="","",IF(E2089="","Diğer",E2089))</f>
        <v/>
      </c>
      <c r="U2089" s="32" t="str">
        <f aca="false">IF(OR(F2089="",C2089=""),"",IF(COUNTIF($C$2:C2089,C2089)=1,MAX($U$1:U2088)+1,""))</f>
        <v/>
      </c>
    </row>
    <row r="2090" customFormat="false" ht="15" hidden="false" customHeight="false" outlineLevel="0" collapsed="false">
      <c r="A2090" s="34"/>
      <c r="B2090" s="9"/>
      <c r="C2090" s="34"/>
      <c r="D2090" s="34"/>
      <c r="E2090" s="34"/>
      <c r="F2090" s="35"/>
      <c r="G2090" s="9"/>
      <c r="H2090" s="9"/>
      <c r="I2090" s="34"/>
      <c r="J2090" s="30" t="str">
        <f aca="false">IF(F2090="","",G2090-B2090)</f>
        <v/>
      </c>
      <c r="K2090" s="31" t="str">
        <f aca="false">IF(F2090="","",IF(H2090&lt;&gt;"",H2090,MAX('Vade Sapması'!$D$3,G2090)))</f>
        <v/>
      </c>
      <c r="L2090" s="30" t="str">
        <f aca="false">IF(F2090="","",K2090-B2090)</f>
        <v/>
      </c>
      <c r="M2090" s="30" t="str">
        <f aca="false">IF(F2090="","",L2090-J2090)</f>
        <v/>
      </c>
      <c r="N2090" s="32" t="str">
        <f aca="false">IF(F2090="","",IF(H2090&lt;&gt;"","Kapandı",IF('Vade Sapması'!$D$3&gt;G2090,"Açık · vadesi geçti","Açık · vadesi gelmedi")))</f>
        <v/>
      </c>
      <c r="O2090" s="30" t="str">
        <f aca="false">IF(F2090="","",IF(AND(H2090="",'Vade Sapması'!$D$3&gt;G2090),'Vade Sapması'!$D$3-G2090,0))</f>
        <v/>
      </c>
      <c r="P2090" s="33" t="str">
        <f aca="false">IF(F2090="","",F2090*J2090)</f>
        <v/>
      </c>
      <c r="Q2090" s="33" t="str">
        <f aca="false">IF(F2090="","",F2090*L2090)</f>
        <v/>
      </c>
      <c r="R2090" s="33" t="str">
        <f aca="false">IF(F2090="","",IF(H2090="",F2090,0))</f>
        <v/>
      </c>
      <c r="S2090" s="32" t="str">
        <f aca="false">IF(F2090="","",IF(N(O2090)=0,"",IF(O2090&lt;=30,"1-30",IF(O2090&lt;=60,"31-60",IF(O2090&lt;=90,"61-90","90+")))))</f>
        <v/>
      </c>
      <c r="T2090" s="32" t="str">
        <f aca="false">IF(F2090="","",IF(E2090="","Diğer",E2090))</f>
        <v/>
      </c>
      <c r="U2090" s="32" t="str">
        <f aca="false">IF(OR(F2090="",C2090=""),"",IF(COUNTIF($C$2:C2090,C2090)=1,MAX($U$1:U2089)+1,""))</f>
        <v/>
      </c>
    </row>
    <row r="2091" customFormat="false" ht="15" hidden="false" customHeight="false" outlineLevel="0" collapsed="false">
      <c r="A2091" s="34"/>
      <c r="B2091" s="9"/>
      <c r="C2091" s="34"/>
      <c r="D2091" s="34"/>
      <c r="E2091" s="34"/>
      <c r="F2091" s="35"/>
      <c r="G2091" s="9"/>
      <c r="H2091" s="9"/>
      <c r="I2091" s="34"/>
      <c r="J2091" s="30" t="str">
        <f aca="false">IF(F2091="","",G2091-B2091)</f>
        <v/>
      </c>
      <c r="K2091" s="31" t="str">
        <f aca="false">IF(F2091="","",IF(H2091&lt;&gt;"",H2091,MAX('Vade Sapması'!$D$3,G2091)))</f>
        <v/>
      </c>
      <c r="L2091" s="30" t="str">
        <f aca="false">IF(F2091="","",K2091-B2091)</f>
        <v/>
      </c>
      <c r="M2091" s="30" t="str">
        <f aca="false">IF(F2091="","",L2091-J2091)</f>
        <v/>
      </c>
      <c r="N2091" s="32" t="str">
        <f aca="false">IF(F2091="","",IF(H2091&lt;&gt;"","Kapandı",IF('Vade Sapması'!$D$3&gt;G2091,"Açık · vadesi geçti","Açık · vadesi gelmedi")))</f>
        <v/>
      </c>
      <c r="O2091" s="30" t="str">
        <f aca="false">IF(F2091="","",IF(AND(H2091="",'Vade Sapması'!$D$3&gt;G2091),'Vade Sapması'!$D$3-G2091,0))</f>
        <v/>
      </c>
      <c r="P2091" s="33" t="str">
        <f aca="false">IF(F2091="","",F2091*J2091)</f>
        <v/>
      </c>
      <c r="Q2091" s="33" t="str">
        <f aca="false">IF(F2091="","",F2091*L2091)</f>
        <v/>
      </c>
      <c r="R2091" s="33" t="str">
        <f aca="false">IF(F2091="","",IF(H2091="",F2091,0))</f>
        <v/>
      </c>
      <c r="S2091" s="32" t="str">
        <f aca="false">IF(F2091="","",IF(N(O2091)=0,"",IF(O2091&lt;=30,"1-30",IF(O2091&lt;=60,"31-60",IF(O2091&lt;=90,"61-90","90+")))))</f>
        <v/>
      </c>
      <c r="T2091" s="32" t="str">
        <f aca="false">IF(F2091="","",IF(E2091="","Diğer",E2091))</f>
        <v/>
      </c>
      <c r="U2091" s="32" t="str">
        <f aca="false">IF(OR(F2091="",C2091=""),"",IF(COUNTIF($C$2:C2091,C2091)=1,MAX($U$1:U2090)+1,""))</f>
        <v/>
      </c>
    </row>
    <row r="2092" customFormat="false" ht="15" hidden="false" customHeight="false" outlineLevel="0" collapsed="false">
      <c r="A2092" s="34"/>
      <c r="B2092" s="9"/>
      <c r="C2092" s="34"/>
      <c r="D2092" s="34"/>
      <c r="E2092" s="34"/>
      <c r="F2092" s="35"/>
      <c r="G2092" s="9"/>
      <c r="H2092" s="9"/>
      <c r="I2092" s="34"/>
      <c r="J2092" s="30" t="str">
        <f aca="false">IF(F2092="","",G2092-B2092)</f>
        <v/>
      </c>
      <c r="K2092" s="31" t="str">
        <f aca="false">IF(F2092="","",IF(H2092&lt;&gt;"",H2092,MAX('Vade Sapması'!$D$3,G2092)))</f>
        <v/>
      </c>
      <c r="L2092" s="30" t="str">
        <f aca="false">IF(F2092="","",K2092-B2092)</f>
        <v/>
      </c>
      <c r="M2092" s="30" t="str">
        <f aca="false">IF(F2092="","",L2092-J2092)</f>
        <v/>
      </c>
      <c r="N2092" s="32" t="str">
        <f aca="false">IF(F2092="","",IF(H2092&lt;&gt;"","Kapandı",IF('Vade Sapması'!$D$3&gt;G2092,"Açık · vadesi geçti","Açık · vadesi gelmedi")))</f>
        <v/>
      </c>
      <c r="O2092" s="30" t="str">
        <f aca="false">IF(F2092="","",IF(AND(H2092="",'Vade Sapması'!$D$3&gt;G2092),'Vade Sapması'!$D$3-G2092,0))</f>
        <v/>
      </c>
      <c r="P2092" s="33" t="str">
        <f aca="false">IF(F2092="","",F2092*J2092)</f>
        <v/>
      </c>
      <c r="Q2092" s="33" t="str">
        <f aca="false">IF(F2092="","",F2092*L2092)</f>
        <v/>
      </c>
      <c r="R2092" s="33" t="str">
        <f aca="false">IF(F2092="","",IF(H2092="",F2092,0))</f>
        <v/>
      </c>
      <c r="S2092" s="32" t="str">
        <f aca="false">IF(F2092="","",IF(N(O2092)=0,"",IF(O2092&lt;=30,"1-30",IF(O2092&lt;=60,"31-60",IF(O2092&lt;=90,"61-90","90+")))))</f>
        <v/>
      </c>
      <c r="T2092" s="32" t="str">
        <f aca="false">IF(F2092="","",IF(E2092="","Diğer",E2092))</f>
        <v/>
      </c>
      <c r="U2092" s="32" t="str">
        <f aca="false">IF(OR(F2092="",C2092=""),"",IF(COUNTIF($C$2:C2092,C2092)=1,MAX($U$1:U2091)+1,""))</f>
        <v/>
      </c>
    </row>
    <row r="2093" customFormat="false" ht="15" hidden="false" customHeight="false" outlineLevel="0" collapsed="false">
      <c r="A2093" s="34"/>
      <c r="B2093" s="9"/>
      <c r="C2093" s="34"/>
      <c r="D2093" s="34"/>
      <c r="E2093" s="34"/>
      <c r="F2093" s="35"/>
      <c r="G2093" s="9"/>
      <c r="H2093" s="9"/>
      <c r="I2093" s="34"/>
      <c r="J2093" s="30" t="str">
        <f aca="false">IF(F2093="","",G2093-B2093)</f>
        <v/>
      </c>
      <c r="K2093" s="31" t="str">
        <f aca="false">IF(F2093="","",IF(H2093&lt;&gt;"",H2093,MAX('Vade Sapması'!$D$3,G2093)))</f>
        <v/>
      </c>
      <c r="L2093" s="30" t="str">
        <f aca="false">IF(F2093="","",K2093-B2093)</f>
        <v/>
      </c>
      <c r="M2093" s="30" t="str">
        <f aca="false">IF(F2093="","",L2093-J2093)</f>
        <v/>
      </c>
      <c r="N2093" s="32" t="str">
        <f aca="false">IF(F2093="","",IF(H2093&lt;&gt;"","Kapandı",IF('Vade Sapması'!$D$3&gt;G2093,"Açık · vadesi geçti","Açık · vadesi gelmedi")))</f>
        <v/>
      </c>
      <c r="O2093" s="30" t="str">
        <f aca="false">IF(F2093="","",IF(AND(H2093="",'Vade Sapması'!$D$3&gt;G2093),'Vade Sapması'!$D$3-G2093,0))</f>
        <v/>
      </c>
      <c r="P2093" s="33" t="str">
        <f aca="false">IF(F2093="","",F2093*J2093)</f>
        <v/>
      </c>
      <c r="Q2093" s="33" t="str">
        <f aca="false">IF(F2093="","",F2093*L2093)</f>
        <v/>
      </c>
      <c r="R2093" s="33" t="str">
        <f aca="false">IF(F2093="","",IF(H2093="",F2093,0))</f>
        <v/>
      </c>
      <c r="S2093" s="32" t="str">
        <f aca="false">IF(F2093="","",IF(N(O2093)=0,"",IF(O2093&lt;=30,"1-30",IF(O2093&lt;=60,"31-60",IF(O2093&lt;=90,"61-90","90+")))))</f>
        <v/>
      </c>
      <c r="T2093" s="32" t="str">
        <f aca="false">IF(F2093="","",IF(E2093="","Diğer",E2093))</f>
        <v/>
      </c>
      <c r="U2093" s="32" t="str">
        <f aca="false">IF(OR(F2093="",C2093=""),"",IF(COUNTIF($C$2:C2093,C2093)=1,MAX($U$1:U2092)+1,""))</f>
        <v/>
      </c>
    </row>
    <row r="2094" customFormat="false" ht="15" hidden="false" customHeight="false" outlineLevel="0" collapsed="false">
      <c r="A2094" s="34"/>
      <c r="B2094" s="9"/>
      <c r="C2094" s="34"/>
      <c r="D2094" s="34"/>
      <c r="E2094" s="34"/>
      <c r="F2094" s="35"/>
      <c r="G2094" s="9"/>
      <c r="H2094" s="9"/>
      <c r="I2094" s="34"/>
      <c r="J2094" s="30" t="str">
        <f aca="false">IF(F2094="","",G2094-B2094)</f>
        <v/>
      </c>
      <c r="K2094" s="31" t="str">
        <f aca="false">IF(F2094="","",IF(H2094&lt;&gt;"",H2094,MAX('Vade Sapması'!$D$3,G2094)))</f>
        <v/>
      </c>
      <c r="L2094" s="30" t="str">
        <f aca="false">IF(F2094="","",K2094-B2094)</f>
        <v/>
      </c>
      <c r="M2094" s="30" t="str">
        <f aca="false">IF(F2094="","",L2094-J2094)</f>
        <v/>
      </c>
      <c r="N2094" s="32" t="str">
        <f aca="false">IF(F2094="","",IF(H2094&lt;&gt;"","Kapandı",IF('Vade Sapması'!$D$3&gt;G2094,"Açık · vadesi geçti","Açık · vadesi gelmedi")))</f>
        <v/>
      </c>
      <c r="O2094" s="30" t="str">
        <f aca="false">IF(F2094="","",IF(AND(H2094="",'Vade Sapması'!$D$3&gt;G2094),'Vade Sapması'!$D$3-G2094,0))</f>
        <v/>
      </c>
      <c r="P2094" s="33" t="str">
        <f aca="false">IF(F2094="","",F2094*J2094)</f>
        <v/>
      </c>
      <c r="Q2094" s="33" t="str">
        <f aca="false">IF(F2094="","",F2094*L2094)</f>
        <v/>
      </c>
      <c r="R2094" s="33" t="str">
        <f aca="false">IF(F2094="","",IF(H2094="",F2094,0))</f>
        <v/>
      </c>
      <c r="S2094" s="32" t="str">
        <f aca="false">IF(F2094="","",IF(N(O2094)=0,"",IF(O2094&lt;=30,"1-30",IF(O2094&lt;=60,"31-60",IF(O2094&lt;=90,"61-90","90+")))))</f>
        <v/>
      </c>
      <c r="T2094" s="32" t="str">
        <f aca="false">IF(F2094="","",IF(E2094="","Diğer",E2094))</f>
        <v/>
      </c>
      <c r="U2094" s="32" t="str">
        <f aca="false">IF(OR(F2094="",C2094=""),"",IF(COUNTIF($C$2:C2094,C2094)=1,MAX($U$1:U2093)+1,""))</f>
        <v/>
      </c>
    </row>
    <row r="2095" customFormat="false" ht="15" hidden="false" customHeight="false" outlineLevel="0" collapsed="false">
      <c r="A2095" s="34"/>
      <c r="B2095" s="9"/>
      <c r="C2095" s="34"/>
      <c r="D2095" s="34"/>
      <c r="E2095" s="34"/>
      <c r="F2095" s="35"/>
      <c r="G2095" s="9"/>
      <c r="H2095" s="9"/>
      <c r="I2095" s="34"/>
      <c r="J2095" s="30" t="str">
        <f aca="false">IF(F2095="","",G2095-B2095)</f>
        <v/>
      </c>
      <c r="K2095" s="31" t="str">
        <f aca="false">IF(F2095="","",IF(H2095&lt;&gt;"",H2095,MAX('Vade Sapması'!$D$3,G2095)))</f>
        <v/>
      </c>
      <c r="L2095" s="30" t="str">
        <f aca="false">IF(F2095="","",K2095-B2095)</f>
        <v/>
      </c>
      <c r="M2095" s="30" t="str">
        <f aca="false">IF(F2095="","",L2095-J2095)</f>
        <v/>
      </c>
      <c r="N2095" s="32" t="str">
        <f aca="false">IF(F2095="","",IF(H2095&lt;&gt;"","Kapandı",IF('Vade Sapması'!$D$3&gt;G2095,"Açık · vadesi geçti","Açık · vadesi gelmedi")))</f>
        <v/>
      </c>
      <c r="O2095" s="30" t="str">
        <f aca="false">IF(F2095="","",IF(AND(H2095="",'Vade Sapması'!$D$3&gt;G2095),'Vade Sapması'!$D$3-G2095,0))</f>
        <v/>
      </c>
      <c r="P2095" s="33" t="str">
        <f aca="false">IF(F2095="","",F2095*J2095)</f>
        <v/>
      </c>
      <c r="Q2095" s="33" t="str">
        <f aca="false">IF(F2095="","",F2095*L2095)</f>
        <v/>
      </c>
      <c r="R2095" s="33" t="str">
        <f aca="false">IF(F2095="","",IF(H2095="",F2095,0))</f>
        <v/>
      </c>
      <c r="S2095" s="32" t="str">
        <f aca="false">IF(F2095="","",IF(N(O2095)=0,"",IF(O2095&lt;=30,"1-30",IF(O2095&lt;=60,"31-60",IF(O2095&lt;=90,"61-90","90+")))))</f>
        <v/>
      </c>
      <c r="T2095" s="32" t="str">
        <f aca="false">IF(F2095="","",IF(E2095="","Diğer",E2095))</f>
        <v/>
      </c>
      <c r="U2095" s="32" t="str">
        <f aca="false">IF(OR(F2095="",C2095=""),"",IF(COUNTIF($C$2:C2095,C2095)=1,MAX($U$1:U2094)+1,""))</f>
        <v/>
      </c>
    </row>
    <row r="2096" customFormat="false" ht="15" hidden="false" customHeight="false" outlineLevel="0" collapsed="false">
      <c r="A2096" s="34"/>
      <c r="B2096" s="9"/>
      <c r="C2096" s="34"/>
      <c r="D2096" s="34"/>
      <c r="E2096" s="34"/>
      <c r="F2096" s="35"/>
      <c r="G2096" s="9"/>
      <c r="H2096" s="9"/>
      <c r="I2096" s="34"/>
      <c r="J2096" s="30" t="str">
        <f aca="false">IF(F2096="","",G2096-B2096)</f>
        <v/>
      </c>
      <c r="K2096" s="31" t="str">
        <f aca="false">IF(F2096="","",IF(H2096&lt;&gt;"",H2096,MAX('Vade Sapması'!$D$3,G2096)))</f>
        <v/>
      </c>
      <c r="L2096" s="30" t="str">
        <f aca="false">IF(F2096="","",K2096-B2096)</f>
        <v/>
      </c>
      <c r="M2096" s="30" t="str">
        <f aca="false">IF(F2096="","",L2096-J2096)</f>
        <v/>
      </c>
      <c r="N2096" s="32" t="str">
        <f aca="false">IF(F2096="","",IF(H2096&lt;&gt;"","Kapandı",IF('Vade Sapması'!$D$3&gt;G2096,"Açık · vadesi geçti","Açık · vadesi gelmedi")))</f>
        <v/>
      </c>
      <c r="O2096" s="30" t="str">
        <f aca="false">IF(F2096="","",IF(AND(H2096="",'Vade Sapması'!$D$3&gt;G2096),'Vade Sapması'!$D$3-G2096,0))</f>
        <v/>
      </c>
      <c r="P2096" s="33" t="str">
        <f aca="false">IF(F2096="","",F2096*J2096)</f>
        <v/>
      </c>
      <c r="Q2096" s="33" t="str">
        <f aca="false">IF(F2096="","",F2096*L2096)</f>
        <v/>
      </c>
      <c r="R2096" s="33" t="str">
        <f aca="false">IF(F2096="","",IF(H2096="",F2096,0))</f>
        <v/>
      </c>
      <c r="S2096" s="32" t="str">
        <f aca="false">IF(F2096="","",IF(N(O2096)=0,"",IF(O2096&lt;=30,"1-30",IF(O2096&lt;=60,"31-60",IF(O2096&lt;=90,"61-90","90+")))))</f>
        <v/>
      </c>
      <c r="T2096" s="32" t="str">
        <f aca="false">IF(F2096="","",IF(E2096="","Diğer",E2096))</f>
        <v/>
      </c>
      <c r="U2096" s="32" t="str">
        <f aca="false">IF(OR(F2096="",C2096=""),"",IF(COUNTIF($C$2:C2096,C2096)=1,MAX($U$1:U2095)+1,""))</f>
        <v/>
      </c>
    </row>
    <row r="2097" customFormat="false" ht="15" hidden="false" customHeight="false" outlineLevel="0" collapsed="false">
      <c r="A2097" s="34"/>
      <c r="B2097" s="9"/>
      <c r="C2097" s="34"/>
      <c r="D2097" s="34"/>
      <c r="E2097" s="34"/>
      <c r="F2097" s="35"/>
      <c r="G2097" s="9"/>
      <c r="H2097" s="9"/>
      <c r="I2097" s="34"/>
      <c r="J2097" s="30" t="str">
        <f aca="false">IF(F2097="","",G2097-B2097)</f>
        <v/>
      </c>
      <c r="K2097" s="31" t="str">
        <f aca="false">IF(F2097="","",IF(H2097&lt;&gt;"",H2097,MAX('Vade Sapması'!$D$3,G2097)))</f>
        <v/>
      </c>
      <c r="L2097" s="30" t="str">
        <f aca="false">IF(F2097="","",K2097-B2097)</f>
        <v/>
      </c>
      <c r="M2097" s="30" t="str">
        <f aca="false">IF(F2097="","",L2097-J2097)</f>
        <v/>
      </c>
      <c r="N2097" s="32" t="str">
        <f aca="false">IF(F2097="","",IF(H2097&lt;&gt;"","Kapandı",IF('Vade Sapması'!$D$3&gt;G2097,"Açık · vadesi geçti","Açık · vadesi gelmedi")))</f>
        <v/>
      </c>
      <c r="O2097" s="30" t="str">
        <f aca="false">IF(F2097="","",IF(AND(H2097="",'Vade Sapması'!$D$3&gt;G2097),'Vade Sapması'!$D$3-G2097,0))</f>
        <v/>
      </c>
      <c r="P2097" s="33" t="str">
        <f aca="false">IF(F2097="","",F2097*J2097)</f>
        <v/>
      </c>
      <c r="Q2097" s="33" t="str">
        <f aca="false">IF(F2097="","",F2097*L2097)</f>
        <v/>
      </c>
      <c r="R2097" s="33" t="str">
        <f aca="false">IF(F2097="","",IF(H2097="",F2097,0))</f>
        <v/>
      </c>
      <c r="S2097" s="32" t="str">
        <f aca="false">IF(F2097="","",IF(N(O2097)=0,"",IF(O2097&lt;=30,"1-30",IF(O2097&lt;=60,"31-60",IF(O2097&lt;=90,"61-90","90+")))))</f>
        <v/>
      </c>
      <c r="T2097" s="32" t="str">
        <f aca="false">IF(F2097="","",IF(E2097="","Diğer",E2097))</f>
        <v/>
      </c>
      <c r="U2097" s="32" t="str">
        <f aca="false">IF(OR(F2097="",C2097=""),"",IF(COUNTIF($C$2:C2097,C2097)=1,MAX($U$1:U2096)+1,""))</f>
        <v/>
      </c>
    </row>
    <row r="2098" customFormat="false" ht="15" hidden="false" customHeight="false" outlineLevel="0" collapsed="false">
      <c r="A2098" s="34"/>
      <c r="B2098" s="9"/>
      <c r="C2098" s="34"/>
      <c r="D2098" s="34"/>
      <c r="E2098" s="34"/>
      <c r="F2098" s="35"/>
      <c r="G2098" s="9"/>
      <c r="H2098" s="9"/>
      <c r="I2098" s="34"/>
      <c r="J2098" s="30" t="str">
        <f aca="false">IF(F2098="","",G2098-B2098)</f>
        <v/>
      </c>
      <c r="K2098" s="31" t="str">
        <f aca="false">IF(F2098="","",IF(H2098&lt;&gt;"",H2098,MAX('Vade Sapması'!$D$3,G2098)))</f>
        <v/>
      </c>
      <c r="L2098" s="30" t="str">
        <f aca="false">IF(F2098="","",K2098-B2098)</f>
        <v/>
      </c>
      <c r="M2098" s="30" t="str">
        <f aca="false">IF(F2098="","",L2098-J2098)</f>
        <v/>
      </c>
      <c r="N2098" s="32" t="str">
        <f aca="false">IF(F2098="","",IF(H2098&lt;&gt;"","Kapandı",IF('Vade Sapması'!$D$3&gt;G2098,"Açık · vadesi geçti","Açık · vadesi gelmedi")))</f>
        <v/>
      </c>
      <c r="O2098" s="30" t="str">
        <f aca="false">IF(F2098="","",IF(AND(H2098="",'Vade Sapması'!$D$3&gt;G2098),'Vade Sapması'!$D$3-G2098,0))</f>
        <v/>
      </c>
      <c r="P2098" s="33" t="str">
        <f aca="false">IF(F2098="","",F2098*J2098)</f>
        <v/>
      </c>
      <c r="Q2098" s="33" t="str">
        <f aca="false">IF(F2098="","",F2098*L2098)</f>
        <v/>
      </c>
      <c r="R2098" s="33" t="str">
        <f aca="false">IF(F2098="","",IF(H2098="",F2098,0))</f>
        <v/>
      </c>
      <c r="S2098" s="32" t="str">
        <f aca="false">IF(F2098="","",IF(N(O2098)=0,"",IF(O2098&lt;=30,"1-30",IF(O2098&lt;=60,"31-60",IF(O2098&lt;=90,"61-90","90+")))))</f>
        <v/>
      </c>
      <c r="T2098" s="32" t="str">
        <f aca="false">IF(F2098="","",IF(E2098="","Diğer",E2098))</f>
        <v/>
      </c>
      <c r="U2098" s="32" t="str">
        <f aca="false">IF(OR(F2098="",C2098=""),"",IF(COUNTIF($C$2:C2098,C2098)=1,MAX($U$1:U2097)+1,""))</f>
        <v/>
      </c>
    </row>
    <row r="2099" customFormat="false" ht="15" hidden="false" customHeight="false" outlineLevel="0" collapsed="false">
      <c r="A2099" s="34"/>
      <c r="B2099" s="9"/>
      <c r="C2099" s="34"/>
      <c r="D2099" s="34"/>
      <c r="E2099" s="34"/>
      <c r="F2099" s="35"/>
      <c r="G2099" s="9"/>
      <c r="H2099" s="9"/>
      <c r="I2099" s="34"/>
      <c r="J2099" s="30" t="str">
        <f aca="false">IF(F2099="","",G2099-B2099)</f>
        <v/>
      </c>
      <c r="K2099" s="31" t="str">
        <f aca="false">IF(F2099="","",IF(H2099&lt;&gt;"",H2099,MAX('Vade Sapması'!$D$3,G2099)))</f>
        <v/>
      </c>
      <c r="L2099" s="30" t="str">
        <f aca="false">IF(F2099="","",K2099-B2099)</f>
        <v/>
      </c>
      <c r="M2099" s="30" t="str">
        <f aca="false">IF(F2099="","",L2099-J2099)</f>
        <v/>
      </c>
      <c r="N2099" s="32" t="str">
        <f aca="false">IF(F2099="","",IF(H2099&lt;&gt;"","Kapandı",IF('Vade Sapması'!$D$3&gt;G2099,"Açık · vadesi geçti","Açık · vadesi gelmedi")))</f>
        <v/>
      </c>
      <c r="O2099" s="30" t="str">
        <f aca="false">IF(F2099="","",IF(AND(H2099="",'Vade Sapması'!$D$3&gt;G2099),'Vade Sapması'!$D$3-G2099,0))</f>
        <v/>
      </c>
      <c r="P2099" s="33" t="str">
        <f aca="false">IF(F2099="","",F2099*J2099)</f>
        <v/>
      </c>
      <c r="Q2099" s="33" t="str">
        <f aca="false">IF(F2099="","",F2099*L2099)</f>
        <v/>
      </c>
      <c r="R2099" s="33" t="str">
        <f aca="false">IF(F2099="","",IF(H2099="",F2099,0))</f>
        <v/>
      </c>
      <c r="S2099" s="32" t="str">
        <f aca="false">IF(F2099="","",IF(N(O2099)=0,"",IF(O2099&lt;=30,"1-30",IF(O2099&lt;=60,"31-60",IF(O2099&lt;=90,"61-90","90+")))))</f>
        <v/>
      </c>
      <c r="T2099" s="32" t="str">
        <f aca="false">IF(F2099="","",IF(E2099="","Diğer",E2099))</f>
        <v/>
      </c>
      <c r="U2099" s="32" t="str">
        <f aca="false">IF(OR(F2099="",C2099=""),"",IF(COUNTIF($C$2:C2099,C2099)=1,MAX($U$1:U2098)+1,""))</f>
        <v/>
      </c>
    </row>
    <row r="2100" customFormat="false" ht="15" hidden="false" customHeight="false" outlineLevel="0" collapsed="false">
      <c r="A2100" s="34"/>
      <c r="B2100" s="9"/>
      <c r="C2100" s="34"/>
      <c r="D2100" s="34"/>
      <c r="E2100" s="34"/>
      <c r="F2100" s="35"/>
      <c r="G2100" s="9"/>
      <c r="H2100" s="9"/>
      <c r="I2100" s="34"/>
      <c r="J2100" s="30" t="str">
        <f aca="false">IF(F2100="","",G2100-B2100)</f>
        <v/>
      </c>
      <c r="K2100" s="31" t="str">
        <f aca="false">IF(F2100="","",IF(H2100&lt;&gt;"",H2100,MAX('Vade Sapması'!$D$3,G2100)))</f>
        <v/>
      </c>
      <c r="L2100" s="30" t="str">
        <f aca="false">IF(F2100="","",K2100-B2100)</f>
        <v/>
      </c>
      <c r="M2100" s="30" t="str">
        <f aca="false">IF(F2100="","",L2100-J2100)</f>
        <v/>
      </c>
      <c r="N2100" s="32" t="str">
        <f aca="false">IF(F2100="","",IF(H2100&lt;&gt;"","Kapandı",IF('Vade Sapması'!$D$3&gt;G2100,"Açık · vadesi geçti","Açık · vadesi gelmedi")))</f>
        <v/>
      </c>
      <c r="O2100" s="30" t="str">
        <f aca="false">IF(F2100="","",IF(AND(H2100="",'Vade Sapması'!$D$3&gt;G2100),'Vade Sapması'!$D$3-G2100,0))</f>
        <v/>
      </c>
      <c r="P2100" s="33" t="str">
        <f aca="false">IF(F2100="","",F2100*J2100)</f>
        <v/>
      </c>
      <c r="Q2100" s="33" t="str">
        <f aca="false">IF(F2100="","",F2100*L2100)</f>
        <v/>
      </c>
      <c r="R2100" s="33" t="str">
        <f aca="false">IF(F2100="","",IF(H2100="",F2100,0))</f>
        <v/>
      </c>
      <c r="S2100" s="32" t="str">
        <f aca="false">IF(F2100="","",IF(N(O2100)=0,"",IF(O2100&lt;=30,"1-30",IF(O2100&lt;=60,"31-60",IF(O2100&lt;=90,"61-90","90+")))))</f>
        <v/>
      </c>
      <c r="T2100" s="32" t="str">
        <f aca="false">IF(F2100="","",IF(E2100="","Diğer",E2100))</f>
        <v/>
      </c>
      <c r="U2100" s="32" t="str">
        <f aca="false">IF(OR(F2100="",C2100=""),"",IF(COUNTIF($C$2:C2100,C2100)=1,MAX($U$1:U2099)+1,""))</f>
        <v/>
      </c>
    </row>
    <row r="2101" customFormat="false" ht="15" hidden="false" customHeight="false" outlineLevel="0" collapsed="false">
      <c r="A2101" s="34"/>
      <c r="B2101" s="9"/>
      <c r="C2101" s="34"/>
      <c r="D2101" s="34"/>
      <c r="E2101" s="34"/>
      <c r="F2101" s="35"/>
      <c r="G2101" s="9"/>
      <c r="H2101" s="9"/>
      <c r="I2101" s="34"/>
      <c r="J2101" s="30" t="str">
        <f aca="false">IF(F2101="","",G2101-B2101)</f>
        <v/>
      </c>
      <c r="K2101" s="31" t="str">
        <f aca="false">IF(F2101="","",IF(H2101&lt;&gt;"",H2101,MAX('Vade Sapması'!$D$3,G2101)))</f>
        <v/>
      </c>
      <c r="L2101" s="30" t="str">
        <f aca="false">IF(F2101="","",K2101-B2101)</f>
        <v/>
      </c>
      <c r="M2101" s="30" t="str">
        <f aca="false">IF(F2101="","",L2101-J2101)</f>
        <v/>
      </c>
      <c r="N2101" s="32" t="str">
        <f aca="false">IF(F2101="","",IF(H2101&lt;&gt;"","Kapandı",IF('Vade Sapması'!$D$3&gt;G2101,"Açık · vadesi geçti","Açık · vadesi gelmedi")))</f>
        <v/>
      </c>
      <c r="O2101" s="30" t="str">
        <f aca="false">IF(F2101="","",IF(AND(H2101="",'Vade Sapması'!$D$3&gt;G2101),'Vade Sapması'!$D$3-G2101,0))</f>
        <v/>
      </c>
      <c r="P2101" s="33" t="str">
        <f aca="false">IF(F2101="","",F2101*J2101)</f>
        <v/>
      </c>
      <c r="Q2101" s="33" t="str">
        <f aca="false">IF(F2101="","",F2101*L2101)</f>
        <v/>
      </c>
      <c r="R2101" s="33" t="str">
        <f aca="false">IF(F2101="","",IF(H2101="",F2101,0))</f>
        <v/>
      </c>
      <c r="S2101" s="32" t="str">
        <f aca="false">IF(F2101="","",IF(N(O2101)=0,"",IF(O2101&lt;=30,"1-30",IF(O2101&lt;=60,"31-60",IF(O2101&lt;=90,"61-90","90+")))))</f>
        <v/>
      </c>
      <c r="T2101" s="32" t="str">
        <f aca="false">IF(F2101="","",IF(E2101="","Diğer",E2101))</f>
        <v/>
      </c>
      <c r="U2101" s="32" t="str">
        <f aca="false">IF(OR(F2101="",C2101=""),"",IF(COUNTIF($C$2:C2101,C2101)=1,MAX($U$1:U2100)+1,""))</f>
        <v/>
      </c>
    </row>
    <row r="2102" customFormat="false" ht="15" hidden="false" customHeight="false" outlineLevel="0" collapsed="false">
      <c r="A2102" s="34"/>
      <c r="B2102" s="9"/>
      <c r="C2102" s="34"/>
      <c r="D2102" s="34"/>
      <c r="E2102" s="34"/>
      <c r="F2102" s="35"/>
      <c r="G2102" s="9"/>
      <c r="H2102" s="9"/>
      <c r="I2102" s="34"/>
      <c r="J2102" s="30" t="str">
        <f aca="false">IF(F2102="","",G2102-B2102)</f>
        <v/>
      </c>
      <c r="K2102" s="31" t="str">
        <f aca="false">IF(F2102="","",IF(H2102&lt;&gt;"",H2102,MAX('Vade Sapması'!$D$3,G2102)))</f>
        <v/>
      </c>
      <c r="L2102" s="30" t="str">
        <f aca="false">IF(F2102="","",K2102-B2102)</f>
        <v/>
      </c>
      <c r="M2102" s="30" t="str">
        <f aca="false">IF(F2102="","",L2102-J2102)</f>
        <v/>
      </c>
      <c r="N2102" s="32" t="str">
        <f aca="false">IF(F2102="","",IF(H2102&lt;&gt;"","Kapandı",IF('Vade Sapması'!$D$3&gt;G2102,"Açık · vadesi geçti","Açık · vadesi gelmedi")))</f>
        <v/>
      </c>
      <c r="O2102" s="30" t="str">
        <f aca="false">IF(F2102="","",IF(AND(H2102="",'Vade Sapması'!$D$3&gt;G2102),'Vade Sapması'!$D$3-G2102,0))</f>
        <v/>
      </c>
      <c r="P2102" s="33" t="str">
        <f aca="false">IF(F2102="","",F2102*J2102)</f>
        <v/>
      </c>
      <c r="Q2102" s="33" t="str">
        <f aca="false">IF(F2102="","",F2102*L2102)</f>
        <v/>
      </c>
      <c r="R2102" s="33" t="str">
        <f aca="false">IF(F2102="","",IF(H2102="",F2102,0))</f>
        <v/>
      </c>
      <c r="S2102" s="32" t="str">
        <f aca="false">IF(F2102="","",IF(N(O2102)=0,"",IF(O2102&lt;=30,"1-30",IF(O2102&lt;=60,"31-60",IF(O2102&lt;=90,"61-90","90+")))))</f>
        <v/>
      </c>
      <c r="T2102" s="32" t="str">
        <f aca="false">IF(F2102="","",IF(E2102="","Diğer",E2102))</f>
        <v/>
      </c>
      <c r="U2102" s="32" t="str">
        <f aca="false">IF(OR(F2102="",C2102=""),"",IF(COUNTIF($C$2:C2102,C2102)=1,MAX($U$1:U2101)+1,""))</f>
        <v/>
      </c>
    </row>
    <row r="2103" customFormat="false" ht="15" hidden="false" customHeight="false" outlineLevel="0" collapsed="false">
      <c r="A2103" s="34"/>
      <c r="B2103" s="9"/>
      <c r="C2103" s="34"/>
      <c r="D2103" s="34"/>
      <c r="E2103" s="34"/>
      <c r="F2103" s="35"/>
      <c r="G2103" s="9"/>
      <c r="H2103" s="9"/>
      <c r="I2103" s="34"/>
      <c r="J2103" s="30" t="str">
        <f aca="false">IF(F2103="","",G2103-B2103)</f>
        <v/>
      </c>
      <c r="K2103" s="31" t="str">
        <f aca="false">IF(F2103="","",IF(H2103&lt;&gt;"",H2103,MAX('Vade Sapması'!$D$3,G2103)))</f>
        <v/>
      </c>
      <c r="L2103" s="30" t="str">
        <f aca="false">IF(F2103="","",K2103-B2103)</f>
        <v/>
      </c>
      <c r="M2103" s="30" t="str">
        <f aca="false">IF(F2103="","",L2103-J2103)</f>
        <v/>
      </c>
      <c r="N2103" s="32" t="str">
        <f aca="false">IF(F2103="","",IF(H2103&lt;&gt;"","Kapandı",IF('Vade Sapması'!$D$3&gt;G2103,"Açık · vadesi geçti","Açık · vadesi gelmedi")))</f>
        <v/>
      </c>
      <c r="O2103" s="30" t="str">
        <f aca="false">IF(F2103="","",IF(AND(H2103="",'Vade Sapması'!$D$3&gt;G2103),'Vade Sapması'!$D$3-G2103,0))</f>
        <v/>
      </c>
      <c r="P2103" s="33" t="str">
        <f aca="false">IF(F2103="","",F2103*J2103)</f>
        <v/>
      </c>
      <c r="Q2103" s="33" t="str">
        <f aca="false">IF(F2103="","",F2103*L2103)</f>
        <v/>
      </c>
      <c r="R2103" s="33" t="str">
        <f aca="false">IF(F2103="","",IF(H2103="",F2103,0))</f>
        <v/>
      </c>
      <c r="S2103" s="32" t="str">
        <f aca="false">IF(F2103="","",IF(N(O2103)=0,"",IF(O2103&lt;=30,"1-30",IF(O2103&lt;=60,"31-60",IF(O2103&lt;=90,"61-90","90+")))))</f>
        <v/>
      </c>
      <c r="T2103" s="32" t="str">
        <f aca="false">IF(F2103="","",IF(E2103="","Diğer",E2103))</f>
        <v/>
      </c>
      <c r="U2103" s="32" t="str">
        <f aca="false">IF(OR(F2103="",C2103=""),"",IF(COUNTIF($C$2:C2103,C2103)=1,MAX($U$1:U2102)+1,""))</f>
        <v/>
      </c>
    </row>
    <row r="2104" customFormat="false" ht="15" hidden="false" customHeight="false" outlineLevel="0" collapsed="false">
      <c r="A2104" s="34"/>
      <c r="B2104" s="9"/>
      <c r="C2104" s="34"/>
      <c r="D2104" s="34"/>
      <c r="E2104" s="34"/>
      <c r="F2104" s="35"/>
      <c r="G2104" s="9"/>
      <c r="H2104" s="9"/>
      <c r="I2104" s="34"/>
      <c r="J2104" s="30" t="str">
        <f aca="false">IF(F2104="","",G2104-B2104)</f>
        <v/>
      </c>
      <c r="K2104" s="31" t="str">
        <f aca="false">IF(F2104="","",IF(H2104&lt;&gt;"",H2104,MAX('Vade Sapması'!$D$3,G2104)))</f>
        <v/>
      </c>
      <c r="L2104" s="30" t="str">
        <f aca="false">IF(F2104="","",K2104-B2104)</f>
        <v/>
      </c>
      <c r="M2104" s="30" t="str">
        <f aca="false">IF(F2104="","",L2104-J2104)</f>
        <v/>
      </c>
      <c r="N2104" s="32" t="str">
        <f aca="false">IF(F2104="","",IF(H2104&lt;&gt;"","Kapandı",IF('Vade Sapması'!$D$3&gt;G2104,"Açık · vadesi geçti","Açık · vadesi gelmedi")))</f>
        <v/>
      </c>
      <c r="O2104" s="30" t="str">
        <f aca="false">IF(F2104="","",IF(AND(H2104="",'Vade Sapması'!$D$3&gt;G2104),'Vade Sapması'!$D$3-G2104,0))</f>
        <v/>
      </c>
      <c r="P2104" s="33" t="str">
        <f aca="false">IF(F2104="","",F2104*J2104)</f>
        <v/>
      </c>
      <c r="Q2104" s="33" t="str">
        <f aca="false">IF(F2104="","",F2104*L2104)</f>
        <v/>
      </c>
      <c r="R2104" s="33" t="str">
        <f aca="false">IF(F2104="","",IF(H2104="",F2104,0))</f>
        <v/>
      </c>
      <c r="S2104" s="32" t="str">
        <f aca="false">IF(F2104="","",IF(N(O2104)=0,"",IF(O2104&lt;=30,"1-30",IF(O2104&lt;=60,"31-60",IF(O2104&lt;=90,"61-90","90+")))))</f>
        <v/>
      </c>
      <c r="T2104" s="32" t="str">
        <f aca="false">IF(F2104="","",IF(E2104="","Diğer",E2104))</f>
        <v/>
      </c>
      <c r="U2104" s="32" t="str">
        <f aca="false">IF(OR(F2104="",C2104=""),"",IF(COUNTIF($C$2:C2104,C2104)=1,MAX($U$1:U2103)+1,""))</f>
        <v/>
      </c>
    </row>
    <row r="2105" customFormat="false" ht="15" hidden="false" customHeight="false" outlineLevel="0" collapsed="false">
      <c r="A2105" s="34"/>
      <c r="B2105" s="9"/>
      <c r="C2105" s="34"/>
      <c r="D2105" s="34"/>
      <c r="E2105" s="34"/>
      <c r="F2105" s="35"/>
      <c r="G2105" s="9"/>
      <c r="H2105" s="9"/>
      <c r="I2105" s="34"/>
      <c r="J2105" s="30" t="str">
        <f aca="false">IF(F2105="","",G2105-B2105)</f>
        <v/>
      </c>
      <c r="K2105" s="31" t="str">
        <f aca="false">IF(F2105="","",IF(H2105&lt;&gt;"",H2105,MAX('Vade Sapması'!$D$3,G2105)))</f>
        <v/>
      </c>
      <c r="L2105" s="30" t="str">
        <f aca="false">IF(F2105="","",K2105-B2105)</f>
        <v/>
      </c>
      <c r="M2105" s="30" t="str">
        <f aca="false">IF(F2105="","",L2105-J2105)</f>
        <v/>
      </c>
      <c r="N2105" s="32" t="str">
        <f aca="false">IF(F2105="","",IF(H2105&lt;&gt;"","Kapandı",IF('Vade Sapması'!$D$3&gt;G2105,"Açık · vadesi geçti","Açık · vadesi gelmedi")))</f>
        <v/>
      </c>
      <c r="O2105" s="30" t="str">
        <f aca="false">IF(F2105="","",IF(AND(H2105="",'Vade Sapması'!$D$3&gt;G2105),'Vade Sapması'!$D$3-G2105,0))</f>
        <v/>
      </c>
      <c r="P2105" s="33" t="str">
        <f aca="false">IF(F2105="","",F2105*J2105)</f>
        <v/>
      </c>
      <c r="Q2105" s="33" t="str">
        <f aca="false">IF(F2105="","",F2105*L2105)</f>
        <v/>
      </c>
      <c r="R2105" s="33" t="str">
        <f aca="false">IF(F2105="","",IF(H2105="",F2105,0))</f>
        <v/>
      </c>
      <c r="S2105" s="32" t="str">
        <f aca="false">IF(F2105="","",IF(N(O2105)=0,"",IF(O2105&lt;=30,"1-30",IF(O2105&lt;=60,"31-60",IF(O2105&lt;=90,"61-90","90+")))))</f>
        <v/>
      </c>
      <c r="T2105" s="32" t="str">
        <f aca="false">IF(F2105="","",IF(E2105="","Diğer",E2105))</f>
        <v/>
      </c>
      <c r="U2105" s="32" t="str">
        <f aca="false">IF(OR(F2105="",C2105=""),"",IF(COUNTIF($C$2:C2105,C2105)=1,MAX($U$1:U2104)+1,""))</f>
        <v/>
      </c>
    </row>
    <row r="2106" customFormat="false" ht="15" hidden="false" customHeight="false" outlineLevel="0" collapsed="false">
      <c r="A2106" s="34"/>
      <c r="B2106" s="9"/>
      <c r="C2106" s="34"/>
      <c r="D2106" s="34"/>
      <c r="E2106" s="34"/>
      <c r="F2106" s="35"/>
      <c r="G2106" s="9"/>
      <c r="H2106" s="9"/>
      <c r="I2106" s="34"/>
      <c r="J2106" s="30" t="str">
        <f aca="false">IF(F2106="","",G2106-B2106)</f>
        <v/>
      </c>
      <c r="K2106" s="31" t="str">
        <f aca="false">IF(F2106="","",IF(H2106&lt;&gt;"",H2106,MAX('Vade Sapması'!$D$3,G2106)))</f>
        <v/>
      </c>
      <c r="L2106" s="30" t="str">
        <f aca="false">IF(F2106="","",K2106-B2106)</f>
        <v/>
      </c>
      <c r="M2106" s="30" t="str">
        <f aca="false">IF(F2106="","",L2106-J2106)</f>
        <v/>
      </c>
      <c r="N2106" s="32" t="str">
        <f aca="false">IF(F2106="","",IF(H2106&lt;&gt;"","Kapandı",IF('Vade Sapması'!$D$3&gt;G2106,"Açık · vadesi geçti","Açık · vadesi gelmedi")))</f>
        <v/>
      </c>
      <c r="O2106" s="30" t="str">
        <f aca="false">IF(F2106="","",IF(AND(H2106="",'Vade Sapması'!$D$3&gt;G2106),'Vade Sapması'!$D$3-G2106,0))</f>
        <v/>
      </c>
      <c r="P2106" s="33" t="str">
        <f aca="false">IF(F2106="","",F2106*J2106)</f>
        <v/>
      </c>
      <c r="Q2106" s="33" t="str">
        <f aca="false">IF(F2106="","",F2106*L2106)</f>
        <v/>
      </c>
      <c r="R2106" s="33" t="str">
        <f aca="false">IF(F2106="","",IF(H2106="",F2106,0))</f>
        <v/>
      </c>
      <c r="S2106" s="32" t="str">
        <f aca="false">IF(F2106="","",IF(N(O2106)=0,"",IF(O2106&lt;=30,"1-30",IF(O2106&lt;=60,"31-60",IF(O2106&lt;=90,"61-90","90+")))))</f>
        <v/>
      </c>
      <c r="T2106" s="32" t="str">
        <f aca="false">IF(F2106="","",IF(E2106="","Diğer",E2106))</f>
        <v/>
      </c>
      <c r="U2106" s="32" t="str">
        <f aca="false">IF(OR(F2106="",C2106=""),"",IF(COUNTIF($C$2:C2106,C2106)=1,MAX($U$1:U2105)+1,""))</f>
        <v/>
      </c>
    </row>
    <row r="2107" customFormat="false" ht="15" hidden="false" customHeight="false" outlineLevel="0" collapsed="false">
      <c r="A2107" s="34"/>
      <c r="B2107" s="9"/>
      <c r="C2107" s="34"/>
      <c r="D2107" s="34"/>
      <c r="E2107" s="34"/>
      <c r="F2107" s="35"/>
      <c r="G2107" s="9"/>
      <c r="H2107" s="9"/>
      <c r="I2107" s="34"/>
      <c r="J2107" s="30" t="str">
        <f aca="false">IF(F2107="","",G2107-B2107)</f>
        <v/>
      </c>
      <c r="K2107" s="31" t="str">
        <f aca="false">IF(F2107="","",IF(H2107&lt;&gt;"",H2107,MAX('Vade Sapması'!$D$3,G2107)))</f>
        <v/>
      </c>
      <c r="L2107" s="30" t="str">
        <f aca="false">IF(F2107="","",K2107-B2107)</f>
        <v/>
      </c>
      <c r="M2107" s="30" t="str">
        <f aca="false">IF(F2107="","",L2107-J2107)</f>
        <v/>
      </c>
      <c r="N2107" s="32" t="str">
        <f aca="false">IF(F2107="","",IF(H2107&lt;&gt;"","Kapandı",IF('Vade Sapması'!$D$3&gt;G2107,"Açık · vadesi geçti","Açık · vadesi gelmedi")))</f>
        <v/>
      </c>
      <c r="O2107" s="30" t="str">
        <f aca="false">IF(F2107="","",IF(AND(H2107="",'Vade Sapması'!$D$3&gt;G2107),'Vade Sapması'!$D$3-G2107,0))</f>
        <v/>
      </c>
      <c r="P2107" s="33" t="str">
        <f aca="false">IF(F2107="","",F2107*J2107)</f>
        <v/>
      </c>
      <c r="Q2107" s="33" t="str">
        <f aca="false">IF(F2107="","",F2107*L2107)</f>
        <v/>
      </c>
      <c r="R2107" s="33" t="str">
        <f aca="false">IF(F2107="","",IF(H2107="",F2107,0))</f>
        <v/>
      </c>
      <c r="S2107" s="32" t="str">
        <f aca="false">IF(F2107="","",IF(N(O2107)=0,"",IF(O2107&lt;=30,"1-30",IF(O2107&lt;=60,"31-60",IF(O2107&lt;=90,"61-90","90+")))))</f>
        <v/>
      </c>
      <c r="T2107" s="32" t="str">
        <f aca="false">IF(F2107="","",IF(E2107="","Diğer",E2107))</f>
        <v/>
      </c>
      <c r="U2107" s="32" t="str">
        <f aca="false">IF(OR(F2107="",C2107=""),"",IF(COUNTIF($C$2:C2107,C2107)=1,MAX($U$1:U2106)+1,""))</f>
        <v/>
      </c>
    </row>
    <row r="2108" customFormat="false" ht="15" hidden="false" customHeight="false" outlineLevel="0" collapsed="false">
      <c r="A2108" s="34"/>
      <c r="B2108" s="9"/>
      <c r="C2108" s="34"/>
      <c r="D2108" s="34"/>
      <c r="E2108" s="34"/>
      <c r="F2108" s="35"/>
      <c r="G2108" s="9"/>
      <c r="H2108" s="9"/>
      <c r="I2108" s="34"/>
      <c r="J2108" s="30" t="str">
        <f aca="false">IF(F2108="","",G2108-B2108)</f>
        <v/>
      </c>
      <c r="K2108" s="31" t="str">
        <f aca="false">IF(F2108="","",IF(H2108&lt;&gt;"",H2108,MAX('Vade Sapması'!$D$3,G2108)))</f>
        <v/>
      </c>
      <c r="L2108" s="30" t="str">
        <f aca="false">IF(F2108="","",K2108-B2108)</f>
        <v/>
      </c>
      <c r="M2108" s="30" t="str">
        <f aca="false">IF(F2108="","",L2108-J2108)</f>
        <v/>
      </c>
      <c r="N2108" s="32" t="str">
        <f aca="false">IF(F2108="","",IF(H2108&lt;&gt;"","Kapandı",IF('Vade Sapması'!$D$3&gt;G2108,"Açık · vadesi geçti","Açık · vadesi gelmedi")))</f>
        <v/>
      </c>
      <c r="O2108" s="30" t="str">
        <f aca="false">IF(F2108="","",IF(AND(H2108="",'Vade Sapması'!$D$3&gt;G2108),'Vade Sapması'!$D$3-G2108,0))</f>
        <v/>
      </c>
      <c r="P2108" s="33" t="str">
        <f aca="false">IF(F2108="","",F2108*J2108)</f>
        <v/>
      </c>
      <c r="Q2108" s="33" t="str">
        <f aca="false">IF(F2108="","",F2108*L2108)</f>
        <v/>
      </c>
      <c r="R2108" s="33" t="str">
        <f aca="false">IF(F2108="","",IF(H2108="",F2108,0))</f>
        <v/>
      </c>
      <c r="S2108" s="32" t="str">
        <f aca="false">IF(F2108="","",IF(N(O2108)=0,"",IF(O2108&lt;=30,"1-30",IF(O2108&lt;=60,"31-60",IF(O2108&lt;=90,"61-90","90+")))))</f>
        <v/>
      </c>
      <c r="T2108" s="32" t="str">
        <f aca="false">IF(F2108="","",IF(E2108="","Diğer",E2108))</f>
        <v/>
      </c>
      <c r="U2108" s="32" t="str">
        <f aca="false">IF(OR(F2108="",C2108=""),"",IF(COUNTIF($C$2:C2108,C2108)=1,MAX($U$1:U2107)+1,""))</f>
        <v/>
      </c>
    </row>
    <row r="2109" customFormat="false" ht="15" hidden="false" customHeight="false" outlineLevel="0" collapsed="false">
      <c r="A2109" s="34"/>
      <c r="B2109" s="9"/>
      <c r="C2109" s="34"/>
      <c r="D2109" s="34"/>
      <c r="E2109" s="34"/>
      <c r="F2109" s="35"/>
      <c r="G2109" s="9"/>
      <c r="H2109" s="9"/>
      <c r="I2109" s="34"/>
      <c r="J2109" s="30" t="str">
        <f aca="false">IF(F2109="","",G2109-B2109)</f>
        <v/>
      </c>
      <c r="K2109" s="31" t="str">
        <f aca="false">IF(F2109="","",IF(H2109&lt;&gt;"",H2109,MAX('Vade Sapması'!$D$3,G2109)))</f>
        <v/>
      </c>
      <c r="L2109" s="30" t="str">
        <f aca="false">IF(F2109="","",K2109-B2109)</f>
        <v/>
      </c>
      <c r="M2109" s="30" t="str">
        <f aca="false">IF(F2109="","",L2109-J2109)</f>
        <v/>
      </c>
      <c r="N2109" s="32" t="str">
        <f aca="false">IF(F2109="","",IF(H2109&lt;&gt;"","Kapandı",IF('Vade Sapması'!$D$3&gt;G2109,"Açık · vadesi geçti","Açık · vadesi gelmedi")))</f>
        <v/>
      </c>
      <c r="O2109" s="30" t="str">
        <f aca="false">IF(F2109="","",IF(AND(H2109="",'Vade Sapması'!$D$3&gt;G2109),'Vade Sapması'!$D$3-G2109,0))</f>
        <v/>
      </c>
      <c r="P2109" s="33" t="str">
        <f aca="false">IF(F2109="","",F2109*J2109)</f>
        <v/>
      </c>
      <c r="Q2109" s="33" t="str">
        <f aca="false">IF(F2109="","",F2109*L2109)</f>
        <v/>
      </c>
      <c r="R2109" s="33" t="str">
        <f aca="false">IF(F2109="","",IF(H2109="",F2109,0))</f>
        <v/>
      </c>
      <c r="S2109" s="32" t="str">
        <f aca="false">IF(F2109="","",IF(N(O2109)=0,"",IF(O2109&lt;=30,"1-30",IF(O2109&lt;=60,"31-60",IF(O2109&lt;=90,"61-90","90+")))))</f>
        <v/>
      </c>
      <c r="T2109" s="32" t="str">
        <f aca="false">IF(F2109="","",IF(E2109="","Diğer",E2109))</f>
        <v/>
      </c>
      <c r="U2109" s="32" t="str">
        <f aca="false">IF(OR(F2109="",C2109=""),"",IF(COUNTIF($C$2:C2109,C2109)=1,MAX($U$1:U2108)+1,""))</f>
        <v/>
      </c>
    </row>
    <row r="2110" customFormat="false" ht="15" hidden="false" customHeight="false" outlineLevel="0" collapsed="false">
      <c r="A2110" s="34"/>
      <c r="B2110" s="9"/>
      <c r="C2110" s="34"/>
      <c r="D2110" s="34"/>
      <c r="E2110" s="34"/>
      <c r="F2110" s="35"/>
      <c r="G2110" s="9"/>
      <c r="H2110" s="9"/>
      <c r="I2110" s="34"/>
      <c r="J2110" s="30" t="str">
        <f aca="false">IF(F2110="","",G2110-B2110)</f>
        <v/>
      </c>
      <c r="K2110" s="31" t="str">
        <f aca="false">IF(F2110="","",IF(H2110&lt;&gt;"",H2110,MAX('Vade Sapması'!$D$3,G2110)))</f>
        <v/>
      </c>
      <c r="L2110" s="30" t="str">
        <f aca="false">IF(F2110="","",K2110-B2110)</f>
        <v/>
      </c>
      <c r="M2110" s="30" t="str">
        <f aca="false">IF(F2110="","",L2110-J2110)</f>
        <v/>
      </c>
      <c r="N2110" s="32" t="str">
        <f aca="false">IF(F2110="","",IF(H2110&lt;&gt;"","Kapandı",IF('Vade Sapması'!$D$3&gt;G2110,"Açık · vadesi geçti","Açık · vadesi gelmedi")))</f>
        <v/>
      </c>
      <c r="O2110" s="30" t="str">
        <f aca="false">IF(F2110="","",IF(AND(H2110="",'Vade Sapması'!$D$3&gt;G2110),'Vade Sapması'!$D$3-G2110,0))</f>
        <v/>
      </c>
      <c r="P2110" s="33" t="str">
        <f aca="false">IF(F2110="","",F2110*J2110)</f>
        <v/>
      </c>
      <c r="Q2110" s="33" t="str">
        <f aca="false">IF(F2110="","",F2110*L2110)</f>
        <v/>
      </c>
      <c r="R2110" s="33" t="str">
        <f aca="false">IF(F2110="","",IF(H2110="",F2110,0))</f>
        <v/>
      </c>
      <c r="S2110" s="32" t="str">
        <f aca="false">IF(F2110="","",IF(N(O2110)=0,"",IF(O2110&lt;=30,"1-30",IF(O2110&lt;=60,"31-60",IF(O2110&lt;=90,"61-90","90+")))))</f>
        <v/>
      </c>
      <c r="T2110" s="32" t="str">
        <f aca="false">IF(F2110="","",IF(E2110="","Diğer",E2110))</f>
        <v/>
      </c>
      <c r="U2110" s="32" t="str">
        <f aca="false">IF(OR(F2110="",C2110=""),"",IF(COUNTIF($C$2:C2110,C2110)=1,MAX($U$1:U2109)+1,""))</f>
        <v/>
      </c>
    </row>
    <row r="2111" customFormat="false" ht="15" hidden="false" customHeight="false" outlineLevel="0" collapsed="false">
      <c r="A2111" s="34"/>
      <c r="B2111" s="9"/>
      <c r="C2111" s="34"/>
      <c r="D2111" s="34"/>
      <c r="E2111" s="34"/>
      <c r="F2111" s="35"/>
      <c r="G2111" s="9"/>
      <c r="H2111" s="9"/>
      <c r="I2111" s="34"/>
      <c r="J2111" s="30" t="str">
        <f aca="false">IF(F2111="","",G2111-B2111)</f>
        <v/>
      </c>
      <c r="K2111" s="31" t="str">
        <f aca="false">IF(F2111="","",IF(H2111&lt;&gt;"",H2111,MAX('Vade Sapması'!$D$3,G2111)))</f>
        <v/>
      </c>
      <c r="L2111" s="30" t="str">
        <f aca="false">IF(F2111="","",K2111-B2111)</f>
        <v/>
      </c>
      <c r="M2111" s="30" t="str">
        <f aca="false">IF(F2111="","",L2111-J2111)</f>
        <v/>
      </c>
      <c r="N2111" s="32" t="str">
        <f aca="false">IF(F2111="","",IF(H2111&lt;&gt;"","Kapandı",IF('Vade Sapması'!$D$3&gt;G2111,"Açık · vadesi geçti","Açık · vadesi gelmedi")))</f>
        <v/>
      </c>
      <c r="O2111" s="30" t="str">
        <f aca="false">IF(F2111="","",IF(AND(H2111="",'Vade Sapması'!$D$3&gt;G2111),'Vade Sapması'!$D$3-G2111,0))</f>
        <v/>
      </c>
      <c r="P2111" s="33" t="str">
        <f aca="false">IF(F2111="","",F2111*J2111)</f>
        <v/>
      </c>
      <c r="Q2111" s="33" t="str">
        <f aca="false">IF(F2111="","",F2111*L2111)</f>
        <v/>
      </c>
      <c r="R2111" s="33" t="str">
        <f aca="false">IF(F2111="","",IF(H2111="",F2111,0))</f>
        <v/>
      </c>
      <c r="S2111" s="32" t="str">
        <f aca="false">IF(F2111="","",IF(N(O2111)=0,"",IF(O2111&lt;=30,"1-30",IF(O2111&lt;=60,"31-60",IF(O2111&lt;=90,"61-90","90+")))))</f>
        <v/>
      </c>
      <c r="T2111" s="32" t="str">
        <f aca="false">IF(F2111="","",IF(E2111="","Diğer",E2111))</f>
        <v/>
      </c>
      <c r="U2111" s="32" t="str">
        <f aca="false">IF(OR(F2111="",C2111=""),"",IF(COUNTIF($C$2:C2111,C2111)=1,MAX($U$1:U2110)+1,""))</f>
        <v/>
      </c>
    </row>
    <row r="2112" customFormat="false" ht="15" hidden="false" customHeight="false" outlineLevel="0" collapsed="false">
      <c r="A2112" s="34"/>
      <c r="B2112" s="9"/>
      <c r="C2112" s="34"/>
      <c r="D2112" s="34"/>
      <c r="E2112" s="34"/>
      <c r="F2112" s="35"/>
      <c r="G2112" s="9"/>
      <c r="H2112" s="9"/>
      <c r="I2112" s="34"/>
      <c r="J2112" s="30" t="str">
        <f aca="false">IF(F2112="","",G2112-B2112)</f>
        <v/>
      </c>
      <c r="K2112" s="31" t="str">
        <f aca="false">IF(F2112="","",IF(H2112&lt;&gt;"",H2112,MAX('Vade Sapması'!$D$3,G2112)))</f>
        <v/>
      </c>
      <c r="L2112" s="30" t="str">
        <f aca="false">IF(F2112="","",K2112-B2112)</f>
        <v/>
      </c>
      <c r="M2112" s="30" t="str">
        <f aca="false">IF(F2112="","",L2112-J2112)</f>
        <v/>
      </c>
      <c r="N2112" s="32" t="str">
        <f aca="false">IF(F2112="","",IF(H2112&lt;&gt;"","Kapandı",IF('Vade Sapması'!$D$3&gt;G2112,"Açık · vadesi geçti","Açık · vadesi gelmedi")))</f>
        <v/>
      </c>
      <c r="O2112" s="30" t="str">
        <f aca="false">IF(F2112="","",IF(AND(H2112="",'Vade Sapması'!$D$3&gt;G2112),'Vade Sapması'!$D$3-G2112,0))</f>
        <v/>
      </c>
      <c r="P2112" s="33" t="str">
        <f aca="false">IF(F2112="","",F2112*J2112)</f>
        <v/>
      </c>
      <c r="Q2112" s="33" t="str">
        <f aca="false">IF(F2112="","",F2112*L2112)</f>
        <v/>
      </c>
      <c r="R2112" s="33" t="str">
        <f aca="false">IF(F2112="","",IF(H2112="",F2112,0))</f>
        <v/>
      </c>
      <c r="S2112" s="32" t="str">
        <f aca="false">IF(F2112="","",IF(N(O2112)=0,"",IF(O2112&lt;=30,"1-30",IF(O2112&lt;=60,"31-60",IF(O2112&lt;=90,"61-90","90+")))))</f>
        <v/>
      </c>
      <c r="T2112" s="32" t="str">
        <f aca="false">IF(F2112="","",IF(E2112="","Diğer",E2112))</f>
        <v/>
      </c>
      <c r="U2112" s="32" t="str">
        <f aca="false">IF(OR(F2112="",C2112=""),"",IF(COUNTIF($C$2:C2112,C2112)=1,MAX($U$1:U2111)+1,""))</f>
        <v/>
      </c>
    </row>
    <row r="2113" customFormat="false" ht="15" hidden="false" customHeight="false" outlineLevel="0" collapsed="false">
      <c r="A2113" s="34"/>
      <c r="B2113" s="9"/>
      <c r="C2113" s="34"/>
      <c r="D2113" s="34"/>
      <c r="E2113" s="34"/>
      <c r="F2113" s="35"/>
      <c r="G2113" s="9"/>
      <c r="H2113" s="9"/>
      <c r="I2113" s="34"/>
      <c r="J2113" s="30" t="str">
        <f aca="false">IF(F2113="","",G2113-B2113)</f>
        <v/>
      </c>
      <c r="K2113" s="31" t="str">
        <f aca="false">IF(F2113="","",IF(H2113&lt;&gt;"",H2113,MAX('Vade Sapması'!$D$3,G2113)))</f>
        <v/>
      </c>
      <c r="L2113" s="30" t="str">
        <f aca="false">IF(F2113="","",K2113-B2113)</f>
        <v/>
      </c>
      <c r="M2113" s="30" t="str">
        <f aca="false">IF(F2113="","",L2113-J2113)</f>
        <v/>
      </c>
      <c r="N2113" s="32" t="str">
        <f aca="false">IF(F2113="","",IF(H2113&lt;&gt;"","Kapandı",IF('Vade Sapması'!$D$3&gt;G2113,"Açık · vadesi geçti","Açık · vadesi gelmedi")))</f>
        <v/>
      </c>
      <c r="O2113" s="30" t="str">
        <f aca="false">IF(F2113="","",IF(AND(H2113="",'Vade Sapması'!$D$3&gt;G2113),'Vade Sapması'!$D$3-G2113,0))</f>
        <v/>
      </c>
      <c r="P2113" s="33" t="str">
        <f aca="false">IF(F2113="","",F2113*J2113)</f>
        <v/>
      </c>
      <c r="Q2113" s="33" t="str">
        <f aca="false">IF(F2113="","",F2113*L2113)</f>
        <v/>
      </c>
      <c r="R2113" s="33" t="str">
        <f aca="false">IF(F2113="","",IF(H2113="",F2113,0))</f>
        <v/>
      </c>
      <c r="S2113" s="32" t="str">
        <f aca="false">IF(F2113="","",IF(N(O2113)=0,"",IF(O2113&lt;=30,"1-30",IF(O2113&lt;=60,"31-60",IF(O2113&lt;=90,"61-90","90+")))))</f>
        <v/>
      </c>
      <c r="T2113" s="32" t="str">
        <f aca="false">IF(F2113="","",IF(E2113="","Diğer",E2113))</f>
        <v/>
      </c>
      <c r="U2113" s="32" t="str">
        <f aca="false">IF(OR(F2113="",C2113=""),"",IF(COUNTIF($C$2:C2113,C2113)=1,MAX($U$1:U2112)+1,""))</f>
        <v/>
      </c>
    </row>
    <row r="2114" customFormat="false" ht="15" hidden="false" customHeight="false" outlineLevel="0" collapsed="false">
      <c r="A2114" s="34"/>
      <c r="B2114" s="9"/>
      <c r="C2114" s="34"/>
      <c r="D2114" s="34"/>
      <c r="E2114" s="34"/>
      <c r="F2114" s="35"/>
      <c r="G2114" s="9"/>
      <c r="H2114" s="9"/>
      <c r="I2114" s="34"/>
      <c r="J2114" s="30" t="str">
        <f aca="false">IF(F2114="","",G2114-B2114)</f>
        <v/>
      </c>
      <c r="K2114" s="31" t="str">
        <f aca="false">IF(F2114="","",IF(H2114&lt;&gt;"",H2114,MAX('Vade Sapması'!$D$3,G2114)))</f>
        <v/>
      </c>
      <c r="L2114" s="30" t="str">
        <f aca="false">IF(F2114="","",K2114-B2114)</f>
        <v/>
      </c>
      <c r="M2114" s="30" t="str">
        <f aca="false">IF(F2114="","",L2114-J2114)</f>
        <v/>
      </c>
      <c r="N2114" s="32" t="str">
        <f aca="false">IF(F2114="","",IF(H2114&lt;&gt;"","Kapandı",IF('Vade Sapması'!$D$3&gt;G2114,"Açık · vadesi geçti","Açık · vadesi gelmedi")))</f>
        <v/>
      </c>
      <c r="O2114" s="30" t="str">
        <f aca="false">IF(F2114="","",IF(AND(H2114="",'Vade Sapması'!$D$3&gt;G2114),'Vade Sapması'!$D$3-G2114,0))</f>
        <v/>
      </c>
      <c r="P2114" s="33" t="str">
        <f aca="false">IF(F2114="","",F2114*J2114)</f>
        <v/>
      </c>
      <c r="Q2114" s="33" t="str">
        <f aca="false">IF(F2114="","",F2114*L2114)</f>
        <v/>
      </c>
      <c r="R2114" s="33" t="str">
        <f aca="false">IF(F2114="","",IF(H2114="",F2114,0))</f>
        <v/>
      </c>
      <c r="S2114" s="32" t="str">
        <f aca="false">IF(F2114="","",IF(N(O2114)=0,"",IF(O2114&lt;=30,"1-30",IF(O2114&lt;=60,"31-60",IF(O2114&lt;=90,"61-90","90+")))))</f>
        <v/>
      </c>
      <c r="T2114" s="32" t="str">
        <f aca="false">IF(F2114="","",IF(E2114="","Diğer",E2114))</f>
        <v/>
      </c>
      <c r="U2114" s="32" t="str">
        <f aca="false">IF(OR(F2114="",C2114=""),"",IF(COUNTIF($C$2:C2114,C2114)=1,MAX($U$1:U2113)+1,""))</f>
        <v/>
      </c>
    </row>
    <row r="2115" customFormat="false" ht="15" hidden="false" customHeight="false" outlineLevel="0" collapsed="false">
      <c r="A2115" s="34"/>
      <c r="B2115" s="9"/>
      <c r="C2115" s="34"/>
      <c r="D2115" s="34"/>
      <c r="E2115" s="34"/>
      <c r="F2115" s="35"/>
      <c r="G2115" s="9"/>
      <c r="H2115" s="9"/>
      <c r="I2115" s="34"/>
      <c r="J2115" s="30" t="str">
        <f aca="false">IF(F2115="","",G2115-B2115)</f>
        <v/>
      </c>
      <c r="K2115" s="31" t="str">
        <f aca="false">IF(F2115="","",IF(H2115&lt;&gt;"",H2115,MAX('Vade Sapması'!$D$3,G2115)))</f>
        <v/>
      </c>
      <c r="L2115" s="30" t="str">
        <f aca="false">IF(F2115="","",K2115-B2115)</f>
        <v/>
      </c>
      <c r="M2115" s="30" t="str">
        <f aca="false">IF(F2115="","",L2115-J2115)</f>
        <v/>
      </c>
      <c r="N2115" s="32" t="str">
        <f aca="false">IF(F2115="","",IF(H2115&lt;&gt;"","Kapandı",IF('Vade Sapması'!$D$3&gt;G2115,"Açık · vadesi geçti","Açık · vadesi gelmedi")))</f>
        <v/>
      </c>
      <c r="O2115" s="30" t="str">
        <f aca="false">IF(F2115="","",IF(AND(H2115="",'Vade Sapması'!$D$3&gt;G2115),'Vade Sapması'!$D$3-G2115,0))</f>
        <v/>
      </c>
      <c r="P2115" s="33" t="str">
        <f aca="false">IF(F2115="","",F2115*J2115)</f>
        <v/>
      </c>
      <c r="Q2115" s="33" t="str">
        <f aca="false">IF(F2115="","",F2115*L2115)</f>
        <v/>
      </c>
      <c r="R2115" s="33" t="str">
        <f aca="false">IF(F2115="","",IF(H2115="",F2115,0))</f>
        <v/>
      </c>
      <c r="S2115" s="32" t="str">
        <f aca="false">IF(F2115="","",IF(N(O2115)=0,"",IF(O2115&lt;=30,"1-30",IF(O2115&lt;=60,"31-60",IF(O2115&lt;=90,"61-90","90+")))))</f>
        <v/>
      </c>
      <c r="T2115" s="32" t="str">
        <f aca="false">IF(F2115="","",IF(E2115="","Diğer",E2115))</f>
        <v/>
      </c>
      <c r="U2115" s="32" t="str">
        <f aca="false">IF(OR(F2115="",C2115=""),"",IF(COUNTIF($C$2:C2115,C2115)=1,MAX($U$1:U2114)+1,""))</f>
        <v/>
      </c>
    </row>
    <row r="2116" customFormat="false" ht="15" hidden="false" customHeight="false" outlineLevel="0" collapsed="false">
      <c r="A2116" s="34"/>
      <c r="B2116" s="9"/>
      <c r="C2116" s="34"/>
      <c r="D2116" s="34"/>
      <c r="E2116" s="34"/>
      <c r="F2116" s="35"/>
      <c r="G2116" s="9"/>
      <c r="H2116" s="9"/>
      <c r="I2116" s="34"/>
      <c r="J2116" s="30" t="str">
        <f aca="false">IF(F2116="","",G2116-B2116)</f>
        <v/>
      </c>
      <c r="K2116" s="31" t="str">
        <f aca="false">IF(F2116="","",IF(H2116&lt;&gt;"",H2116,MAX('Vade Sapması'!$D$3,G2116)))</f>
        <v/>
      </c>
      <c r="L2116" s="30" t="str">
        <f aca="false">IF(F2116="","",K2116-B2116)</f>
        <v/>
      </c>
      <c r="M2116" s="30" t="str">
        <f aca="false">IF(F2116="","",L2116-J2116)</f>
        <v/>
      </c>
      <c r="N2116" s="32" t="str">
        <f aca="false">IF(F2116="","",IF(H2116&lt;&gt;"","Kapandı",IF('Vade Sapması'!$D$3&gt;G2116,"Açık · vadesi geçti","Açık · vadesi gelmedi")))</f>
        <v/>
      </c>
      <c r="O2116" s="30" t="str">
        <f aca="false">IF(F2116="","",IF(AND(H2116="",'Vade Sapması'!$D$3&gt;G2116),'Vade Sapması'!$D$3-G2116,0))</f>
        <v/>
      </c>
      <c r="P2116" s="33" t="str">
        <f aca="false">IF(F2116="","",F2116*J2116)</f>
        <v/>
      </c>
      <c r="Q2116" s="33" t="str">
        <f aca="false">IF(F2116="","",F2116*L2116)</f>
        <v/>
      </c>
      <c r="R2116" s="33" t="str">
        <f aca="false">IF(F2116="","",IF(H2116="",F2116,0))</f>
        <v/>
      </c>
      <c r="S2116" s="32" t="str">
        <f aca="false">IF(F2116="","",IF(N(O2116)=0,"",IF(O2116&lt;=30,"1-30",IF(O2116&lt;=60,"31-60",IF(O2116&lt;=90,"61-90","90+")))))</f>
        <v/>
      </c>
      <c r="T2116" s="32" t="str">
        <f aca="false">IF(F2116="","",IF(E2116="","Diğer",E2116))</f>
        <v/>
      </c>
      <c r="U2116" s="32" t="str">
        <f aca="false">IF(OR(F2116="",C2116=""),"",IF(COUNTIF($C$2:C2116,C2116)=1,MAX($U$1:U2115)+1,""))</f>
        <v/>
      </c>
    </row>
    <row r="2117" customFormat="false" ht="15" hidden="false" customHeight="false" outlineLevel="0" collapsed="false">
      <c r="A2117" s="34"/>
      <c r="B2117" s="9"/>
      <c r="C2117" s="34"/>
      <c r="D2117" s="34"/>
      <c r="E2117" s="34"/>
      <c r="F2117" s="35"/>
      <c r="G2117" s="9"/>
      <c r="H2117" s="9"/>
      <c r="I2117" s="34"/>
      <c r="J2117" s="30" t="str">
        <f aca="false">IF(F2117="","",G2117-B2117)</f>
        <v/>
      </c>
      <c r="K2117" s="31" t="str">
        <f aca="false">IF(F2117="","",IF(H2117&lt;&gt;"",H2117,MAX('Vade Sapması'!$D$3,G2117)))</f>
        <v/>
      </c>
      <c r="L2117" s="30" t="str">
        <f aca="false">IF(F2117="","",K2117-B2117)</f>
        <v/>
      </c>
      <c r="M2117" s="30" t="str">
        <f aca="false">IF(F2117="","",L2117-J2117)</f>
        <v/>
      </c>
      <c r="N2117" s="32" t="str">
        <f aca="false">IF(F2117="","",IF(H2117&lt;&gt;"","Kapandı",IF('Vade Sapması'!$D$3&gt;G2117,"Açık · vadesi geçti","Açık · vadesi gelmedi")))</f>
        <v/>
      </c>
      <c r="O2117" s="30" t="str">
        <f aca="false">IF(F2117="","",IF(AND(H2117="",'Vade Sapması'!$D$3&gt;G2117),'Vade Sapması'!$D$3-G2117,0))</f>
        <v/>
      </c>
      <c r="P2117" s="33" t="str">
        <f aca="false">IF(F2117="","",F2117*J2117)</f>
        <v/>
      </c>
      <c r="Q2117" s="33" t="str">
        <f aca="false">IF(F2117="","",F2117*L2117)</f>
        <v/>
      </c>
      <c r="R2117" s="33" t="str">
        <f aca="false">IF(F2117="","",IF(H2117="",F2117,0))</f>
        <v/>
      </c>
      <c r="S2117" s="32" t="str">
        <f aca="false">IF(F2117="","",IF(N(O2117)=0,"",IF(O2117&lt;=30,"1-30",IF(O2117&lt;=60,"31-60",IF(O2117&lt;=90,"61-90","90+")))))</f>
        <v/>
      </c>
      <c r="T2117" s="32" t="str">
        <f aca="false">IF(F2117="","",IF(E2117="","Diğer",E2117))</f>
        <v/>
      </c>
      <c r="U2117" s="32" t="str">
        <f aca="false">IF(OR(F2117="",C2117=""),"",IF(COUNTIF($C$2:C2117,C2117)=1,MAX($U$1:U2116)+1,""))</f>
        <v/>
      </c>
    </row>
    <row r="2118" customFormat="false" ht="15" hidden="false" customHeight="false" outlineLevel="0" collapsed="false">
      <c r="A2118" s="34"/>
      <c r="B2118" s="9"/>
      <c r="C2118" s="34"/>
      <c r="D2118" s="34"/>
      <c r="E2118" s="34"/>
      <c r="F2118" s="35"/>
      <c r="G2118" s="9"/>
      <c r="H2118" s="9"/>
      <c r="I2118" s="34"/>
      <c r="J2118" s="30" t="str">
        <f aca="false">IF(F2118="","",G2118-B2118)</f>
        <v/>
      </c>
      <c r="K2118" s="31" t="str">
        <f aca="false">IF(F2118="","",IF(H2118&lt;&gt;"",H2118,MAX('Vade Sapması'!$D$3,G2118)))</f>
        <v/>
      </c>
      <c r="L2118" s="30" t="str">
        <f aca="false">IF(F2118="","",K2118-B2118)</f>
        <v/>
      </c>
      <c r="M2118" s="30" t="str">
        <f aca="false">IF(F2118="","",L2118-J2118)</f>
        <v/>
      </c>
      <c r="N2118" s="32" t="str">
        <f aca="false">IF(F2118="","",IF(H2118&lt;&gt;"","Kapandı",IF('Vade Sapması'!$D$3&gt;G2118,"Açık · vadesi geçti","Açık · vadesi gelmedi")))</f>
        <v/>
      </c>
      <c r="O2118" s="30" t="str">
        <f aca="false">IF(F2118="","",IF(AND(H2118="",'Vade Sapması'!$D$3&gt;G2118),'Vade Sapması'!$D$3-G2118,0))</f>
        <v/>
      </c>
      <c r="P2118" s="33" t="str">
        <f aca="false">IF(F2118="","",F2118*J2118)</f>
        <v/>
      </c>
      <c r="Q2118" s="33" t="str">
        <f aca="false">IF(F2118="","",F2118*L2118)</f>
        <v/>
      </c>
      <c r="R2118" s="33" t="str">
        <f aca="false">IF(F2118="","",IF(H2118="",F2118,0))</f>
        <v/>
      </c>
      <c r="S2118" s="32" t="str">
        <f aca="false">IF(F2118="","",IF(N(O2118)=0,"",IF(O2118&lt;=30,"1-30",IF(O2118&lt;=60,"31-60",IF(O2118&lt;=90,"61-90","90+")))))</f>
        <v/>
      </c>
      <c r="T2118" s="32" t="str">
        <f aca="false">IF(F2118="","",IF(E2118="","Diğer",E2118))</f>
        <v/>
      </c>
      <c r="U2118" s="32" t="str">
        <f aca="false">IF(OR(F2118="",C2118=""),"",IF(COUNTIF($C$2:C2118,C2118)=1,MAX($U$1:U2117)+1,""))</f>
        <v/>
      </c>
    </row>
    <row r="2119" customFormat="false" ht="15" hidden="false" customHeight="false" outlineLevel="0" collapsed="false">
      <c r="A2119" s="34"/>
      <c r="B2119" s="9"/>
      <c r="C2119" s="34"/>
      <c r="D2119" s="34"/>
      <c r="E2119" s="34"/>
      <c r="F2119" s="35"/>
      <c r="G2119" s="9"/>
      <c r="H2119" s="9"/>
      <c r="I2119" s="34"/>
      <c r="J2119" s="30" t="str">
        <f aca="false">IF(F2119="","",G2119-B2119)</f>
        <v/>
      </c>
      <c r="K2119" s="31" t="str">
        <f aca="false">IF(F2119="","",IF(H2119&lt;&gt;"",H2119,MAX('Vade Sapması'!$D$3,G2119)))</f>
        <v/>
      </c>
      <c r="L2119" s="30" t="str">
        <f aca="false">IF(F2119="","",K2119-B2119)</f>
        <v/>
      </c>
      <c r="M2119" s="30" t="str">
        <f aca="false">IF(F2119="","",L2119-J2119)</f>
        <v/>
      </c>
      <c r="N2119" s="32" t="str">
        <f aca="false">IF(F2119="","",IF(H2119&lt;&gt;"","Kapandı",IF('Vade Sapması'!$D$3&gt;G2119,"Açık · vadesi geçti","Açık · vadesi gelmedi")))</f>
        <v/>
      </c>
      <c r="O2119" s="30" t="str">
        <f aca="false">IF(F2119="","",IF(AND(H2119="",'Vade Sapması'!$D$3&gt;G2119),'Vade Sapması'!$D$3-G2119,0))</f>
        <v/>
      </c>
      <c r="P2119" s="33" t="str">
        <f aca="false">IF(F2119="","",F2119*J2119)</f>
        <v/>
      </c>
      <c r="Q2119" s="33" t="str">
        <f aca="false">IF(F2119="","",F2119*L2119)</f>
        <v/>
      </c>
      <c r="R2119" s="33" t="str">
        <f aca="false">IF(F2119="","",IF(H2119="",F2119,0))</f>
        <v/>
      </c>
      <c r="S2119" s="32" t="str">
        <f aca="false">IF(F2119="","",IF(N(O2119)=0,"",IF(O2119&lt;=30,"1-30",IF(O2119&lt;=60,"31-60",IF(O2119&lt;=90,"61-90","90+")))))</f>
        <v/>
      </c>
      <c r="T2119" s="32" t="str">
        <f aca="false">IF(F2119="","",IF(E2119="","Diğer",E2119))</f>
        <v/>
      </c>
      <c r="U2119" s="32" t="str">
        <f aca="false">IF(OR(F2119="",C2119=""),"",IF(COUNTIF($C$2:C2119,C2119)=1,MAX($U$1:U2118)+1,""))</f>
        <v/>
      </c>
    </row>
    <row r="2120" customFormat="false" ht="15" hidden="false" customHeight="false" outlineLevel="0" collapsed="false">
      <c r="A2120" s="34"/>
      <c r="B2120" s="9"/>
      <c r="C2120" s="34"/>
      <c r="D2120" s="34"/>
      <c r="E2120" s="34"/>
      <c r="F2120" s="35"/>
      <c r="G2120" s="9"/>
      <c r="H2120" s="9"/>
      <c r="I2120" s="34"/>
      <c r="J2120" s="30" t="str">
        <f aca="false">IF(F2120="","",G2120-B2120)</f>
        <v/>
      </c>
      <c r="K2120" s="31" t="str">
        <f aca="false">IF(F2120="","",IF(H2120&lt;&gt;"",H2120,MAX('Vade Sapması'!$D$3,G2120)))</f>
        <v/>
      </c>
      <c r="L2120" s="30" t="str">
        <f aca="false">IF(F2120="","",K2120-B2120)</f>
        <v/>
      </c>
      <c r="M2120" s="30" t="str">
        <f aca="false">IF(F2120="","",L2120-J2120)</f>
        <v/>
      </c>
      <c r="N2120" s="32" t="str">
        <f aca="false">IF(F2120="","",IF(H2120&lt;&gt;"","Kapandı",IF('Vade Sapması'!$D$3&gt;G2120,"Açık · vadesi geçti","Açık · vadesi gelmedi")))</f>
        <v/>
      </c>
      <c r="O2120" s="30" t="str">
        <f aca="false">IF(F2120="","",IF(AND(H2120="",'Vade Sapması'!$D$3&gt;G2120),'Vade Sapması'!$D$3-G2120,0))</f>
        <v/>
      </c>
      <c r="P2120" s="33" t="str">
        <f aca="false">IF(F2120="","",F2120*J2120)</f>
        <v/>
      </c>
      <c r="Q2120" s="33" t="str">
        <f aca="false">IF(F2120="","",F2120*L2120)</f>
        <v/>
      </c>
      <c r="R2120" s="33" t="str">
        <f aca="false">IF(F2120="","",IF(H2120="",F2120,0))</f>
        <v/>
      </c>
      <c r="S2120" s="32" t="str">
        <f aca="false">IF(F2120="","",IF(N(O2120)=0,"",IF(O2120&lt;=30,"1-30",IF(O2120&lt;=60,"31-60",IF(O2120&lt;=90,"61-90","90+")))))</f>
        <v/>
      </c>
      <c r="T2120" s="32" t="str">
        <f aca="false">IF(F2120="","",IF(E2120="","Diğer",E2120))</f>
        <v/>
      </c>
      <c r="U2120" s="32" t="str">
        <f aca="false">IF(OR(F2120="",C2120=""),"",IF(COUNTIF($C$2:C2120,C2120)=1,MAX($U$1:U2119)+1,""))</f>
        <v/>
      </c>
    </row>
    <row r="2121" customFormat="false" ht="15" hidden="false" customHeight="false" outlineLevel="0" collapsed="false">
      <c r="A2121" s="34"/>
      <c r="B2121" s="9"/>
      <c r="C2121" s="34"/>
      <c r="D2121" s="34"/>
      <c r="E2121" s="34"/>
      <c r="F2121" s="35"/>
      <c r="G2121" s="9"/>
      <c r="H2121" s="9"/>
      <c r="I2121" s="34"/>
      <c r="J2121" s="30" t="str">
        <f aca="false">IF(F2121="","",G2121-B2121)</f>
        <v/>
      </c>
      <c r="K2121" s="31" t="str">
        <f aca="false">IF(F2121="","",IF(H2121&lt;&gt;"",H2121,MAX('Vade Sapması'!$D$3,G2121)))</f>
        <v/>
      </c>
      <c r="L2121" s="30" t="str">
        <f aca="false">IF(F2121="","",K2121-B2121)</f>
        <v/>
      </c>
      <c r="M2121" s="30" t="str">
        <f aca="false">IF(F2121="","",L2121-J2121)</f>
        <v/>
      </c>
      <c r="N2121" s="32" t="str">
        <f aca="false">IF(F2121="","",IF(H2121&lt;&gt;"","Kapandı",IF('Vade Sapması'!$D$3&gt;G2121,"Açık · vadesi geçti","Açık · vadesi gelmedi")))</f>
        <v/>
      </c>
      <c r="O2121" s="30" t="str">
        <f aca="false">IF(F2121="","",IF(AND(H2121="",'Vade Sapması'!$D$3&gt;G2121),'Vade Sapması'!$D$3-G2121,0))</f>
        <v/>
      </c>
      <c r="P2121" s="33" t="str">
        <f aca="false">IF(F2121="","",F2121*J2121)</f>
        <v/>
      </c>
      <c r="Q2121" s="33" t="str">
        <f aca="false">IF(F2121="","",F2121*L2121)</f>
        <v/>
      </c>
      <c r="R2121" s="33" t="str">
        <f aca="false">IF(F2121="","",IF(H2121="",F2121,0))</f>
        <v/>
      </c>
      <c r="S2121" s="32" t="str">
        <f aca="false">IF(F2121="","",IF(N(O2121)=0,"",IF(O2121&lt;=30,"1-30",IF(O2121&lt;=60,"31-60",IF(O2121&lt;=90,"61-90","90+")))))</f>
        <v/>
      </c>
      <c r="T2121" s="32" t="str">
        <f aca="false">IF(F2121="","",IF(E2121="","Diğer",E2121))</f>
        <v/>
      </c>
      <c r="U2121" s="32" t="str">
        <f aca="false">IF(OR(F2121="",C2121=""),"",IF(COUNTIF($C$2:C2121,C2121)=1,MAX($U$1:U2120)+1,""))</f>
        <v/>
      </c>
    </row>
    <row r="2122" customFormat="false" ht="15" hidden="false" customHeight="false" outlineLevel="0" collapsed="false">
      <c r="A2122" s="34"/>
      <c r="B2122" s="9"/>
      <c r="C2122" s="34"/>
      <c r="D2122" s="34"/>
      <c r="E2122" s="34"/>
      <c r="F2122" s="35"/>
      <c r="G2122" s="9"/>
      <c r="H2122" s="9"/>
      <c r="I2122" s="34"/>
      <c r="J2122" s="30" t="str">
        <f aca="false">IF(F2122="","",G2122-B2122)</f>
        <v/>
      </c>
      <c r="K2122" s="31" t="str">
        <f aca="false">IF(F2122="","",IF(H2122&lt;&gt;"",H2122,MAX('Vade Sapması'!$D$3,G2122)))</f>
        <v/>
      </c>
      <c r="L2122" s="30" t="str">
        <f aca="false">IF(F2122="","",K2122-B2122)</f>
        <v/>
      </c>
      <c r="M2122" s="30" t="str">
        <f aca="false">IF(F2122="","",L2122-J2122)</f>
        <v/>
      </c>
      <c r="N2122" s="32" t="str">
        <f aca="false">IF(F2122="","",IF(H2122&lt;&gt;"","Kapandı",IF('Vade Sapması'!$D$3&gt;G2122,"Açık · vadesi geçti","Açık · vadesi gelmedi")))</f>
        <v/>
      </c>
      <c r="O2122" s="30" t="str">
        <f aca="false">IF(F2122="","",IF(AND(H2122="",'Vade Sapması'!$D$3&gt;G2122),'Vade Sapması'!$D$3-G2122,0))</f>
        <v/>
      </c>
      <c r="P2122" s="33" t="str">
        <f aca="false">IF(F2122="","",F2122*J2122)</f>
        <v/>
      </c>
      <c r="Q2122" s="33" t="str">
        <f aca="false">IF(F2122="","",F2122*L2122)</f>
        <v/>
      </c>
      <c r="R2122" s="33" t="str">
        <f aca="false">IF(F2122="","",IF(H2122="",F2122,0))</f>
        <v/>
      </c>
      <c r="S2122" s="32" t="str">
        <f aca="false">IF(F2122="","",IF(N(O2122)=0,"",IF(O2122&lt;=30,"1-30",IF(O2122&lt;=60,"31-60",IF(O2122&lt;=90,"61-90","90+")))))</f>
        <v/>
      </c>
      <c r="T2122" s="32" t="str">
        <f aca="false">IF(F2122="","",IF(E2122="","Diğer",E2122))</f>
        <v/>
      </c>
      <c r="U2122" s="32" t="str">
        <f aca="false">IF(OR(F2122="",C2122=""),"",IF(COUNTIF($C$2:C2122,C2122)=1,MAX($U$1:U2121)+1,""))</f>
        <v/>
      </c>
    </row>
    <row r="2123" customFormat="false" ht="15" hidden="false" customHeight="false" outlineLevel="0" collapsed="false">
      <c r="A2123" s="34"/>
      <c r="B2123" s="9"/>
      <c r="C2123" s="34"/>
      <c r="D2123" s="34"/>
      <c r="E2123" s="34"/>
      <c r="F2123" s="35"/>
      <c r="G2123" s="9"/>
      <c r="H2123" s="9"/>
      <c r="I2123" s="34"/>
      <c r="J2123" s="30" t="str">
        <f aca="false">IF(F2123="","",G2123-B2123)</f>
        <v/>
      </c>
      <c r="K2123" s="31" t="str">
        <f aca="false">IF(F2123="","",IF(H2123&lt;&gt;"",H2123,MAX('Vade Sapması'!$D$3,G2123)))</f>
        <v/>
      </c>
      <c r="L2123" s="30" t="str">
        <f aca="false">IF(F2123="","",K2123-B2123)</f>
        <v/>
      </c>
      <c r="M2123" s="30" t="str">
        <f aca="false">IF(F2123="","",L2123-J2123)</f>
        <v/>
      </c>
      <c r="N2123" s="32" t="str">
        <f aca="false">IF(F2123="","",IF(H2123&lt;&gt;"","Kapandı",IF('Vade Sapması'!$D$3&gt;G2123,"Açık · vadesi geçti","Açık · vadesi gelmedi")))</f>
        <v/>
      </c>
      <c r="O2123" s="30" t="str">
        <f aca="false">IF(F2123="","",IF(AND(H2123="",'Vade Sapması'!$D$3&gt;G2123),'Vade Sapması'!$D$3-G2123,0))</f>
        <v/>
      </c>
      <c r="P2123" s="33" t="str">
        <f aca="false">IF(F2123="","",F2123*J2123)</f>
        <v/>
      </c>
      <c r="Q2123" s="33" t="str">
        <f aca="false">IF(F2123="","",F2123*L2123)</f>
        <v/>
      </c>
      <c r="R2123" s="33" t="str">
        <f aca="false">IF(F2123="","",IF(H2123="",F2123,0))</f>
        <v/>
      </c>
      <c r="S2123" s="32" t="str">
        <f aca="false">IF(F2123="","",IF(N(O2123)=0,"",IF(O2123&lt;=30,"1-30",IF(O2123&lt;=60,"31-60",IF(O2123&lt;=90,"61-90","90+")))))</f>
        <v/>
      </c>
      <c r="T2123" s="32" t="str">
        <f aca="false">IF(F2123="","",IF(E2123="","Diğer",E2123))</f>
        <v/>
      </c>
      <c r="U2123" s="32" t="str">
        <f aca="false">IF(OR(F2123="",C2123=""),"",IF(COUNTIF($C$2:C2123,C2123)=1,MAX($U$1:U2122)+1,""))</f>
        <v/>
      </c>
    </row>
    <row r="2124" customFormat="false" ht="15" hidden="false" customHeight="false" outlineLevel="0" collapsed="false">
      <c r="A2124" s="34"/>
      <c r="B2124" s="9"/>
      <c r="C2124" s="34"/>
      <c r="D2124" s="34"/>
      <c r="E2124" s="34"/>
      <c r="F2124" s="35"/>
      <c r="G2124" s="9"/>
      <c r="H2124" s="9"/>
      <c r="I2124" s="34"/>
      <c r="J2124" s="30" t="str">
        <f aca="false">IF(F2124="","",G2124-B2124)</f>
        <v/>
      </c>
      <c r="K2124" s="31" t="str">
        <f aca="false">IF(F2124="","",IF(H2124&lt;&gt;"",H2124,MAX('Vade Sapması'!$D$3,G2124)))</f>
        <v/>
      </c>
      <c r="L2124" s="30" t="str">
        <f aca="false">IF(F2124="","",K2124-B2124)</f>
        <v/>
      </c>
      <c r="M2124" s="30" t="str">
        <f aca="false">IF(F2124="","",L2124-J2124)</f>
        <v/>
      </c>
      <c r="N2124" s="32" t="str">
        <f aca="false">IF(F2124="","",IF(H2124&lt;&gt;"","Kapandı",IF('Vade Sapması'!$D$3&gt;G2124,"Açık · vadesi geçti","Açık · vadesi gelmedi")))</f>
        <v/>
      </c>
      <c r="O2124" s="30" t="str">
        <f aca="false">IF(F2124="","",IF(AND(H2124="",'Vade Sapması'!$D$3&gt;G2124),'Vade Sapması'!$D$3-G2124,0))</f>
        <v/>
      </c>
      <c r="P2124" s="33" t="str">
        <f aca="false">IF(F2124="","",F2124*J2124)</f>
        <v/>
      </c>
      <c r="Q2124" s="33" t="str">
        <f aca="false">IF(F2124="","",F2124*L2124)</f>
        <v/>
      </c>
      <c r="R2124" s="33" t="str">
        <f aca="false">IF(F2124="","",IF(H2124="",F2124,0))</f>
        <v/>
      </c>
      <c r="S2124" s="32" t="str">
        <f aca="false">IF(F2124="","",IF(N(O2124)=0,"",IF(O2124&lt;=30,"1-30",IF(O2124&lt;=60,"31-60",IF(O2124&lt;=90,"61-90","90+")))))</f>
        <v/>
      </c>
      <c r="T2124" s="32" t="str">
        <f aca="false">IF(F2124="","",IF(E2124="","Diğer",E2124))</f>
        <v/>
      </c>
      <c r="U2124" s="32" t="str">
        <f aca="false">IF(OR(F2124="",C2124=""),"",IF(COUNTIF($C$2:C2124,C2124)=1,MAX($U$1:U2123)+1,""))</f>
        <v/>
      </c>
    </row>
    <row r="2125" customFormat="false" ht="15" hidden="false" customHeight="false" outlineLevel="0" collapsed="false">
      <c r="A2125" s="34"/>
      <c r="B2125" s="9"/>
      <c r="C2125" s="34"/>
      <c r="D2125" s="34"/>
      <c r="E2125" s="34"/>
      <c r="F2125" s="35"/>
      <c r="G2125" s="9"/>
      <c r="H2125" s="9"/>
      <c r="I2125" s="34"/>
      <c r="J2125" s="30" t="str">
        <f aca="false">IF(F2125="","",G2125-B2125)</f>
        <v/>
      </c>
      <c r="K2125" s="31" t="str">
        <f aca="false">IF(F2125="","",IF(H2125&lt;&gt;"",H2125,MAX('Vade Sapması'!$D$3,G2125)))</f>
        <v/>
      </c>
      <c r="L2125" s="30" t="str">
        <f aca="false">IF(F2125="","",K2125-B2125)</f>
        <v/>
      </c>
      <c r="M2125" s="30" t="str">
        <f aca="false">IF(F2125="","",L2125-J2125)</f>
        <v/>
      </c>
      <c r="N2125" s="32" t="str">
        <f aca="false">IF(F2125="","",IF(H2125&lt;&gt;"","Kapandı",IF('Vade Sapması'!$D$3&gt;G2125,"Açık · vadesi geçti","Açık · vadesi gelmedi")))</f>
        <v/>
      </c>
      <c r="O2125" s="30" t="str">
        <f aca="false">IF(F2125="","",IF(AND(H2125="",'Vade Sapması'!$D$3&gt;G2125),'Vade Sapması'!$D$3-G2125,0))</f>
        <v/>
      </c>
      <c r="P2125" s="33" t="str">
        <f aca="false">IF(F2125="","",F2125*J2125)</f>
        <v/>
      </c>
      <c r="Q2125" s="33" t="str">
        <f aca="false">IF(F2125="","",F2125*L2125)</f>
        <v/>
      </c>
      <c r="R2125" s="33" t="str">
        <f aca="false">IF(F2125="","",IF(H2125="",F2125,0))</f>
        <v/>
      </c>
      <c r="S2125" s="32" t="str">
        <f aca="false">IF(F2125="","",IF(N(O2125)=0,"",IF(O2125&lt;=30,"1-30",IF(O2125&lt;=60,"31-60",IF(O2125&lt;=90,"61-90","90+")))))</f>
        <v/>
      </c>
      <c r="T2125" s="32" t="str">
        <f aca="false">IF(F2125="","",IF(E2125="","Diğer",E2125))</f>
        <v/>
      </c>
      <c r="U2125" s="32" t="str">
        <f aca="false">IF(OR(F2125="",C2125=""),"",IF(COUNTIF($C$2:C2125,C2125)=1,MAX($U$1:U2124)+1,""))</f>
        <v/>
      </c>
    </row>
    <row r="2126" customFormat="false" ht="15" hidden="false" customHeight="false" outlineLevel="0" collapsed="false">
      <c r="A2126" s="34"/>
      <c r="B2126" s="9"/>
      <c r="C2126" s="34"/>
      <c r="D2126" s="34"/>
      <c r="E2126" s="34"/>
      <c r="F2126" s="35"/>
      <c r="G2126" s="9"/>
      <c r="H2126" s="9"/>
      <c r="I2126" s="34"/>
      <c r="J2126" s="30" t="str">
        <f aca="false">IF(F2126="","",G2126-B2126)</f>
        <v/>
      </c>
      <c r="K2126" s="31" t="str">
        <f aca="false">IF(F2126="","",IF(H2126&lt;&gt;"",H2126,MAX('Vade Sapması'!$D$3,G2126)))</f>
        <v/>
      </c>
      <c r="L2126" s="30" t="str">
        <f aca="false">IF(F2126="","",K2126-B2126)</f>
        <v/>
      </c>
      <c r="M2126" s="30" t="str">
        <f aca="false">IF(F2126="","",L2126-J2126)</f>
        <v/>
      </c>
      <c r="N2126" s="32" t="str">
        <f aca="false">IF(F2126="","",IF(H2126&lt;&gt;"","Kapandı",IF('Vade Sapması'!$D$3&gt;G2126,"Açık · vadesi geçti","Açık · vadesi gelmedi")))</f>
        <v/>
      </c>
      <c r="O2126" s="30" t="str">
        <f aca="false">IF(F2126="","",IF(AND(H2126="",'Vade Sapması'!$D$3&gt;G2126),'Vade Sapması'!$D$3-G2126,0))</f>
        <v/>
      </c>
      <c r="P2126" s="33" t="str">
        <f aca="false">IF(F2126="","",F2126*J2126)</f>
        <v/>
      </c>
      <c r="Q2126" s="33" t="str">
        <f aca="false">IF(F2126="","",F2126*L2126)</f>
        <v/>
      </c>
      <c r="R2126" s="33" t="str">
        <f aca="false">IF(F2126="","",IF(H2126="",F2126,0))</f>
        <v/>
      </c>
      <c r="S2126" s="32" t="str">
        <f aca="false">IF(F2126="","",IF(N(O2126)=0,"",IF(O2126&lt;=30,"1-30",IF(O2126&lt;=60,"31-60",IF(O2126&lt;=90,"61-90","90+")))))</f>
        <v/>
      </c>
      <c r="T2126" s="32" t="str">
        <f aca="false">IF(F2126="","",IF(E2126="","Diğer",E2126))</f>
        <v/>
      </c>
      <c r="U2126" s="32" t="str">
        <f aca="false">IF(OR(F2126="",C2126=""),"",IF(COUNTIF($C$2:C2126,C2126)=1,MAX($U$1:U2125)+1,""))</f>
        <v/>
      </c>
    </row>
    <row r="2127" customFormat="false" ht="15" hidden="false" customHeight="false" outlineLevel="0" collapsed="false">
      <c r="A2127" s="34"/>
      <c r="B2127" s="9"/>
      <c r="C2127" s="34"/>
      <c r="D2127" s="34"/>
      <c r="E2127" s="34"/>
      <c r="F2127" s="35"/>
      <c r="G2127" s="9"/>
      <c r="H2127" s="9"/>
      <c r="I2127" s="34"/>
      <c r="J2127" s="30" t="str">
        <f aca="false">IF(F2127="","",G2127-B2127)</f>
        <v/>
      </c>
      <c r="K2127" s="31" t="str">
        <f aca="false">IF(F2127="","",IF(H2127&lt;&gt;"",H2127,MAX('Vade Sapması'!$D$3,G2127)))</f>
        <v/>
      </c>
      <c r="L2127" s="30" t="str">
        <f aca="false">IF(F2127="","",K2127-B2127)</f>
        <v/>
      </c>
      <c r="M2127" s="30" t="str">
        <f aca="false">IF(F2127="","",L2127-J2127)</f>
        <v/>
      </c>
      <c r="N2127" s="32" t="str">
        <f aca="false">IF(F2127="","",IF(H2127&lt;&gt;"","Kapandı",IF('Vade Sapması'!$D$3&gt;G2127,"Açık · vadesi geçti","Açık · vadesi gelmedi")))</f>
        <v/>
      </c>
      <c r="O2127" s="30" t="str">
        <f aca="false">IF(F2127="","",IF(AND(H2127="",'Vade Sapması'!$D$3&gt;G2127),'Vade Sapması'!$D$3-G2127,0))</f>
        <v/>
      </c>
      <c r="P2127" s="33" t="str">
        <f aca="false">IF(F2127="","",F2127*J2127)</f>
        <v/>
      </c>
      <c r="Q2127" s="33" t="str">
        <f aca="false">IF(F2127="","",F2127*L2127)</f>
        <v/>
      </c>
      <c r="R2127" s="33" t="str">
        <f aca="false">IF(F2127="","",IF(H2127="",F2127,0))</f>
        <v/>
      </c>
      <c r="S2127" s="32" t="str">
        <f aca="false">IF(F2127="","",IF(N(O2127)=0,"",IF(O2127&lt;=30,"1-30",IF(O2127&lt;=60,"31-60",IF(O2127&lt;=90,"61-90","90+")))))</f>
        <v/>
      </c>
      <c r="T2127" s="32" t="str">
        <f aca="false">IF(F2127="","",IF(E2127="","Diğer",E2127))</f>
        <v/>
      </c>
      <c r="U2127" s="32" t="str">
        <f aca="false">IF(OR(F2127="",C2127=""),"",IF(COUNTIF($C$2:C2127,C2127)=1,MAX($U$1:U2126)+1,""))</f>
        <v/>
      </c>
    </row>
    <row r="2128" customFormat="false" ht="15" hidden="false" customHeight="false" outlineLevel="0" collapsed="false">
      <c r="A2128" s="34"/>
      <c r="B2128" s="9"/>
      <c r="C2128" s="34"/>
      <c r="D2128" s="34"/>
      <c r="E2128" s="34"/>
      <c r="F2128" s="35"/>
      <c r="G2128" s="9"/>
      <c r="H2128" s="9"/>
      <c r="I2128" s="34"/>
      <c r="J2128" s="30" t="str">
        <f aca="false">IF(F2128="","",G2128-B2128)</f>
        <v/>
      </c>
      <c r="K2128" s="31" t="str">
        <f aca="false">IF(F2128="","",IF(H2128&lt;&gt;"",H2128,MAX('Vade Sapması'!$D$3,G2128)))</f>
        <v/>
      </c>
      <c r="L2128" s="30" t="str">
        <f aca="false">IF(F2128="","",K2128-B2128)</f>
        <v/>
      </c>
      <c r="M2128" s="30" t="str">
        <f aca="false">IF(F2128="","",L2128-J2128)</f>
        <v/>
      </c>
      <c r="N2128" s="32" t="str">
        <f aca="false">IF(F2128="","",IF(H2128&lt;&gt;"","Kapandı",IF('Vade Sapması'!$D$3&gt;G2128,"Açık · vadesi geçti","Açık · vadesi gelmedi")))</f>
        <v/>
      </c>
      <c r="O2128" s="30" t="str">
        <f aca="false">IF(F2128="","",IF(AND(H2128="",'Vade Sapması'!$D$3&gt;G2128),'Vade Sapması'!$D$3-G2128,0))</f>
        <v/>
      </c>
      <c r="P2128" s="33" t="str">
        <f aca="false">IF(F2128="","",F2128*J2128)</f>
        <v/>
      </c>
      <c r="Q2128" s="33" t="str">
        <f aca="false">IF(F2128="","",F2128*L2128)</f>
        <v/>
      </c>
      <c r="R2128" s="33" t="str">
        <f aca="false">IF(F2128="","",IF(H2128="",F2128,0))</f>
        <v/>
      </c>
      <c r="S2128" s="32" t="str">
        <f aca="false">IF(F2128="","",IF(N(O2128)=0,"",IF(O2128&lt;=30,"1-30",IF(O2128&lt;=60,"31-60",IF(O2128&lt;=90,"61-90","90+")))))</f>
        <v/>
      </c>
      <c r="T2128" s="32" t="str">
        <f aca="false">IF(F2128="","",IF(E2128="","Diğer",E2128))</f>
        <v/>
      </c>
      <c r="U2128" s="32" t="str">
        <f aca="false">IF(OR(F2128="",C2128=""),"",IF(COUNTIF($C$2:C2128,C2128)=1,MAX($U$1:U2127)+1,""))</f>
        <v/>
      </c>
    </row>
    <row r="2129" customFormat="false" ht="15" hidden="false" customHeight="false" outlineLevel="0" collapsed="false">
      <c r="A2129" s="34"/>
      <c r="B2129" s="9"/>
      <c r="C2129" s="34"/>
      <c r="D2129" s="34"/>
      <c r="E2129" s="34"/>
      <c r="F2129" s="35"/>
      <c r="G2129" s="9"/>
      <c r="H2129" s="9"/>
      <c r="I2129" s="34"/>
      <c r="J2129" s="30" t="str">
        <f aca="false">IF(F2129="","",G2129-B2129)</f>
        <v/>
      </c>
      <c r="K2129" s="31" t="str">
        <f aca="false">IF(F2129="","",IF(H2129&lt;&gt;"",H2129,MAX('Vade Sapması'!$D$3,G2129)))</f>
        <v/>
      </c>
      <c r="L2129" s="30" t="str">
        <f aca="false">IF(F2129="","",K2129-B2129)</f>
        <v/>
      </c>
      <c r="M2129" s="30" t="str">
        <f aca="false">IF(F2129="","",L2129-J2129)</f>
        <v/>
      </c>
      <c r="N2129" s="32" t="str">
        <f aca="false">IF(F2129="","",IF(H2129&lt;&gt;"","Kapandı",IF('Vade Sapması'!$D$3&gt;G2129,"Açık · vadesi geçti","Açık · vadesi gelmedi")))</f>
        <v/>
      </c>
      <c r="O2129" s="30" t="str">
        <f aca="false">IF(F2129="","",IF(AND(H2129="",'Vade Sapması'!$D$3&gt;G2129),'Vade Sapması'!$D$3-G2129,0))</f>
        <v/>
      </c>
      <c r="P2129" s="33" t="str">
        <f aca="false">IF(F2129="","",F2129*J2129)</f>
        <v/>
      </c>
      <c r="Q2129" s="33" t="str">
        <f aca="false">IF(F2129="","",F2129*L2129)</f>
        <v/>
      </c>
      <c r="R2129" s="33" t="str">
        <f aca="false">IF(F2129="","",IF(H2129="",F2129,0))</f>
        <v/>
      </c>
      <c r="S2129" s="32" t="str">
        <f aca="false">IF(F2129="","",IF(N(O2129)=0,"",IF(O2129&lt;=30,"1-30",IF(O2129&lt;=60,"31-60",IF(O2129&lt;=90,"61-90","90+")))))</f>
        <v/>
      </c>
      <c r="T2129" s="32" t="str">
        <f aca="false">IF(F2129="","",IF(E2129="","Diğer",E2129))</f>
        <v/>
      </c>
      <c r="U2129" s="32" t="str">
        <f aca="false">IF(OR(F2129="",C2129=""),"",IF(COUNTIF($C$2:C2129,C2129)=1,MAX($U$1:U2128)+1,""))</f>
        <v/>
      </c>
    </row>
    <row r="2130" customFormat="false" ht="15" hidden="false" customHeight="false" outlineLevel="0" collapsed="false">
      <c r="A2130" s="34"/>
      <c r="B2130" s="9"/>
      <c r="C2130" s="34"/>
      <c r="D2130" s="34"/>
      <c r="E2130" s="34"/>
      <c r="F2130" s="35"/>
      <c r="G2130" s="9"/>
      <c r="H2130" s="9"/>
      <c r="I2130" s="34"/>
      <c r="J2130" s="30" t="str">
        <f aca="false">IF(F2130="","",G2130-B2130)</f>
        <v/>
      </c>
      <c r="K2130" s="31" t="str">
        <f aca="false">IF(F2130="","",IF(H2130&lt;&gt;"",H2130,MAX('Vade Sapması'!$D$3,G2130)))</f>
        <v/>
      </c>
      <c r="L2130" s="30" t="str">
        <f aca="false">IF(F2130="","",K2130-B2130)</f>
        <v/>
      </c>
      <c r="M2130" s="30" t="str">
        <f aca="false">IF(F2130="","",L2130-J2130)</f>
        <v/>
      </c>
      <c r="N2130" s="32" t="str">
        <f aca="false">IF(F2130="","",IF(H2130&lt;&gt;"","Kapandı",IF('Vade Sapması'!$D$3&gt;G2130,"Açık · vadesi geçti","Açık · vadesi gelmedi")))</f>
        <v/>
      </c>
      <c r="O2130" s="30" t="str">
        <f aca="false">IF(F2130="","",IF(AND(H2130="",'Vade Sapması'!$D$3&gt;G2130),'Vade Sapması'!$D$3-G2130,0))</f>
        <v/>
      </c>
      <c r="P2130" s="33" t="str">
        <f aca="false">IF(F2130="","",F2130*J2130)</f>
        <v/>
      </c>
      <c r="Q2130" s="33" t="str">
        <f aca="false">IF(F2130="","",F2130*L2130)</f>
        <v/>
      </c>
      <c r="R2130" s="33" t="str">
        <f aca="false">IF(F2130="","",IF(H2130="",F2130,0))</f>
        <v/>
      </c>
      <c r="S2130" s="32" t="str">
        <f aca="false">IF(F2130="","",IF(N(O2130)=0,"",IF(O2130&lt;=30,"1-30",IF(O2130&lt;=60,"31-60",IF(O2130&lt;=90,"61-90","90+")))))</f>
        <v/>
      </c>
      <c r="T2130" s="32" t="str">
        <f aca="false">IF(F2130="","",IF(E2130="","Diğer",E2130))</f>
        <v/>
      </c>
      <c r="U2130" s="32" t="str">
        <f aca="false">IF(OR(F2130="",C2130=""),"",IF(COUNTIF($C$2:C2130,C2130)=1,MAX($U$1:U2129)+1,""))</f>
        <v/>
      </c>
    </row>
    <row r="2131" customFormat="false" ht="15" hidden="false" customHeight="false" outlineLevel="0" collapsed="false">
      <c r="A2131" s="34"/>
      <c r="B2131" s="9"/>
      <c r="C2131" s="34"/>
      <c r="D2131" s="34"/>
      <c r="E2131" s="34"/>
      <c r="F2131" s="35"/>
      <c r="G2131" s="9"/>
      <c r="H2131" s="9"/>
      <c r="I2131" s="34"/>
      <c r="J2131" s="30" t="str">
        <f aca="false">IF(F2131="","",G2131-B2131)</f>
        <v/>
      </c>
      <c r="K2131" s="31" t="str">
        <f aca="false">IF(F2131="","",IF(H2131&lt;&gt;"",H2131,MAX('Vade Sapması'!$D$3,G2131)))</f>
        <v/>
      </c>
      <c r="L2131" s="30" t="str">
        <f aca="false">IF(F2131="","",K2131-B2131)</f>
        <v/>
      </c>
      <c r="M2131" s="30" t="str">
        <f aca="false">IF(F2131="","",L2131-J2131)</f>
        <v/>
      </c>
      <c r="N2131" s="32" t="str">
        <f aca="false">IF(F2131="","",IF(H2131&lt;&gt;"","Kapandı",IF('Vade Sapması'!$D$3&gt;G2131,"Açık · vadesi geçti","Açık · vadesi gelmedi")))</f>
        <v/>
      </c>
      <c r="O2131" s="30" t="str">
        <f aca="false">IF(F2131="","",IF(AND(H2131="",'Vade Sapması'!$D$3&gt;G2131),'Vade Sapması'!$D$3-G2131,0))</f>
        <v/>
      </c>
      <c r="P2131" s="33" t="str">
        <f aca="false">IF(F2131="","",F2131*J2131)</f>
        <v/>
      </c>
      <c r="Q2131" s="33" t="str">
        <f aca="false">IF(F2131="","",F2131*L2131)</f>
        <v/>
      </c>
      <c r="R2131" s="33" t="str">
        <f aca="false">IF(F2131="","",IF(H2131="",F2131,0))</f>
        <v/>
      </c>
      <c r="S2131" s="32" t="str">
        <f aca="false">IF(F2131="","",IF(N(O2131)=0,"",IF(O2131&lt;=30,"1-30",IF(O2131&lt;=60,"31-60",IF(O2131&lt;=90,"61-90","90+")))))</f>
        <v/>
      </c>
      <c r="T2131" s="32" t="str">
        <f aca="false">IF(F2131="","",IF(E2131="","Diğer",E2131))</f>
        <v/>
      </c>
      <c r="U2131" s="32" t="str">
        <f aca="false">IF(OR(F2131="",C2131=""),"",IF(COUNTIF($C$2:C2131,C2131)=1,MAX($U$1:U2130)+1,""))</f>
        <v/>
      </c>
    </row>
    <row r="2132" customFormat="false" ht="15" hidden="false" customHeight="false" outlineLevel="0" collapsed="false">
      <c r="A2132" s="34"/>
      <c r="B2132" s="9"/>
      <c r="C2132" s="34"/>
      <c r="D2132" s="34"/>
      <c r="E2132" s="34"/>
      <c r="F2132" s="35"/>
      <c r="G2132" s="9"/>
      <c r="H2132" s="9"/>
      <c r="I2132" s="34"/>
      <c r="J2132" s="30" t="str">
        <f aca="false">IF(F2132="","",G2132-B2132)</f>
        <v/>
      </c>
      <c r="K2132" s="31" t="str">
        <f aca="false">IF(F2132="","",IF(H2132&lt;&gt;"",H2132,MAX('Vade Sapması'!$D$3,G2132)))</f>
        <v/>
      </c>
      <c r="L2132" s="30" t="str">
        <f aca="false">IF(F2132="","",K2132-B2132)</f>
        <v/>
      </c>
      <c r="M2132" s="30" t="str">
        <f aca="false">IF(F2132="","",L2132-J2132)</f>
        <v/>
      </c>
      <c r="N2132" s="32" t="str">
        <f aca="false">IF(F2132="","",IF(H2132&lt;&gt;"","Kapandı",IF('Vade Sapması'!$D$3&gt;G2132,"Açık · vadesi geçti","Açık · vadesi gelmedi")))</f>
        <v/>
      </c>
      <c r="O2132" s="30" t="str">
        <f aca="false">IF(F2132="","",IF(AND(H2132="",'Vade Sapması'!$D$3&gt;G2132),'Vade Sapması'!$D$3-G2132,0))</f>
        <v/>
      </c>
      <c r="P2132" s="33" t="str">
        <f aca="false">IF(F2132="","",F2132*J2132)</f>
        <v/>
      </c>
      <c r="Q2132" s="33" t="str">
        <f aca="false">IF(F2132="","",F2132*L2132)</f>
        <v/>
      </c>
      <c r="R2132" s="33" t="str">
        <f aca="false">IF(F2132="","",IF(H2132="",F2132,0))</f>
        <v/>
      </c>
      <c r="S2132" s="32" t="str">
        <f aca="false">IF(F2132="","",IF(N(O2132)=0,"",IF(O2132&lt;=30,"1-30",IF(O2132&lt;=60,"31-60",IF(O2132&lt;=90,"61-90","90+")))))</f>
        <v/>
      </c>
      <c r="T2132" s="32" t="str">
        <f aca="false">IF(F2132="","",IF(E2132="","Diğer",E2132))</f>
        <v/>
      </c>
      <c r="U2132" s="32" t="str">
        <f aca="false">IF(OR(F2132="",C2132=""),"",IF(COUNTIF($C$2:C2132,C2132)=1,MAX($U$1:U2131)+1,""))</f>
        <v/>
      </c>
    </row>
    <row r="2133" customFormat="false" ht="15" hidden="false" customHeight="false" outlineLevel="0" collapsed="false">
      <c r="A2133" s="34"/>
      <c r="B2133" s="9"/>
      <c r="C2133" s="34"/>
      <c r="D2133" s="34"/>
      <c r="E2133" s="34"/>
      <c r="F2133" s="35"/>
      <c r="G2133" s="9"/>
      <c r="H2133" s="9"/>
      <c r="I2133" s="34"/>
      <c r="J2133" s="30" t="str">
        <f aca="false">IF(F2133="","",G2133-B2133)</f>
        <v/>
      </c>
      <c r="K2133" s="31" t="str">
        <f aca="false">IF(F2133="","",IF(H2133&lt;&gt;"",H2133,MAX('Vade Sapması'!$D$3,G2133)))</f>
        <v/>
      </c>
      <c r="L2133" s="30" t="str">
        <f aca="false">IF(F2133="","",K2133-B2133)</f>
        <v/>
      </c>
      <c r="M2133" s="30" t="str">
        <f aca="false">IF(F2133="","",L2133-J2133)</f>
        <v/>
      </c>
      <c r="N2133" s="32" t="str">
        <f aca="false">IF(F2133="","",IF(H2133&lt;&gt;"","Kapandı",IF('Vade Sapması'!$D$3&gt;G2133,"Açık · vadesi geçti","Açık · vadesi gelmedi")))</f>
        <v/>
      </c>
      <c r="O2133" s="30" t="str">
        <f aca="false">IF(F2133="","",IF(AND(H2133="",'Vade Sapması'!$D$3&gt;G2133),'Vade Sapması'!$D$3-G2133,0))</f>
        <v/>
      </c>
      <c r="P2133" s="33" t="str">
        <f aca="false">IF(F2133="","",F2133*J2133)</f>
        <v/>
      </c>
      <c r="Q2133" s="33" t="str">
        <f aca="false">IF(F2133="","",F2133*L2133)</f>
        <v/>
      </c>
      <c r="R2133" s="33" t="str">
        <f aca="false">IF(F2133="","",IF(H2133="",F2133,0))</f>
        <v/>
      </c>
      <c r="S2133" s="32" t="str">
        <f aca="false">IF(F2133="","",IF(N(O2133)=0,"",IF(O2133&lt;=30,"1-30",IF(O2133&lt;=60,"31-60",IF(O2133&lt;=90,"61-90","90+")))))</f>
        <v/>
      </c>
      <c r="T2133" s="32" t="str">
        <f aca="false">IF(F2133="","",IF(E2133="","Diğer",E2133))</f>
        <v/>
      </c>
      <c r="U2133" s="32" t="str">
        <f aca="false">IF(OR(F2133="",C2133=""),"",IF(COUNTIF($C$2:C2133,C2133)=1,MAX($U$1:U2132)+1,""))</f>
        <v/>
      </c>
    </row>
    <row r="2134" customFormat="false" ht="15" hidden="false" customHeight="false" outlineLevel="0" collapsed="false">
      <c r="A2134" s="34"/>
      <c r="B2134" s="9"/>
      <c r="C2134" s="34"/>
      <c r="D2134" s="34"/>
      <c r="E2134" s="34"/>
      <c r="F2134" s="35"/>
      <c r="G2134" s="9"/>
      <c r="H2134" s="9"/>
      <c r="I2134" s="34"/>
      <c r="J2134" s="30" t="str">
        <f aca="false">IF(F2134="","",G2134-B2134)</f>
        <v/>
      </c>
      <c r="K2134" s="31" t="str">
        <f aca="false">IF(F2134="","",IF(H2134&lt;&gt;"",H2134,MAX('Vade Sapması'!$D$3,G2134)))</f>
        <v/>
      </c>
      <c r="L2134" s="30" t="str">
        <f aca="false">IF(F2134="","",K2134-B2134)</f>
        <v/>
      </c>
      <c r="M2134" s="30" t="str">
        <f aca="false">IF(F2134="","",L2134-J2134)</f>
        <v/>
      </c>
      <c r="N2134" s="32" t="str">
        <f aca="false">IF(F2134="","",IF(H2134&lt;&gt;"","Kapandı",IF('Vade Sapması'!$D$3&gt;G2134,"Açık · vadesi geçti","Açık · vadesi gelmedi")))</f>
        <v/>
      </c>
      <c r="O2134" s="30" t="str">
        <f aca="false">IF(F2134="","",IF(AND(H2134="",'Vade Sapması'!$D$3&gt;G2134),'Vade Sapması'!$D$3-G2134,0))</f>
        <v/>
      </c>
      <c r="P2134" s="33" t="str">
        <f aca="false">IF(F2134="","",F2134*J2134)</f>
        <v/>
      </c>
      <c r="Q2134" s="33" t="str">
        <f aca="false">IF(F2134="","",F2134*L2134)</f>
        <v/>
      </c>
      <c r="R2134" s="33" t="str">
        <f aca="false">IF(F2134="","",IF(H2134="",F2134,0))</f>
        <v/>
      </c>
      <c r="S2134" s="32" t="str">
        <f aca="false">IF(F2134="","",IF(N(O2134)=0,"",IF(O2134&lt;=30,"1-30",IF(O2134&lt;=60,"31-60",IF(O2134&lt;=90,"61-90","90+")))))</f>
        <v/>
      </c>
      <c r="T2134" s="32" t="str">
        <f aca="false">IF(F2134="","",IF(E2134="","Diğer",E2134))</f>
        <v/>
      </c>
      <c r="U2134" s="32" t="str">
        <f aca="false">IF(OR(F2134="",C2134=""),"",IF(COUNTIF($C$2:C2134,C2134)=1,MAX($U$1:U2133)+1,""))</f>
        <v/>
      </c>
    </row>
    <row r="2135" customFormat="false" ht="15" hidden="false" customHeight="false" outlineLevel="0" collapsed="false">
      <c r="A2135" s="34"/>
      <c r="B2135" s="9"/>
      <c r="C2135" s="34"/>
      <c r="D2135" s="34"/>
      <c r="E2135" s="34"/>
      <c r="F2135" s="35"/>
      <c r="G2135" s="9"/>
      <c r="H2135" s="9"/>
      <c r="I2135" s="34"/>
      <c r="J2135" s="30" t="str">
        <f aca="false">IF(F2135="","",G2135-B2135)</f>
        <v/>
      </c>
      <c r="K2135" s="31" t="str">
        <f aca="false">IF(F2135="","",IF(H2135&lt;&gt;"",H2135,MAX('Vade Sapması'!$D$3,G2135)))</f>
        <v/>
      </c>
      <c r="L2135" s="30" t="str">
        <f aca="false">IF(F2135="","",K2135-B2135)</f>
        <v/>
      </c>
      <c r="M2135" s="30" t="str">
        <f aca="false">IF(F2135="","",L2135-J2135)</f>
        <v/>
      </c>
      <c r="N2135" s="32" t="str">
        <f aca="false">IF(F2135="","",IF(H2135&lt;&gt;"","Kapandı",IF('Vade Sapması'!$D$3&gt;G2135,"Açık · vadesi geçti","Açık · vadesi gelmedi")))</f>
        <v/>
      </c>
      <c r="O2135" s="30" t="str">
        <f aca="false">IF(F2135="","",IF(AND(H2135="",'Vade Sapması'!$D$3&gt;G2135),'Vade Sapması'!$D$3-G2135,0))</f>
        <v/>
      </c>
      <c r="P2135" s="33" t="str">
        <f aca="false">IF(F2135="","",F2135*J2135)</f>
        <v/>
      </c>
      <c r="Q2135" s="33" t="str">
        <f aca="false">IF(F2135="","",F2135*L2135)</f>
        <v/>
      </c>
      <c r="R2135" s="33" t="str">
        <f aca="false">IF(F2135="","",IF(H2135="",F2135,0))</f>
        <v/>
      </c>
      <c r="S2135" s="32" t="str">
        <f aca="false">IF(F2135="","",IF(N(O2135)=0,"",IF(O2135&lt;=30,"1-30",IF(O2135&lt;=60,"31-60",IF(O2135&lt;=90,"61-90","90+")))))</f>
        <v/>
      </c>
      <c r="T2135" s="32" t="str">
        <f aca="false">IF(F2135="","",IF(E2135="","Diğer",E2135))</f>
        <v/>
      </c>
      <c r="U2135" s="32" t="str">
        <f aca="false">IF(OR(F2135="",C2135=""),"",IF(COUNTIF($C$2:C2135,C2135)=1,MAX($U$1:U2134)+1,""))</f>
        <v/>
      </c>
    </row>
    <row r="2136" customFormat="false" ht="15" hidden="false" customHeight="false" outlineLevel="0" collapsed="false">
      <c r="A2136" s="34"/>
      <c r="B2136" s="9"/>
      <c r="C2136" s="34"/>
      <c r="D2136" s="34"/>
      <c r="E2136" s="34"/>
      <c r="F2136" s="35"/>
      <c r="G2136" s="9"/>
      <c r="H2136" s="9"/>
      <c r="I2136" s="34"/>
      <c r="J2136" s="30" t="str">
        <f aca="false">IF(F2136="","",G2136-B2136)</f>
        <v/>
      </c>
      <c r="K2136" s="31" t="str">
        <f aca="false">IF(F2136="","",IF(H2136&lt;&gt;"",H2136,MAX('Vade Sapması'!$D$3,G2136)))</f>
        <v/>
      </c>
      <c r="L2136" s="30" t="str">
        <f aca="false">IF(F2136="","",K2136-B2136)</f>
        <v/>
      </c>
      <c r="M2136" s="30" t="str">
        <f aca="false">IF(F2136="","",L2136-J2136)</f>
        <v/>
      </c>
      <c r="N2136" s="32" t="str">
        <f aca="false">IF(F2136="","",IF(H2136&lt;&gt;"","Kapandı",IF('Vade Sapması'!$D$3&gt;G2136,"Açık · vadesi geçti","Açık · vadesi gelmedi")))</f>
        <v/>
      </c>
      <c r="O2136" s="30" t="str">
        <f aca="false">IF(F2136="","",IF(AND(H2136="",'Vade Sapması'!$D$3&gt;G2136),'Vade Sapması'!$D$3-G2136,0))</f>
        <v/>
      </c>
      <c r="P2136" s="33" t="str">
        <f aca="false">IF(F2136="","",F2136*J2136)</f>
        <v/>
      </c>
      <c r="Q2136" s="33" t="str">
        <f aca="false">IF(F2136="","",F2136*L2136)</f>
        <v/>
      </c>
      <c r="R2136" s="33" t="str">
        <f aca="false">IF(F2136="","",IF(H2136="",F2136,0))</f>
        <v/>
      </c>
      <c r="S2136" s="32" t="str">
        <f aca="false">IF(F2136="","",IF(N(O2136)=0,"",IF(O2136&lt;=30,"1-30",IF(O2136&lt;=60,"31-60",IF(O2136&lt;=90,"61-90","90+")))))</f>
        <v/>
      </c>
      <c r="T2136" s="32" t="str">
        <f aca="false">IF(F2136="","",IF(E2136="","Diğer",E2136))</f>
        <v/>
      </c>
      <c r="U2136" s="32" t="str">
        <f aca="false">IF(OR(F2136="",C2136=""),"",IF(COUNTIF($C$2:C2136,C2136)=1,MAX($U$1:U2135)+1,""))</f>
        <v/>
      </c>
    </row>
    <row r="2137" customFormat="false" ht="15" hidden="false" customHeight="false" outlineLevel="0" collapsed="false">
      <c r="A2137" s="34"/>
      <c r="B2137" s="9"/>
      <c r="C2137" s="34"/>
      <c r="D2137" s="34"/>
      <c r="E2137" s="34"/>
      <c r="F2137" s="35"/>
      <c r="G2137" s="9"/>
      <c r="H2137" s="9"/>
      <c r="I2137" s="34"/>
      <c r="J2137" s="30" t="str">
        <f aca="false">IF(F2137="","",G2137-B2137)</f>
        <v/>
      </c>
      <c r="K2137" s="31" t="str">
        <f aca="false">IF(F2137="","",IF(H2137&lt;&gt;"",H2137,MAX('Vade Sapması'!$D$3,G2137)))</f>
        <v/>
      </c>
      <c r="L2137" s="30" t="str">
        <f aca="false">IF(F2137="","",K2137-B2137)</f>
        <v/>
      </c>
      <c r="M2137" s="30" t="str">
        <f aca="false">IF(F2137="","",L2137-J2137)</f>
        <v/>
      </c>
      <c r="N2137" s="32" t="str">
        <f aca="false">IF(F2137="","",IF(H2137&lt;&gt;"","Kapandı",IF('Vade Sapması'!$D$3&gt;G2137,"Açık · vadesi geçti","Açık · vadesi gelmedi")))</f>
        <v/>
      </c>
      <c r="O2137" s="30" t="str">
        <f aca="false">IF(F2137="","",IF(AND(H2137="",'Vade Sapması'!$D$3&gt;G2137),'Vade Sapması'!$D$3-G2137,0))</f>
        <v/>
      </c>
      <c r="P2137" s="33" t="str">
        <f aca="false">IF(F2137="","",F2137*J2137)</f>
        <v/>
      </c>
      <c r="Q2137" s="33" t="str">
        <f aca="false">IF(F2137="","",F2137*L2137)</f>
        <v/>
      </c>
      <c r="R2137" s="33" t="str">
        <f aca="false">IF(F2137="","",IF(H2137="",F2137,0))</f>
        <v/>
      </c>
      <c r="S2137" s="32" t="str">
        <f aca="false">IF(F2137="","",IF(N(O2137)=0,"",IF(O2137&lt;=30,"1-30",IF(O2137&lt;=60,"31-60",IF(O2137&lt;=90,"61-90","90+")))))</f>
        <v/>
      </c>
      <c r="T2137" s="32" t="str">
        <f aca="false">IF(F2137="","",IF(E2137="","Diğer",E2137))</f>
        <v/>
      </c>
      <c r="U2137" s="32" t="str">
        <f aca="false">IF(OR(F2137="",C2137=""),"",IF(COUNTIF($C$2:C2137,C2137)=1,MAX($U$1:U2136)+1,""))</f>
        <v/>
      </c>
    </row>
    <row r="2138" customFormat="false" ht="15" hidden="false" customHeight="false" outlineLevel="0" collapsed="false">
      <c r="A2138" s="34"/>
      <c r="B2138" s="9"/>
      <c r="C2138" s="34"/>
      <c r="D2138" s="34"/>
      <c r="E2138" s="34"/>
      <c r="F2138" s="35"/>
      <c r="G2138" s="9"/>
      <c r="H2138" s="9"/>
      <c r="I2138" s="34"/>
      <c r="J2138" s="30" t="str">
        <f aca="false">IF(F2138="","",G2138-B2138)</f>
        <v/>
      </c>
      <c r="K2138" s="31" t="str">
        <f aca="false">IF(F2138="","",IF(H2138&lt;&gt;"",H2138,MAX('Vade Sapması'!$D$3,G2138)))</f>
        <v/>
      </c>
      <c r="L2138" s="30" t="str">
        <f aca="false">IF(F2138="","",K2138-B2138)</f>
        <v/>
      </c>
      <c r="M2138" s="30" t="str">
        <f aca="false">IF(F2138="","",L2138-J2138)</f>
        <v/>
      </c>
      <c r="N2138" s="32" t="str">
        <f aca="false">IF(F2138="","",IF(H2138&lt;&gt;"","Kapandı",IF('Vade Sapması'!$D$3&gt;G2138,"Açık · vadesi geçti","Açık · vadesi gelmedi")))</f>
        <v/>
      </c>
      <c r="O2138" s="30" t="str">
        <f aca="false">IF(F2138="","",IF(AND(H2138="",'Vade Sapması'!$D$3&gt;G2138),'Vade Sapması'!$D$3-G2138,0))</f>
        <v/>
      </c>
      <c r="P2138" s="33" t="str">
        <f aca="false">IF(F2138="","",F2138*J2138)</f>
        <v/>
      </c>
      <c r="Q2138" s="33" t="str">
        <f aca="false">IF(F2138="","",F2138*L2138)</f>
        <v/>
      </c>
      <c r="R2138" s="33" t="str">
        <f aca="false">IF(F2138="","",IF(H2138="",F2138,0))</f>
        <v/>
      </c>
      <c r="S2138" s="32" t="str">
        <f aca="false">IF(F2138="","",IF(N(O2138)=0,"",IF(O2138&lt;=30,"1-30",IF(O2138&lt;=60,"31-60",IF(O2138&lt;=90,"61-90","90+")))))</f>
        <v/>
      </c>
      <c r="T2138" s="32" t="str">
        <f aca="false">IF(F2138="","",IF(E2138="","Diğer",E2138))</f>
        <v/>
      </c>
      <c r="U2138" s="32" t="str">
        <f aca="false">IF(OR(F2138="",C2138=""),"",IF(COUNTIF($C$2:C2138,C2138)=1,MAX($U$1:U2137)+1,""))</f>
        <v/>
      </c>
    </row>
    <row r="2139" customFormat="false" ht="15" hidden="false" customHeight="false" outlineLevel="0" collapsed="false">
      <c r="A2139" s="34"/>
      <c r="B2139" s="9"/>
      <c r="C2139" s="34"/>
      <c r="D2139" s="34"/>
      <c r="E2139" s="34"/>
      <c r="F2139" s="35"/>
      <c r="G2139" s="9"/>
      <c r="H2139" s="9"/>
      <c r="I2139" s="34"/>
      <c r="J2139" s="30" t="str">
        <f aca="false">IF(F2139="","",G2139-B2139)</f>
        <v/>
      </c>
      <c r="K2139" s="31" t="str">
        <f aca="false">IF(F2139="","",IF(H2139&lt;&gt;"",H2139,MAX('Vade Sapması'!$D$3,G2139)))</f>
        <v/>
      </c>
      <c r="L2139" s="30" t="str">
        <f aca="false">IF(F2139="","",K2139-B2139)</f>
        <v/>
      </c>
      <c r="M2139" s="30" t="str">
        <f aca="false">IF(F2139="","",L2139-J2139)</f>
        <v/>
      </c>
      <c r="N2139" s="32" t="str">
        <f aca="false">IF(F2139="","",IF(H2139&lt;&gt;"","Kapandı",IF('Vade Sapması'!$D$3&gt;G2139,"Açık · vadesi geçti","Açık · vadesi gelmedi")))</f>
        <v/>
      </c>
      <c r="O2139" s="30" t="str">
        <f aca="false">IF(F2139="","",IF(AND(H2139="",'Vade Sapması'!$D$3&gt;G2139),'Vade Sapması'!$D$3-G2139,0))</f>
        <v/>
      </c>
      <c r="P2139" s="33" t="str">
        <f aca="false">IF(F2139="","",F2139*J2139)</f>
        <v/>
      </c>
      <c r="Q2139" s="33" t="str">
        <f aca="false">IF(F2139="","",F2139*L2139)</f>
        <v/>
      </c>
      <c r="R2139" s="33" t="str">
        <f aca="false">IF(F2139="","",IF(H2139="",F2139,0))</f>
        <v/>
      </c>
      <c r="S2139" s="32" t="str">
        <f aca="false">IF(F2139="","",IF(N(O2139)=0,"",IF(O2139&lt;=30,"1-30",IF(O2139&lt;=60,"31-60",IF(O2139&lt;=90,"61-90","90+")))))</f>
        <v/>
      </c>
      <c r="T2139" s="32" t="str">
        <f aca="false">IF(F2139="","",IF(E2139="","Diğer",E2139))</f>
        <v/>
      </c>
      <c r="U2139" s="32" t="str">
        <f aca="false">IF(OR(F2139="",C2139=""),"",IF(COUNTIF($C$2:C2139,C2139)=1,MAX($U$1:U2138)+1,""))</f>
        <v/>
      </c>
    </row>
    <row r="2140" customFormat="false" ht="15" hidden="false" customHeight="false" outlineLevel="0" collapsed="false">
      <c r="A2140" s="34"/>
      <c r="B2140" s="9"/>
      <c r="C2140" s="34"/>
      <c r="D2140" s="34"/>
      <c r="E2140" s="34"/>
      <c r="F2140" s="35"/>
      <c r="G2140" s="9"/>
      <c r="H2140" s="9"/>
      <c r="I2140" s="34"/>
      <c r="J2140" s="30" t="str">
        <f aca="false">IF(F2140="","",G2140-B2140)</f>
        <v/>
      </c>
      <c r="K2140" s="31" t="str">
        <f aca="false">IF(F2140="","",IF(H2140&lt;&gt;"",H2140,MAX('Vade Sapması'!$D$3,G2140)))</f>
        <v/>
      </c>
      <c r="L2140" s="30" t="str">
        <f aca="false">IF(F2140="","",K2140-B2140)</f>
        <v/>
      </c>
      <c r="M2140" s="30" t="str">
        <f aca="false">IF(F2140="","",L2140-J2140)</f>
        <v/>
      </c>
      <c r="N2140" s="32" t="str">
        <f aca="false">IF(F2140="","",IF(H2140&lt;&gt;"","Kapandı",IF('Vade Sapması'!$D$3&gt;G2140,"Açık · vadesi geçti","Açık · vadesi gelmedi")))</f>
        <v/>
      </c>
      <c r="O2140" s="30" t="str">
        <f aca="false">IF(F2140="","",IF(AND(H2140="",'Vade Sapması'!$D$3&gt;G2140),'Vade Sapması'!$D$3-G2140,0))</f>
        <v/>
      </c>
      <c r="P2140" s="33" t="str">
        <f aca="false">IF(F2140="","",F2140*J2140)</f>
        <v/>
      </c>
      <c r="Q2140" s="33" t="str">
        <f aca="false">IF(F2140="","",F2140*L2140)</f>
        <v/>
      </c>
      <c r="R2140" s="33" t="str">
        <f aca="false">IF(F2140="","",IF(H2140="",F2140,0))</f>
        <v/>
      </c>
      <c r="S2140" s="32" t="str">
        <f aca="false">IF(F2140="","",IF(N(O2140)=0,"",IF(O2140&lt;=30,"1-30",IF(O2140&lt;=60,"31-60",IF(O2140&lt;=90,"61-90","90+")))))</f>
        <v/>
      </c>
      <c r="T2140" s="32" t="str">
        <f aca="false">IF(F2140="","",IF(E2140="","Diğer",E2140))</f>
        <v/>
      </c>
      <c r="U2140" s="32" t="str">
        <f aca="false">IF(OR(F2140="",C2140=""),"",IF(COUNTIF($C$2:C2140,C2140)=1,MAX($U$1:U2139)+1,""))</f>
        <v/>
      </c>
    </row>
    <row r="2141" customFormat="false" ht="15" hidden="false" customHeight="false" outlineLevel="0" collapsed="false">
      <c r="A2141" s="34"/>
      <c r="B2141" s="9"/>
      <c r="C2141" s="34"/>
      <c r="D2141" s="34"/>
      <c r="E2141" s="34"/>
      <c r="F2141" s="35"/>
      <c r="G2141" s="9"/>
      <c r="H2141" s="9"/>
      <c r="I2141" s="34"/>
      <c r="J2141" s="30" t="str">
        <f aca="false">IF(F2141="","",G2141-B2141)</f>
        <v/>
      </c>
      <c r="K2141" s="31" t="str">
        <f aca="false">IF(F2141="","",IF(H2141&lt;&gt;"",H2141,MAX('Vade Sapması'!$D$3,G2141)))</f>
        <v/>
      </c>
      <c r="L2141" s="30" t="str">
        <f aca="false">IF(F2141="","",K2141-B2141)</f>
        <v/>
      </c>
      <c r="M2141" s="30" t="str">
        <f aca="false">IF(F2141="","",L2141-J2141)</f>
        <v/>
      </c>
      <c r="N2141" s="32" t="str">
        <f aca="false">IF(F2141="","",IF(H2141&lt;&gt;"","Kapandı",IF('Vade Sapması'!$D$3&gt;G2141,"Açık · vadesi geçti","Açık · vadesi gelmedi")))</f>
        <v/>
      </c>
      <c r="O2141" s="30" t="str">
        <f aca="false">IF(F2141="","",IF(AND(H2141="",'Vade Sapması'!$D$3&gt;G2141),'Vade Sapması'!$D$3-G2141,0))</f>
        <v/>
      </c>
      <c r="P2141" s="33" t="str">
        <f aca="false">IF(F2141="","",F2141*J2141)</f>
        <v/>
      </c>
      <c r="Q2141" s="33" t="str">
        <f aca="false">IF(F2141="","",F2141*L2141)</f>
        <v/>
      </c>
      <c r="R2141" s="33" t="str">
        <f aca="false">IF(F2141="","",IF(H2141="",F2141,0))</f>
        <v/>
      </c>
      <c r="S2141" s="32" t="str">
        <f aca="false">IF(F2141="","",IF(N(O2141)=0,"",IF(O2141&lt;=30,"1-30",IF(O2141&lt;=60,"31-60",IF(O2141&lt;=90,"61-90","90+")))))</f>
        <v/>
      </c>
      <c r="T2141" s="32" t="str">
        <f aca="false">IF(F2141="","",IF(E2141="","Diğer",E2141))</f>
        <v/>
      </c>
      <c r="U2141" s="32" t="str">
        <f aca="false">IF(OR(F2141="",C2141=""),"",IF(COUNTIF($C$2:C2141,C2141)=1,MAX($U$1:U2140)+1,""))</f>
        <v/>
      </c>
    </row>
    <row r="2142" customFormat="false" ht="15" hidden="false" customHeight="false" outlineLevel="0" collapsed="false">
      <c r="A2142" s="34"/>
      <c r="B2142" s="9"/>
      <c r="C2142" s="34"/>
      <c r="D2142" s="34"/>
      <c r="E2142" s="34"/>
      <c r="F2142" s="35"/>
      <c r="G2142" s="9"/>
      <c r="H2142" s="9"/>
      <c r="I2142" s="34"/>
      <c r="J2142" s="30" t="str">
        <f aca="false">IF(F2142="","",G2142-B2142)</f>
        <v/>
      </c>
      <c r="K2142" s="31" t="str">
        <f aca="false">IF(F2142="","",IF(H2142&lt;&gt;"",H2142,MAX('Vade Sapması'!$D$3,G2142)))</f>
        <v/>
      </c>
      <c r="L2142" s="30" t="str">
        <f aca="false">IF(F2142="","",K2142-B2142)</f>
        <v/>
      </c>
      <c r="M2142" s="30" t="str">
        <f aca="false">IF(F2142="","",L2142-J2142)</f>
        <v/>
      </c>
      <c r="N2142" s="32" t="str">
        <f aca="false">IF(F2142="","",IF(H2142&lt;&gt;"","Kapandı",IF('Vade Sapması'!$D$3&gt;G2142,"Açık · vadesi geçti","Açık · vadesi gelmedi")))</f>
        <v/>
      </c>
      <c r="O2142" s="30" t="str">
        <f aca="false">IF(F2142="","",IF(AND(H2142="",'Vade Sapması'!$D$3&gt;G2142),'Vade Sapması'!$D$3-G2142,0))</f>
        <v/>
      </c>
      <c r="P2142" s="33" t="str">
        <f aca="false">IF(F2142="","",F2142*J2142)</f>
        <v/>
      </c>
      <c r="Q2142" s="33" t="str">
        <f aca="false">IF(F2142="","",F2142*L2142)</f>
        <v/>
      </c>
      <c r="R2142" s="33" t="str">
        <f aca="false">IF(F2142="","",IF(H2142="",F2142,0))</f>
        <v/>
      </c>
      <c r="S2142" s="32" t="str">
        <f aca="false">IF(F2142="","",IF(N(O2142)=0,"",IF(O2142&lt;=30,"1-30",IF(O2142&lt;=60,"31-60",IF(O2142&lt;=90,"61-90","90+")))))</f>
        <v/>
      </c>
      <c r="T2142" s="32" t="str">
        <f aca="false">IF(F2142="","",IF(E2142="","Diğer",E2142))</f>
        <v/>
      </c>
      <c r="U2142" s="32" t="str">
        <f aca="false">IF(OR(F2142="",C2142=""),"",IF(COUNTIF($C$2:C2142,C2142)=1,MAX($U$1:U2141)+1,""))</f>
        <v/>
      </c>
    </row>
    <row r="2143" customFormat="false" ht="15" hidden="false" customHeight="false" outlineLevel="0" collapsed="false">
      <c r="A2143" s="34"/>
      <c r="B2143" s="9"/>
      <c r="C2143" s="34"/>
      <c r="D2143" s="34"/>
      <c r="E2143" s="34"/>
      <c r="F2143" s="35"/>
      <c r="G2143" s="9"/>
      <c r="H2143" s="9"/>
      <c r="I2143" s="34"/>
      <c r="J2143" s="30" t="str">
        <f aca="false">IF(F2143="","",G2143-B2143)</f>
        <v/>
      </c>
      <c r="K2143" s="31" t="str">
        <f aca="false">IF(F2143="","",IF(H2143&lt;&gt;"",H2143,MAX('Vade Sapması'!$D$3,G2143)))</f>
        <v/>
      </c>
      <c r="L2143" s="30" t="str">
        <f aca="false">IF(F2143="","",K2143-B2143)</f>
        <v/>
      </c>
      <c r="M2143" s="30" t="str">
        <f aca="false">IF(F2143="","",L2143-J2143)</f>
        <v/>
      </c>
      <c r="N2143" s="32" t="str">
        <f aca="false">IF(F2143="","",IF(H2143&lt;&gt;"","Kapandı",IF('Vade Sapması'!$D$3&gt;G2143,"Açık · vadesi geçti","Açık · vadesi gelmedi")))</f>
        <v/>
      </c>
      <c r="O2143" s="30" t="str">
        <f aca="false">IF(F2143="","",IF(AND(H2143="",'Vade Sapması'!$D$3&gt;G2143),'Vade Sapması'!$D$3-G2143,0))</f>
        <v/>
      </c>
      <c r="P2143" s="33" t="str">
        <f aca="false">IF(F2143="","",F2143*J2143)</f>
        <v/>
      </c>
      <c r="Q2143" s="33" t="str">
        <f aca="false">IF(F2143="","",F2143*L2143)</f>
        <v/>
      </c>
      <c r="R2143" s="33" t="str">
        <f aca="false">IF(F2143="","",IF(H2143="",F2143,0))</f>
        <v/>
      </c>
      <c r="S2143" s="32" t="str">
        <f aca="false">IF(F2143="","",IF(N(O2143)=0,"",IF(O2143&lt;=30,"1-30",IF(O2143&lt;=60,"31-60",IF(O2143&lt;=90,"61-90","90+")))))</f>
        <v/>
      </c>
      <c r="T2143" s="32" t="str">
        <f aca="false">IF(F2143="","",IF(E2143="","Diğer",E2143))</f>
        <v/>
      </c>
      <c r="U2143" s="32" t="str">
        <f aca="false">IF(OR(F2143="",C2143=""),"",IF(COUNTIF($C$2:C2143,C2143)=1,MAX($U$1:U2142)+1,""))</f>
        <v/>
      </c>
    </row>
    <row r="2144" customFormat="false" ht="15" hidden="false" customHeight="false" outlineLevel="0" collapsed="false">
      <c r="A2144" s="34"/>
      <c r="B2144" s="9"/>
      <c r="C2144" s="34"/>
      <c r="D2144" s="34"/>
      <c r="E2144" s="34"/>
      <c r="F2144" s="35"/>
      <c r="G2144" s="9"/>
      <c r="H2144" s="9"/>
      <c r="I2144" s="34"/>
      <c r="J2144" s="30" t="str">
        <f aca="false">IF(F2144="","",G2144-B2144)</f>
        <v/>
      </c>
      <c r="K2144" s="31" t="str">
        <f aca="false">IF(F2144="","",IF(H2144&lt;&gt;"",H2144,MAX('Vade Sapması'!$D$3,G2144)))</f>
        <v/>
      </c>
      <c r="L2144" s="30" t="str">
        <f aca="false">IF(F2144="","",K2144-B2144)</f>
        <v/>
      </c>
      <c r="M2144" s="30" t="str">
        <f aca="false">IF(F2144="","",L2144-J2144)</f>
        <v/>
      </c>
      <c r="N2144" s="32" t="str">
        <f aca="false">IF(F2144="","",IF(H2144&lt;&gt;"","Kapandı",IF('Vade Sapması'!$D$3&gt;G2144,"Açık · vadesi geçti","Açık · vadesi gelmedi")))</f>
        <v/>
      </c>
      <c r="O2144" s="30" t="str">
        <f aca="false">IF(F2144="","",IF(AND(H2144="",'Vade Sapması'!$D$3&gt;G2144),'Vade Sapması'!$D$3-G2144,0))</f>
        <v/>
      </c>
      <c r="P2144" s="33" t="str">
        <f aca="false">IF(F2144="","",F2144*J2144)</f>
        <v/>
      </c>
      <c r="Q2144" s="33" t="str">
        <f aca="false">IF(F2144="","",F2144*L2144)</f>
        <v/>
      </c>
      <c r="R2144" s="33" t="str">
        <f aca="false">IF(F2144="","",IF(H2144="",F2144,0))</f>
        <v/>
      </c>
      <c r="S2144" s="32" t="str">
        <f aca="false">IF(F2144="","",IF(N(O2144)=0,"",IF(O2144&lt;=30,"1-30",IF(O2144&lt;=60,"31-60",IF(O2144&lt;=90,"61-90","90+")))))</f>
        <v/>
      </c>
      <c r="T2144" s="32" t="str">
        <f aca="false">IF(F2144="","",IF(E2144="","Diğer",E2144))</f>
        <v/>
      </c>
      <c r="U2144" s="32" t="str">
        <f aca="false">IF(OR(F2144="",C2144=""),"",IF(COUNTIF($C$2:C2144,C2144)=1,MAX($U$1:U2143)+1,""))</f>
        <v/>
      </c>
    </row>
    <row r="2145" customFormat="false" ht="15" hidden="false" customHeight="false" outlineLevel="0" collapsed="false">
      <c r="A2145" s="34"/>
      <c r="B2145" s="9"/>
      <c r="C2145" s="34"/>
      <c r="D2145" s="34"/>
      <c r="E2145" s="34"/>
      <c r="F2145" s="35"/>
      <c r="G2145" s="9"/>
      <c r="H2145" s="9"/>
      <c r="I2145" s="34"/>
      <c r="J2145" s="30" t="str">
        <f aca="false">IF(F2145="","",G2145-B2145)</f>
        <v/>
      </c>
      <c r="K2145" s="31" t="str">
        <f aca="false">IF(F2145="","",IF(H2145&lt;&gt;"",H2145,MAX('Vade Sapması'!$D$3,G2145)))</f>
        <v/>
      </c>
      <c r="L2145" s="30" t="str">
        <f aca="false">IF(F2145="","",K2145-B2145)</f>
        <v/>
      </c>
      <c r="M2145" s="30" t="str">
        <f aca="false">IF(F2145="","",L2145-J2145)</f>
        <v/>
      </c>
      <c r="N2145" s="32" t="str">
        <f aca="false">IF(F2145="","",IF(H2145&lt;&gt;"","Kapandı",IF('Vade Sapması'!$D$3&gt;G2145,"Açık · vadesi geçti","Açık · vadesi gelmedi")))</f>
        <v/>
      </c>
      <c r="O2145" s="30" t="str">
        <f aca="false">IF(F2145="","",IF(AND(H2145="",'Vade Sapması'!$D$3&gt;G2145),'Vade Sapması'!$D$3-G2145,0))</f>
        <v/>
      </c>
      <c r="P2145" s="33" t="str">
        <f aca="false">IF(F2145="","",F2145*J2145)</f>
        <v/>
      </c>
      <c r="Q2145" s="33" t="str">
        <f aca="false">IF(F2145="","",F2145*L2145)</f>
        <v/>
      </c>
      <c r="R2145" s="33" t="str">
        <f aca="false">IF(F2145="","",IF(H2145="",F2145,0))</f>
        <v/>
      </c>
      <c r="S2145" s="32" t="str">
        <f aca="false">IF(F2145="","",IF(N(O2145)=0,"",IF(O2145&lt;=30,"1-30",IF(O2145&lt;=60,"31-60",IF(O2145&lt;=90,"61-90","90+")))))</f>
        <v/>
      </c>
      <c r="T2145" s="32" t="str">
        <f aca="false">IF(F2145="","",IF(E2145="","Diğer",E2145))</f>
        <v/>
      </c>
      <c r="U2145" s="32" t="str">
        <f aca="false">IF(OR(F2145="",C2145=""),"",IF(COUNTIF($C$2:C2145,C2145)=1,MAX($U$1:U2144)+1,""))</f>
        <v/>
      </c>
    </row>
    <row r="2146" customFormat="false" ht="15" hidden="false" customHeight="false" outlineLevel="0" collapsed="false">
      <c r="A2146" s="34"/>
      <c r="B2146" s="9"/>
      <c r="C2146" s="34"/>
      <c r="D2146" s="34"/>
      <c r="E2146" s="34"/>
      <c r="F2146" s="35"/>
      <c r="G2146" s="9"/>
      <c r="H2146" s="9"/>
      <c r="I2146" s="34"/>
      <c r="J2146" s="30" t="str">
        <f aca="false">IF(F2146="","",G2146-B2146)</f>
        <v/>
      </c>
      <c r="K2146" s="31" t="str">
        <f aca="false">IF(F2146="","",IF(H2146&lt;&gt;"",H2146,MAX('Vade Sapması'!$D$3,G2146)))</f>
        <v/>
      </c>
      <c r="L2146" s="30" t="str">
        <f aca="false">IF(F2146="","",K2146-B2146)</f>
        <v/>
      </c>
      <c r="M2146" s="30" t="str">
        <f aca="false">IF(F2146="","",L2146-J2146)</f>
        <v/>
      </c>
      <c r="N2146" s="32" t="str">
        <f aca="false">IF(F2146="","",IF(H2146&lt;&gt;"","Kapandı",IF('Vade Sapması'!$D$3&gt;G2146,"Açık · vadesi geçti","Açık · vadesi gelmedi")))</f>
        <v/>
      </c>
      <c r="O2146" s="30" t="str">
        <f aca="false">IF(F2146="","",IF(AND(H2146="",'Vade Sapması'!$D$3&gt;G2146),'Vade Sapması'!$D$3-G2146,0))</f>
        <v/>
      </c>
      <c r="P2146" s="33" t="str">
        <f aca="false">IF(F2146="","",F2146*J2146)</f>
        <v/>
      </c>
      <c r="Q2146" s="33" t="str">
        <f aca="false">IF(F2146="","",F2146*L2146)</f>
        <v/>
      </c>
      <c r="R2146" s="33" t="str">
        <f aca="false">IF(F2146="","",IF(H2146="",F2146,0))</f>
        <v/>
      </c>
      <c r="S2146" s="32" t="str">
        <f aca="false">IF(F2146="","",IF(N(O2146)=0,"",IF(O2146&lt;=30,"1-30",IF(O2146&lt;=60,"31-60",IF(O2146&lt;=90,"61-90","90+")))))</f>
        <v/>
      </c>
      <c r="T2146" s="32" t="str">
        <f aca="false">IF(F2146="","",IF(E2146="","Diğer",E2146))</f>
        <v/>
      </c>
      <c r="U2146" s="32" t="str">
        <f aca="false">IF(OR(F2146="",C2146=""),"",IF(COUNTIF($C$2:C2146,C2146)=1,MAX($U$1:U2145)+1,""))</f>
        <v/>
      </c>
    </row>
    <row r="2147" customFormat="false" ht="15" hidden="false" customHeight="false" outlineLevel="0" collapsed="false">
      <c r="A2147" s="34"/>
      <c r="B2147" s="9"/>
      <c r="C2147" s="34"/>
      <c r="D2147" s="34"/>
      <c r="E2147" s="34"/>
      <c r="F2147" s="35"/>
      <c r="G2147" s="9"/>
      <c r="H2147" s="9"/>
      <c r="I2147" s="34"/>
      <c r="J2147" s="30" t="str">
        <f aca="false">IF(F2147="","",G2147-B2147)</f>
        <v/>
      </c>
      <c r="K2147" s="31" t="str">
        <f aca="false">IF(F2147="","",IF(H2147&lt;&gt;"",H2147,MAX('Vade Sapması'!$D$3,G2147)))</f>
        <v/>
      </c>
      <c r="L2147" s="30" t="str">
        <f aca="false">IF(F2147="","",K2147-B2147)</f>
        <v/>
      </c>
      <c r="M2147" s="30" t="str">
        <f aca="false">IF(F2147="","",L2147-J2147)</f>
        <v/>
      </c>
      <c r="N2147" s="32" t="str">
        <f aca="false">IF(F2147="","",IF(H2147&lt;&gt;"","Kapandı",IF('Vade Sapması'!$D$3&gt;G2147,"Açık · vadesi geçti","Açık · vadesi gelmedi")))</f>
        <v/>
      </c>
      <c r="O2147" s="30" t="str">
        <f aca="false">IF(F2147="","",IF(AND(H2147="",'Vade Sapması'!$D$3&gt;G2147),'Vade Sapması'!$D$3-G2147,0))</f>
        <v/>
      </c>
      <c r="P2147" s="33" t="str">
        <f aca="false">IF(F2147="","",F2147*J2147)</f>
        <v/>
      </c>
      <c r="Q2147" s="33" t="str">
        <f aca="false">IF(F2147="","",F2147*L2147)</f>
        <v/>
      </c>
      <c r="R2147" s="33" t="str">
        <f aca="false">IF(F2147="","",IF(H2147="",F2147,0))</f>
        <v/>
      </c>
      <c r="S2147" s="32" t="str">
        <f aca="false">IF(F2147="","",IF(N(O2147)=0,"",IF(O2147&lt;=30,"1-30",IF(O2147&lt;=60,"31-60",IF(O2147&lt;=90,"61-90","90+")))))</f>
        <v/>
      </c>
      <c r="T2147" s="32" t="str">
        <f aca="false">IF(F2147="","",IF(E2147="","Diğer",E2147))</f>
        <v/>
      </c>
      <c r="U2147" s="32" t="str">
        <f aca="false">IF(OR(F2147="",C2147=""),"",IF(COUNTIF($C$2:C2147,C2147)=1,MAX($U$1:U2146)+1,""))</f>
        <v/>
      </c>
    </row>
    <row r="2148" customFormat="false" ht="15" hidden="false" customHeight="false" outlineLevel="0" collapsed="false">
      <c r="A2148" s="34"/>
      <c r="B2148" s="9"/>
      <c r="C2148" s="34"/>
      <c r="D2148" s="34"/>
      <c r="E2148" s="34"/>
      <c r="F2148" s="35"/>
      <c r="G2148" s="9"/>
      <c r="H2148" s="9"/>
      <c r="I2148" s="34"/>
      <c r="J2148" s="30" t="str">
        <f aca="false">IF(F2148="","",G2148-B2148)</f>
        <v/>
      </c>
      <c r="K2148" s="31" t="str">
        <f aca="false">IF(F2148="","",IF(H2148&lt;&gt;"",H2148,MAX('Vade Sapması'!$D$3,G2148)))</f>
        <v/>
      </c>
      <c r="L2148" s="30" t="str">
        <f aca="false">IF(F2148="","",K2148-B2148)</f>
        <v/>
      </c>
      <c r="M2148" s="30" t="str">
        <f aca="false">IF(F2148="","",L2148-J2148)</f>
        <v/>
      </c>
      <c r="N2148" s="32" t="str">
        <f aca="false">IF(F2148="","",IF(H2148&lt;&gt;"","Kapandı",IF('Vade Sapması'!$D$3&gt;G2148,"Açık · vadesi geçti","Açık · vadesi gelmedi")))</f>
        <v/>
      </c>
      <c r="O2148" s="30" t="str">
        <f aca="false">IF(F2148="","",IF(AND(H2148="",'Vade Sapması'!$D$3&gt;G2148),'Vade Sapması'!$D$3-G2148,0))</f>
        <v/>
      </c>
      <c r="P2148" s="33" t="str">
        <f aca="false">IF(F2148="","",F2148*J2148)</f>
        <v/>
      </c>
      <c r="Q2148" s="33" t="str">
        <f aca="false">IF(F2148="","",F2148*L2148)</f>
        <v/>
      </c>
      <c r="R2148" s="33" t="str">
        <f aca="false">IF(F2148="","",IF(H2148="",F2148,0))</f>
        <v/>
      </c>
      <c r="S2148" s="32" t="str">
        <f aca="false">IF(F2148="","",IF(N(O2148)=0,"",IF(O2148&lt;=30,"1-30",IF(O2148&lt;=60,"31-60",IF(O2148&lt;=90,"61-90","90+")))))</f>
        <v/>
      </c>
      <c r="T2148" s="32" t="str">
        <f aca="false">IF(F2148="","",IF(E2148="","Diğer",E2148))</f>
        <v/>
      </c>
      <c r="U2148" s="32" t="str">
        <f aca="false">IF(OR(F2148="",C2148=""),"",IF(COUNTIF($C$2:C2148,C2148)=1,MAX($U$1:U2147)+1,""))</f>
        <v/>
      </c>
    </row>
    <row r="2149" customFormat="false" ht="15" hidden="false" customHeight="false" outlineLevel="0" collapsed="false">
      <c r="A2149" s="34"/>
      <c r="B2149" s="9"/>
      <c r="C2149" s="34"/>
      <c r="D2149" s="34"/>
      <c r="E2149" s="34"/>
      <c r="F2149" s="35"/>
      <c r="G2149" s="9"/>
      <c r="H2149" s="9"/>
      <c r="I2149" s="34"/>
      <c r="J2149" s="30" t="str">
        <f aca="false">IF(F2149="","",G2149-B2149)</f>
        <v/>
      </c>
      <c r="K2149" s="31" t="str">
        <f aca="false">IF(F2149="","",IF(H2149&lt;&gt;"",H2149,MAX('Vade Sapması'!$D$3,G2149)))</f>
        <v/>
      </c>
      <c r="L2149" s="30" t="str">
        <f aca="false">IF(F2149="","",K2149-B2149)</f>
        <v/>
      </c>
      <c r="M2149" s="30" t="str">
        <f aca="false">IF(F2149="","",L2149-J2149)</f>
        <v/>
      </c>
      <c r="N2149" s="32" t="str">
        <f aca="false">IF(F2149="","",IF(H2149&lt;&gt;"","Kapandı",IF('Vade Sapması'!$D$3&gt;G2149,"Açık · vadesi geçti","Açık · vadesi gelmedi")))</f>
        <v/>
      </c>
      <c r="O2149" s="30" t="str">
        <f aca="false">IF(F2149="","",IF(AND(H2149="",'Vade Sapması'!$D$3&gt;G2149),'Vade Sapması'!$D$3-G2149,0))</f>
        <v/>
      </c>
      <c r="P2149" s="33" t="str">
        <f aca="false">IF(F2149="","",F2149*J2149)</f>
        <v/>
      </c>
      <c r="Q2149" s="33" t="str">
        <f aca="false">IF(F2149="","",F2149*L2149)</f>
        <v/>
      </c>
      <c r="R2149" s="33" t="str">
        <f aca="false">IF(F2149="","",IF(H2149="",F2149,0))</f>
        <v/>
      </c>
      <c r="S2149" s="32" t="str">
        <f aca="false">IF(F2149="","",IF(N(O2149)=0,"",IF(O2149&lt;=30,"1-30",IF(O2149&lt;=60,"31-60",IF(O2149&lt;=90,"61-90","90+")))))</f>
        <v/>
      </c>
      <c r="T2149" s="32" t="str">
        <f aca="false">IF(F2149="","",IF(E2149="","Diğer",E2149))</f>
        <v/>
      </c>
      <c r="U2149" s="32" t="str">
        <f aca="false">IF(OR(F2149="",C2149=""),"",IF(COUNTIF($C$2:C2149,C2149)=1,MAX($U$1:U2148)+1,""))</f>
        <v/>
      </c>
    </row>
    <row r="2150" customFormat="false" ht="15" hidden="false" customHeight="false" outlineLevel="0" collapsed="false">
      <c r="A2150" s="34"/>
      <c r="B2150" s="9"/>
      <c r="C2150" s="34"/>
      <c r="D2150" s="34"/>
      <c r="E2150" s="34"/>
      <c r="F2150" s="35"/>
      <c r="G2150" s="9"/>
      <c r="H2150" s="9"/>
      <c r="I2150" s="34"/>
      <c r="J2150" s="30" t="str">
        <f aca="false">IF(F2150="","",G2150-B2150)</f>
        <v/>
      </c>
      <c r="K2150" s="31" t="str">
        <f aca="false">IF(F2150="","",IF(H2150&lt;&gt;"",H2150,MAX('Vade Sapması'!$D$3,G2150)))</f>
        <v/>
      </c>
      <c r="L2150" s="30" t="str">
        <f aca="false">IF(F2150="","",K2150-B2150)</f>
        <v/>
      </c>
      <c r="M2150" s="30" t="str">
        <f aca="false">IF(F2150="","",L2150-J2150)</f>
        <v/>
      </c>
      <c r="N2150" s="32" t="str">
        <f aca="false">IF(F2150="","",IF(H2150&lt;&gt;"","Kapandı",IF('Vade Sapması'!$D$3&gt;G2150,"Açık · vadesi geçti","Açık · vadesi gelmedi")))</f>
        <v/>
      </c>
      <c r="O2150" s="30" t="str">
        <f aca="false">IF(F2150="","",IF(AND(H2150="",'Vade Sapması'!$D$3&gt;G2150),'Vade Sapması'!$D$3-G2150,0))</f>
        <v/>
      </c>
      <c r="P2150" s="33" t="str">
        <f aca="false">IF(F2150="","",F2150*J2150)</f>
        <v/>
      </c>
      <c r="Q2150" s="33" t="str">
        <f aca="false">IF(F2150="","",F2150*L2150)</f>
        <v/>
      </c>
      <c r="R2150" s="33" t="str">
        <f aca="false">IF(F2150="","",IF(H2150="",F2150,0))</f>
        <v/>
      </c>
      <c r="S2150" s="32" t="str">
        <f aca="false">IF(F2150="","",IF(N(O2150)=0,"",IF(O2150&lt;=30,"1-30",IF(O2150&lt;=60,"31-60",IF(O2150&lt;=90,"61-90","90+")))))</f>
        <v/>
      </c>
      <c r="T2150" s="32" t="str">
        <f aca="false">IF(F2150="","",IF(E2150="","Diğer",E2150))</f>
        <v/>
      </c>
      <c r="U2150" s="32" t="str">
        <f aca="false">IF(OR(F2150="",C2150=""),"",IF(COUNTIF($C$2:C2150,C2150)=1,MAX($U$1:U2149)+1,""))</f>
        <v/>
      </c>
    </row>
    <row r="2151" customFormat="false" ht="15" hidden="false" customHeight="false" outlineLevel="0" collapsed="false">
      <c r="A2151" s="34"/>
      <c r="B2151" s="9"/>
      <c r="C2151" s="34"/>
      <c r="D2151" s="34"/>
      <c r="E2151" s="34"/>
      <c r="F2151" s="35"/>
      <c r="G2151" s="9"/>
      <c r="H2151" s="9"/>
      <c r="I2151" s="34"/>
      <c r="J2151" s="30" t="str">
        <f aca="false">IF(F2151="","",G2151-B2151)</f>
        <v/>
      </c>
      <c r="K2151" s="31" t="str">
        <f aca="false">IF(F2151="","",IF(H2151&lt;&gt;"",H2151,MAX('Vade Sapması'!$D$3,G2151)))</f>
        <v/>
      </c>
      <c r="L2151" s="30" t="str">
        <f aca="false">IF(F2151="","",K2151-B2151)</f>
        <v/>
      </c>
      <c r="M2151" s="30" t="str">
        <f aca="false">IF(F2151="","",L2151-J2151)</f>
        <v/>
      </c>
      <c r="N2151" s="32" t="str">
        <f aca="false">IF(F2151="","",IF(H2151&lt;&gt;"","Kapandı",IF('Vade Sapması'!$D$3&gt;G2151,"Açık · vadesi geçti","Açık · vadesi gelmedi")))</f>
        <v/>
      </c>
      <c r="O2151" s="30" t="str">
        <f aca="false">IF(F2151="","",IF(AND(H2151="",'Vade Sapması'!$D$3&gt;G2151),'Vade Sapması'!$D$3-G2151,0))</f>
        <v/>
      </c>
      <c r="P2151" s="33" t="str">
        <f aca="false">IF(F2151="","",F2151*J2151)</f>
        <v/>
      </c>
      <c r="Q2151" s="33" t="str">
        <f aca="false">IF(F2151="","",F2151*L2151)</f>
        <v/>
      </c>
      <c r="R2151" s="33" t="str">
        <f aca="false">IF(F2151="","",IF(H2151="",F2151,0))</f>
        <v/>
      </c>
      <c r="S2151" s="32" t="str">
        <f aca="false">IF(F2151="","",IF(N(O2151)=0,"",IF(O2151&lt;=30,"1-30",IF(O2151&lt;=60,"31-60",IF(O2151&lt;=90,"61-90","90+")))))</f>
        <v/>
      </c>
      <c r="T2151" s="32" t="str">
        <f aca="false">IF(F2151="","",IF(E2151="","Diğer",E2151))</f>
        <v/>
      </c>
      <c r="U2151" s="32" t="str">
        <f aca="false">IF(OR(F2151="",C2151=""),"",IF(COUNTIF($C$2:C2151,C2151)=1,MAX($U$1:U2150)+1,""))</f>
        <v/>
      </c>
    </row>
    <row r="2152" customFormat="false" ht="15" hidden="false" customHeight="false" outlineLevel="0" collapsed="false">
      <c r="A2152" s="34"/>
      <c r="B2152" s="9"/>
      <c r="C2152" s="34"/>
      <c r="D2152" s="34"/>
      <c r="E2152" s="34"/>
      <c r="F2152" s="35"/>
      <c r="G2152" s="9"/>
      <c r="H2152" s="9"/>
      <c r="I2152" s="34"/>
      <c r="J2152" s="30" t="str">
        <f aca="false">IF(F2152="","",G2152-B2152)</f>
        <v/>
      </c>
      <c r="K2152" s="31" t="str">
        <f aca="false">IF(F2152="","",IF(H2152&lt;&gt;"",H2152,MAX('Vade Sapması'!$D$3,G2152)))</f>
        <v/>
      </c>
      <c r="L2152" s="30" t="str">
        <f aca="false">IF(F2152="","",K2152-B2152)</f>
        <v/>
      </c>
      <c r="M2152" s="30" t="str">
        <f aca="false">IF(F2152="","",L2152-J2152)</f>
        <v/>
      </c>
      <c r="N2152" s="32" t="str">
        <f aca="false">IF(F2152="","",IF(H2152&lt;&gt;"","Kapandı",IF('Vade Sapması'!$D$3&gt;G2152,"Açık · vadesi geçti","Açık · vadesi gelmedi")))</f>
        <v/>
      </c>
      <c r="O2152" s="30" t="str">
        <f aca="false">IF(F2152="","",IF(AND(H2152="",'Vade Sapması'!$D$3&gt;G2152),'Vade Sapması'!$D$3-G2152,0))</f>
        <v/>
      </c>
      <c r="P2152" s="33" t="str">
        <f aca="false">IF(F2152="","",F2152*J2152)</f>
        <v/>
      </c>
      <c r="Q2152" s="33" t="str">
        <f aca="false">IF(F2152="","",F2152*L2152)</f>
        <v/>
      </c>
      <c r="R2152" s="33" t="str">
        <f aca="false">IF(F2152="","",IF(H2152="",F2152,0))</f>
        <v/>
      </c>
      <c r="S2152" s="32" t="str">
        <f aca="false">IF(F2152="","",IF(N(O2152)=0,"",IF(O2152&lt;=30,"1-30",IF(O2152&lt;=60,"31-60",IF(O2152&lt;=90,"61-90","90+")))))</f>
        <v/>
      </c>
      <c r="T2152" s="32" t="str">
        <f aca="false">IF(F2152="","",IF(E2152="","Diğer",E2152))</f>
        <v/>
      </c>
      <c r="U2152" s="32" t="str">
        <f aca="false">IF(OR(F2152="",C2152=""),"",IF(COUNTIF($C$2:C2152,C2152)=1,MAX($U$1:U2151)+1,""))</f>
        <v/>
      </c>
    </row>
    <row r="2153" customFormat="false" ht="15" hidden="false" customHeight="false" outlineLevel="0" collapsed="false">
      <c r="A2153" s="34"/>
      <c r="B2153" s="9"/>
      <c r="C2153" s="34"/>
      <c r="D2153" s="34"/>
      <c r="E2153" s="34"/>
      <c r="F2153" s="35"/>
      <c r="G2153" s="9"/>
      <c r="H2153" s="9"/>
      <c r="I2153" s="34"/>
      <c r="J2153" s="30" t="str">
        <f aca="false">IF(F2153="","",G2153-B2153)</f>
        <v/>
      </c>
      <c r="K2153" s="31" t="str">
        <f aca="false">IF(F2153="","",IF(H2153&lt;&gt;"",H2153,MAX('Vade Sapması'!$D$3,G2153)))</f>
        <v/>
      </c>
      <c r="L2153" s="30" t="str">
        <f aca="false">IF(F2153="","",K2153-B2153)</f>
        <v/>
      </c>
      <c r="M2153" s="30" t="str">
        <f aca="false">IF(F2153="","",L2153-J2153)</f>
        <v/>
      </c>
      <c r="N2153" s="32" t="str">
        <f aca="false">IF(F2153="","",IF(H2153&lt;&gt;"","Kapandı",IF('Vade Sapması'!$D$3&gt;G2153,"Açık · vadesi geçti","Açık · vadesi gelmedi")))</f>
        <v/>
      </c>
      <c r="O2153" s="30" t="str">
        <f aca="false">IF(F2153="","",IF(AND(H2153="",'Vade Sapması'!$D$3&gt;G2153),'Vade Sapması'!$D$3-G2153,0))</f>
        <v/>
      </c>
      <c r="P2153" s="33" t="str">
        <f aca="false">IF(F2153="","",F2153*J2153)</f>
        <v/>
      </c>
      <c r="Q2153" s="33" t="str">
        <f aca="false">IF(F2153="","",F2153*L2153)</f>
        <v/>
      </c>
      <c r="R2153" s="33" t="str">
        <f aca="false">IF(F2153="","",IF(H2153="",F2153,0))</f>
        <v/>
      </c>
      <c r="S2153" s="32" t="str">
        <f aca="false">IF(F2153="","",IF(N(O2153)=0,"",IF(O2153&lt;=30,"1-30",IF(O2153&lt;=60,"31-60",IF(O2153&lt;=90,"61-90","90+")))))</f>
        <v/>
      </c>
      <c r="T2153" s="32" t="str">
        <f aca="false">IF(F2153="","",IF(E2153="","Diğer",E2153))</f>
        <v/>
      </c>
      <c r="U2153" s="32" t="str">
        <f aca="false">IF(OR(F2153="",C2153=""),"",IF(COUNTIF($C$2:C2153,C2153)=1,MAX($U$1:U2152)+1,""))</f>
        <v/>
      </c>
    </row>
    <row r="2154" customFormat="false" ht="15" hidden="false" customHeight="false" outlineLevel="0" collapsed="false">
      <c r="A2154" s="34"/>
      <c r="B2154" s="9"/>
      <c r="C2154" s="34"/>
      <c r="D2154" s="34"/>
      <c r="E2154" s="34"/>
      <c r="F2154" s="35"/>
      <c r="G2154" s="9"/>
      <c r="H2154" s="9"/>
      <c r="I2154" s="34"/>
      <c r="J2154" s="30" t="str">
        <f aca="false">IF(F2154="","",G2154-B2154)</f>
        <v/>
      </c>
      <c r="K2154" s="31" t="str">
        <f aca="false">IF(F2154="","",IF(H2154&lt;&gt;"",H2154,MAX('Vade Sapması'!$D$3,G2154)))</f>
        <v/>
      </c>
      <c r="L2154" s="30" t="str">
        <f aca="false">IF(F2154="","",K2154-B2154)</f>
        <v/>
      </c>
      <c r="M2154" s="30" t="str">
        <f aca="false">IF(F2154="","",L2154-J2154)</f>
        <v/>
      </c>
      <c r="N2154" s="32" t="str">
        <f aca="false">IF(F2154="","",IF(H2154&lt;&gt;"","Kapandı",IF('Vade Sapması'!$D$3&gt;G2154,"Açık · vadesi geçti","Açık · vadesi gelmedi")))</f>
        <v/>
      </c>
      <c r="O2154" s="30" t="str">
        <f aca="false">IF(F2154="","",IF(AND(H2154="",'Vade Sapması'!$D$3&gt;G2154),'Vade Sapması'!$D$3-G2154,0))</f>
        <v/>
      </c>
      <c r="P2154" s="33" t="str">
        <f aca="false">IF(F2154="","",F2154*J2154)</f>
        <v/>
      </c>
      <c r="Q2154" s="33" t="str">
        <f aca="false">IF(F2154="","",F2154*L2154)</f>
        <v/>
      </c>
      <c r="R2154" s="33" t="str">
        <f aca="false">IF(F2154="","",IF(H2154="",F2154,0))</f>
        <v/>
      </c>
      <c r="S2154" s="32" t="str">
        <f aca="false">IF(F2154="","",IF(N(O2154)=0,"",IF(O2154&lt;=30,"1-30",IF(O2154&lt;=60,"31-60",IF(O2154&lt;=90,"61-90","90+")))))</f>
        <v/>
      </c>
      <c r="T2154" s="32" t="str">
        <f aca="false">IF(F2154="","",IF(E2154="","Diğer",E2154))</f>
        <v/>
      </c>
      <c r="U2154" s="32" t="str">
        <f aca="false">IF(OR(F2154="",C2154=""),"",IF(COUNTIF($C$2:C2154,C2154)=1,MAX($U$1:U2153)+1,""))</f>
        <v/>
      </c>
    </row>
    <row r="2155" customFormat="false" ht="15" hidden="false" customHeight="false" outlineLevel="0" collapsed="false">
      <c r="A2155" s="34"/>
      <c r="B2155" s="9"/>
      <c r="C2155" s="34"/>
      <c r="D2155" s="34"/>
      <c r="E2155" s="34"/>
      <c r="F2155" s="35"/>
      <c r="G2155" s="9"/>
      <c r="H2155" s="9"/>
      <c r="I2155" s="34"/>
      <c r="J2155" s="30" t="str">
        <f aca="false">IF(F2155="","",G2155-B2155)</f>
        <v/>
      </c>
      <c r="K2155" s="31" t="str">
        <f aca="false">IF(F2155="","",IF(H2155&lt;&gt;"",H2155,MAX('Vade Sapması'!$D$3,G2155)))</f>
        <v/>
      </c>
      <c r="L2155" s="30" t="str">
        <f aca="false">IF(F2155="","",K2155-B2155)</f>
        <v/>
      </c>
      <c r="M2155" s="30" t="str">
        <f aca="false">IF(F2155="","",L2155-J2155)</f>
        <v/>
      </c>
      <c r="N2155" s="32" t="str">
        <f aca="false">IF(F2155="","",IF(H2155&lt;&gt;"","Kapandı",IF('Vade Sapması'!$D$3&gt;G2155,"Açık · vadesi geçti","Açık · vadesi gelmedi")))</f>
        <v/>
      </c>
      <c r="O2155" s="30" t="str">
        <f aca="false">IF(F2155="","",IF(AND(H2155="",'Vade Sapması'!$D$3&gt;G2155),'Vade Sapması'!$D$3-G2155,0))</f>
        <v/>
      </c>
      <c r="P2155" s="33" t="str">
        <f aca="false">IF(F2155="","",F2155*J2155)</f>
        <v/>
      </c>
      <c r="Q2155" s="33" t="str">
        <f aca="false">IF(F2155="","",F2155*L2155)</f>
        <v/>
      </c>
      <c r="R2155" s="33" t="str">
        <f aca="false">IF(F2155="","",IF(H2155="",F2155,0))</f>
        <v/>
      </c>
      <c r="S2155" s="32" t="str">
        <f aca="false">IF(F2155="","",IF(N(O2155)=0,"",IF(O2155&lt;=30,"1-30",IF(O2155&lt;=60,"31-60",IF(O2155&lt;=90,"61-90","90+")))))</f>
        <v/>
      </c>
      <c r="T2155" s="32" t="str">
        <f aca="false">IF(F2155="","",IF(E2155="","Diğer",E2155))</f>
        <v/>
      </c>
      <c r="U2155" s="32" t="str">
        <f aca="false">IF(OR(F2155="",C2155=""),"",IF(COUNTIF($C$2:C2155,C2155)=1,MAX($U$1:U2154)+1,""))</f>
        <v/>
      </c>
    </row>
    <row r="2156" customFormat="false" ht="15" hidden="false" customHeight="false" outlineLevel="0" collapsed="false">
      <c r="A2156" s="34"/>
      <c r="B2156" s="9"/>
      <c r="C2156" s="34"/>
      <c r="D2156" s="34"/>
      <c r="E2156" s="34"/>
      <c r="F2156" s="35"/>
      <c r="G2156" s="9"/>
      <c r="H2156" s="9"/>
      <c r="I2156" s="34"/>
      <c r="J2156" s="30" t="str">
        <f aca="false">IF(F2156="","",G2156-B2156)</f>
        <v/>
      </c>
      <c r="K2156" s="31" t="str">
        <f aca="false">IF(F2156="","",IF(H2156&lt;&gt;"",H2156,MAX('Vade Sapması'!$D$3,G2156)))</f>
        <v/>
      </c>
      <c r="L2156" s="30" t="str">
        <f aca="false">IF(F2156="","",K2156-B2156)</f>
        <v/>
      </c>
      <c r="M2156" s="30" t="str">
        <f aca="false">IF(F2156="","",L2156-J2156)</f>
        <v/>
      </c>
      <c r="N2156" s="32" t="str">
        <f aca="false">IF(F2156="","",IF(H2156&lt;&gt;"","Kapandı",IF('Vade Sapması'!$D$3&gt;G2156,"Açık · vadesi geçti","Açık · vadesi gelmedi")))</f>
        <v/>
      </c>
      <c r="O2156" s="30" t="str">
        <f aca="false">IF(F2156="","",IF(AND(H2156="",'Vade Sapması'!$D$3&gt;G2156),'Vade Sapması'!$D$3-G2156,0))</f>
        <v/>
      </c>
      <c r="P2156" s="33" t="str">
        <f aca="false">IF(F2156="","",F2156*J2156)</f>
        <v/>
      </c>
      <c r="Q2156" s="33" t="str">
        <f aca="false">IF(F2156="","",F2156*L2156)</f>
        <v/>
      </c>
      <c r="R2156" s="33" t="str">
        <f aca="false">IF(F2156="","",IF(H2156="",F2156,0))</f>
        <v/>
      </c>
      <c r="S2156" s="32" t="str">
        <f aca="false">IF(F2156="","",IF(N(O2156)=0,"",IF(O2156&lt;=30,"1-30",IF(O2156&lt;=60,"31-60",IF(O2156&lt;=90,"61-90","90+")))))</f>
        <v/>
      </c>
      <c r="T2156" s="32" t="str">
        <f aca="false">IF(F2156="","",IF(E2156="","Diğer",E2156))</f>
        <v/>
      </c>
      <c r="U2156" s="32" t="str">
        <f aca="false">IF(OR(F2156="",C2156=""),"",IF(COUNTIF($C$2:C2156,C2156)=1,MAX($U$1:U2155)+1,""))</f>
        <v/>
      </c>
    </row>
    <row r="2157" customFormat="false" ht="15" hidden="false" customHeight="false" outlineLevel="0" collapsed="false">
      <c r="A2157" s="34"/>
      <c r="B2157" s="9"/>
      <c r="C2157" s="34"/>
      <c r="D2157" s="34"/>
      <c r="E2157" s="34"/>
      <c r="F2157" s="35"/>
      <c r="G2157" s="9"/>
      <c r="H2157" s="9"/>
      <c r="I2157" s="34"/>
      <c r="J2157" s="30" t="str">
        <f aca="false">IF(F2157="","",G2157-B2157)</f>
        <v/>
      </c>
      <c r="K2157" s="31" t="str">
        <f aca="false">IF(F2157="","",IF(H2157&lt;&gt;"",H2157,MAX('Vade Sapması'!$D$3,G2157)))</f>
        <v/>
      </c>
      <c r="L2157" s="30" t="str">
        <f aca="false">IF(F2157="","",K2157-B2157)</f>
        <v/>
      </c>
      <c r="M2157" s="30" t="str">
        <f aca="false">IF(F2157="","",L2157-J2157)</f>
        <v/>
      </c>
      <c r="N2157" s="32" t="str">
        <f aca="false">IF(F2157="","",IF(H2157&lt;&gt;"","Kapandı",IF('Vade Sapması'!$D$3&gt;G2157,"Açık · vadesi geçti","Açık · vadesi gelmedi")))</f>
        <v/>
      </c>
      <c r="O2157" s="30" t="str">
        <f aca="false">IF(F2157="","",IF(AND(H2157="",'Vade Sapması'!$D$3&gt;G2157),'Vade Sapması'!$D$3-G2157,0))</f>
        <v/>
      </c>
      <c r="P2157" s="33" t="str">
        <f aca="false">IF(F2157="","",F2157*J2157)</f>
        <v/>
      </c>
      <c r="Q2157" s="33" t="str">
        <f aca="false">IF(F2157="","",F2157*L2157)</f>
        <v/>
      </c>
      <c r="R2157" s="33" t="str">
        <f aca="false">IF(F2157="","",IF(H2157="",F2157,0))</f>
        <v/>
      </c>
      <c r="S2157" s="32" t="str">
        <f aca="false">IF(F2157="","",IF(N(O2157)=0,"",IF(O2157&lt;=30,"1-30",IF(O2157&lt;=60,"31-60",IF(O2157&lt;=90,"61-90","90+")))))</f>
        <v/>
      </c>
      <c r="T2157" s="32" t="str">
        <f aca="false">IF(F2157="","",IF(E2157="","Diğer",E2157))</f>
        <v/>
      </c>
      <c r="U2157" s="32" t="str">
        <f aca="false">IF(OR(F2157="",C2157=""),"",IF(COUNTIF($C$2:C2157,C2157)=1,MAX($U$1:U2156)+1,""))</f>
        <v/>
      </c>
    </row>
    <row r="2158" customFormat="false" ht="15" hidden="false" customHeight="false" outlineLevel="0" collapsed="false">
      <c r="A2158" s="34"/>
      <c r="B2158" s="9"/>
      <c r="C2158" s="34"/>
      <c r="D2158" s="34"/>
      <c r="E2158" s="34"/>
      <c r="F2158" s="35"/>
      <c r="G2158" s="9"/>
      <c r="H2158" s="9"/>
      <c r="I2158" s="34"/>
      <c r="J2158" s="30" t="str">
        <f aca="false">IF(F2158="","",G2158-B2158)</f>
        <v/>
      </c>
      <c r="K2158" s="31" t="str">
        <f aca="false">IF(F2158="","",IF(H2158&lt;&gt;"",H2158,MAX('Vade Sapması'!$D$3,G2158)))</f>
        <v/>
      </c>
      <c r="L2158" s="30" t="str">
        <f aca="false">IF(F2158="","",K2158-B2158)</f>
        <v/>
      </c>
      <c r="M2158" s="30" t="str">
        <f aca="false">IF(F2158="","",L2158-J2158)</f>
        <v/>
      </c>
      <c r="N2158" s="32" t="str">
        <f aca="false">IF(F2158="","",IF(H2158&lt;&gt;"","Kapandı",IF('Vade Sapması'!$D$3&gt;G2158,"Açık · vadesi geçti","Açık · vadesi gelmedi")))</f>
        <v/>
      </c>
      <c r="O2158" s="30" t="str">
        <f aca="false">IF(F2158="","",IF(AND(H2158="",'Vade Sapması'!$D$3&gt;G2158),'Vade Sapması'!$D$3-G2158,0))</f>
        <v/>
      </c>
      <c r="P2158" s="33" t="str">
        <f aca="false">IF(F2158="","",F2158*J2158)</f>
        <v/>
      </c>
      <c r="Q2158" s="33" t="str">
        <f aca="false">IF(F2158="","",F2158*L2158)</f>
        <v/>
      </c>
      <c r="R2158" s="33" t="str">
        <f aca="false">IF(F2158="","",IF(H2158="",F2158,0))</f>
        <v/>
      </c>
      <c r="S2158" s="32" t="str">
        <f aca="false">IF(F2158="","",IF(N(O2158)=0,"",IF(O2158&lt;=30,"1-30",IF(O2158&lt;=60,"31-60",IF(O2158&lt;=90,"61-90","90+")))))</f>
        <v/>
      </c>
      <c r="T2158" s="32" t="str">
        <f aca="false">IF(F2158="","",IF(E2158="","Diğer",E2158))</f>
        <v/>
      </c>
      <c r="U2158" s="32" t="str">
        <f aca="false">IF(OR(F2158="",C2158=""),"",IF(COUNTIF($C$2:C2158,C2158)=1,MAX($U$1:U2157)+1,""))</f>
        <v/>
      </c>
    </row>
    <row r="2159" customFormat="false" ht="15" hidden="false" customHeight="false" outlineLevel="0" collapsed="false">
      <c r="A2159" s="34"/>
      <c r="B2159" s="9"/>
      <c r="C2159" s="34"/>
      <c r="D2159" s="34"/>
      <c r="E2159" s="34"/>
      <c r="F2159" s="35"/>
      <c r="G2159" s="9"/>
      <c r="H2159" s="9"/>
      <c r="I2159" s="34"/>
      <c r="J2159" s="30" t="str">
        <f aca="false">IF(F2159="","",G2159-B2159)</f>
        <v/>
      </c>
      <c r="K2159" s="31" t="str">
        <f aca="false">IF(F2159="","",IF(H2159&lt;&gt;"",H2159,MAX('Vade Sapması'!$D$3,G2159)))</f>
        <v/>
      </c>
      <c r="L2159" s="30" t="str">
        <f aca="false">IF(F2159="","",K2159-B2159)</f>
        <v/>
      </c>
      <c r="M2159" s="30" t="str">
        <f aca="false">IF(F2159="","",L2159-J2159)</f>
        <v/>
      </c>
      <c r="N2159" s="32" t="str">
        <f aca="false">IF(F2159="","",IF(H2159&lt;&gt;"","Kapandı",IF('Vade Sapması'!$D$3&gt;G2159,"Açık · vadesi geçti","Açık · vadesi gelmedi")))</f>
        <v/>
      </c>
      <c r="O2159" s="30" t="str">
        <f aca="false">IF(F2159="","",IF(AND(H2159="",'Vade Sapması'!$D$3&gt;G2159),'Vade Sapması'!$D$3-G2159,0))</f>
        <v/>
      </c>
      <c r="P2159" s="33" t="str">
        <f aca="false">IF(F2159="","",F2159*J2159)</f>
        <v/>
      </c>
      <c r="Q2159" s="33" t="str">
        <f aca="false">IF(F2159="","",F2159*L2159)</f>
        <v/>
      </c>
      <c r="R2159" s="33" t="str">
        <f aca="false">IF(F2159="","",IF(H2159="",F2159,0))</f>
        <v/>
      </c>
      <c r="S2159" s="32" t="str">
        <f aca="false">IF(F2159="","",IF(N(O2159)=0,"",IF(O2159&lt;=30,"1-30",IF(O2159&lt;=60,"31-60",IF(O2159&lt;=90,"61-90","90+")))))</f>
        <v/>
      </c>
      <c r="T2159" s="32" t="str">
        <f aca="false">IF(F2159="","",IF(E2159="","Diğer",E2159))</f>
        <v/>
      </c>
      <c r="U2159" s="32" t="str">
        <f aca="false">IF(OR(F2159="",C2159=""),"",IF(COUNTIF($C$2:C2159,C2159)=1,MAX($U$1:U2158)+1,""))</f>
        <v/>
      </c>
    </row>
    <row r="2160" customFormat="false" ht="15" hidden="false" customHeight="false" outlineLevel="0" collapsed="false">
      <c r="A2160" s="34"/>
      <c r="B2160" s="9"/>
      <c r="C2160" s="34"/>
      <c r="D2160" s="34"/>
      <c r="E2160" s="34"/>
      <c r="F2160" s="35"/>
      <c r="G2160" s="9"/>
      <c r="H2160" s="9"/>
      <c r="I2160" s="34"/>
      <c r="J2160" s="30" t="str">
        <f aca="false">IF(F2160="","",G2160-B2160)</f>
        <v/>
      </c>
      <c r="K2160" s="31" t="str">
        <f aca="false">IF(F2160="","",IF(H2160&lt;&gt;"",H2160,MAX('Vade Sapması'!$D$3,G2160)))</f>
        <v/>
      </c>
      <c r="L2160" s="30" t="str">
        <f aca="false">IF(F2160="","",K2160-B2160)</f>
        <v/>
      </c>
      <c r="M2160" s="30" t="str">
        <f aca="false">IF(F2160="","",L2160-J2160)</f>
        <v/>
      </c>
      <c r="N2160" s="32" t="str">
        <f aca="false">IF(F2160="","",IF(H2160&lt;&gt;"","Kapandı",IF('Vade Sapması'!$D$3&gt;G2160,"Açık · vadesi geçti","Açık · vadesi gelmedi")))</f>
        <v/>
      </c>
      <c r="O2160" s="30" t="str">
        <f aca="false">IF(F2160="","",IF(AND(H2160="",'Vade Sapması'!$D$3&gt;G2160),'Vade Sapması'!$D$3-G2160,0))</f>
        <v/>
      </c>
      <c r="P2160" s="33" t="str">
        <f aca="false">IF(F2160="","",F2160*J2160)</f>
        <v/>
      </c>
      <c r="Q2160" s="33" t="str">
        <f aca="false">IF(F2160="","",F2160*L2160)</f>
        <v/>
      </c>
      <c r="R2160" s="33" t="str">
        <f aca="false">IF(F2160="","",IF(H2160="",F2160,0))</f>
        <v/>
      </c>
      <c r="S2160" s="32" t="str">
        <f aca="false">IF(F2160="","",IF(N(O2160)=0,"",IF(O2160&lt;=30,"1-30",IF(O2160&lt;=60,"31-60",IF(O2160&lt;=90,"61-90","90+")))))</f>
        <v/>
      </c>
      <c r="T2160" s="32" t="str">
        <f aca="false">IF(F2160="","",IF(E2160="","Diğer",E2160))</f>
        <v/>
      </c>
      <c r="U2160" s="32" t="str">
        <f aca="false">IF(OR(F2160="",C2160=""),"",IF(COUNTIF($C$2:C2160,C2160)=1,MAX($U$1:U2159)+1,""))</f>
        <v/>
      </c>
    </row>
    <row r="2161" customFormat="false" ht="15" hidden="false" customHeight="false" outlineLevel="0" collapsed="false">
      <c r="A2161" s="34"/>
      <c r="B2161" s="9"/>
      <c r="C2161" s="34"/>
      <c r="D2161" s="34"/>
      <c r="E2161" s="34"/>
      <c r="F2161" s="35"/>
      <c r="G2161" s="9"/>
      <c r="H2161" s="9"/>
      <c r="I2161" s="34"/>
      <c r="J2161" s="30" t="str">
        <f aca="false">IF(F2161="","",G2161-B2161)</f>
        <v/>
      </c>
      <c r="K2161" s="31" t="str">
        <f aca="false">IF(F2161="","",IF(H2161&lt;&gt;"",H2161,MAX('Vade Sapması'!$D$3,G2161)))</f>
        <v/>
      </c>
      <c r="L2161" s="30" t="str">
        <f aca="false">IF(F2161="","",K2161-B2161)</f>
        <v/>
      </c>
      <c r="M2161" s="30" t="str">
        <f aca="false">IF(F2161="","",L2161-J2161)</f>
        <v/>
      </c>
      <c r="N2161" s="32" t="str">
        <f aca="false">IF(F2161="","",IF(H2161&lt;&gt;"","Kapandı",IF('Vade Sapması'!$D$3&gt;G2161,"Açık · vadesi geçti","Açık · vadesi gelmedi")))</f>
        <v/>
      </c>
      <c r="O2161" s="30" t="str">
        <f aca="false">IF(F2161="","",IF(AND(H2161="",'Vade Sapması'!$D$3&gt;G2161),'Vade Sapması'!$D$3-G2161,0))</f>
        <v/>
      </c>
      <c r="P2161" s="33" t="str">
        <f aca="false">IF(F2161="","",F2161*J2161)</f>
        <v/>
      </c>
      <c r="Q2161" s="33" t="str">
        <f aca="false">IF(F2161="","",F2161*L2161)</f>
        <v/>
      </c>
      <c r="R2161" s="33" t="str">
        <f aca="false">IF(F2161="","",IF(H2161="",F2161,0))</f>
        <v/>
      </c>
      <c r="S2161" s="32" t="str">
        <f aca="false">IF(F2161="","",IF(N(O2161)=0,"",IF(O2161&lt;=30,"1-30",IF(O2161&lt;=60,"31-60",IF(O2161&lt;=90,"61-90","90+")))))</f>
        <v/>
      </c>
      <c r="T2161" s="32" t="str">
        <f aca="false">IF(F2161="","",IF(E2161="","Diğer",E2161))</f>
        <v/>
      </c>
      <c r="U2161" s="32" t="str">
        <f aca="false">IF(OR(F2161="",C2161=""),"",IF(COUNTIF($C$2:C2161,C2161)=1,MAX($U$1:U2160)+1,""))</f>
        <v/>
      </c>
    </row>
    <row r="2162" customFormat="false" ht="15" hidden="false" customHeight="false" outlineLevel="0" collapsed="false">
      <c r="A2162" s="34"/>
      <c r="B2162" s="9"/>
      <c r="C2162" s="34"/>
      <c r="D2162" s="34"/>
      <c r="E2162" s="34"/>
      <c r="F2162" s="35"/>
      <c r="G2162" s="9"/>
      <c r="H2162" s="9"/>
      <c r="I2162" s="34"/>
      <c r="J2162" s="30" t="str">
        <f aca="false">IF(F2162="","",G2162-B2162)</f>
        <v/>
      </c>
      <c r="K2162" s="31" t="str">
        <f aca="false">IF(F2162="","",IF(H2162&lt;&gt;"",H2162,MAX('Vade Sapması'!$D$3,G2162)))</f>
        <v/>
      </c>
      <c r="L2162" s="30" t="str">
        <f aca="false">IF(F2162="","",K2162-B2162)</f>
        <v/>
      </c>
      <c r="M2162" s="30" t="str">
        <f aca="false">IF(F2162="","",L2162-J2162)</f>
        <v/>
      </c>
      <c r="N2162" s="32" t="str">
        <f aca="false">IF(F2162="","",IF(H2162&lt;&gt;"","Kapandı",IF('Vade Sapması'!$D$3&gt;G2162,"Açık · vadesi geçti","Açık · vadesi gelmedi")))</f>
        <v/>
      </c>
      <c r="O2162" s="30" t="str">
        <f aca="false">IF(F2162="","",IF(AND(H2162="",'Vade Sapması'!$D$3&gt;G2162),'Vade Sapması'!$D$3-G2162,0))</f>
        <v/>
      </c>
      <c r="P2162" s="33" t="str">
        <f aca="false">IF(F2162="","",F2162*J2162)</f>
        <v/>
      </c>
      <c r="Q2162" s="33" t="str">
        <f aca="false">IF(F2162="","",F2162*L2162)</f>
        <v/>
      </c>
      <c r="R2162" s="33" t="str">
        <f aca="false">IF(F2162="","",IF(H2162="",F2162,0))</f>
        <v/>
      </c>
      <c r="S2162" s="32" t="str">
        <f aca="false">IF(F2162="","",IF(N(O2162)=0,"",IF(O2162&lt;=30,"1-30",IF(O2162&lt;=60,"31-60",IF(O2162&lt;=90,"61-90","90+")))))</f>
        <v/>
      </c>
      <c r="T2162" s="32" t="str">
        <f aca="false">IF(F2162="","",IF(E2162="","Diğer",E2162))</f>
        <v/>
      </c>
      <c r="U2162" s="32" t="str">
        <f aca="false">IF(OR(F2162="",C2162=""),"",IF(COUNTIF($C$2:C2162,C2162)=1,MAX($U$1:U2161)+1,""))</f>
        <v/>
      </c>
    </row>
    <row r="2163" customFormat="false" ht="15" hidden="false" customHeight="false" outlineLevel="0" collapsed="false">
      <c r="A2163" s="34"/>
      <c r="B2163" s="9"/>
      <c r="C2163" s="34"/>
      <c r="D2163" s="34"/>
      <c r="E2163" s="34"/>
      <c r="F2163" s="35"/>
      <c r="G2163" s="9"/>
      <c r="H2163" s="9"/>
      <c r="I2163" s="34"/>
      <c r="J2163" s="30" t="str">
        <f aca="false">IF(F2163="","",G2163-B2163)</f>
        <v/>
      </c>
      <c r="K2163" s="31" t="str">
        <f aca="false">IF(F2163="","",IF(H2163&lt;&gt;"",H2163,MAX('Vade Sapması'!$D$3,G2163)))</f>
        <v/>
      </c>
      <c r="L2163" s="30" t="str">
        <f aca="false">IF(F2163="","",K2163-B2163)</f>
        <v/>
      </c>
      <c r="M2163" s="30" t="str">
        <f aca="false">IF(F2163="","",L2163-J2163)</f>
        <v/>
      </c>
      <c r="N2163" s="32" t="str">
        <f aca="false">IF(F2163="","",IF(H2163&lt;&gt;"","Kapandı",IF('Vade Sapması'!$D$3&gt;G2163,"Açık · vadesi geçti","Açık · vadesi gelmedi")))</f>
        <v/>
      </c>
      <c r="O2163" s="30" t="str">
        <f aca="false">IF(F2163="","",IF(AND(H2163="",'Vade Sapması'!$D$3&gt;G2163),'Vade Sapması'!$D$3-G2163,0))</f>
        <v/>
      </c>
      <c r="P2163" s="33" t="str">
        <f aca="false">IF(F2163="","",F2163*J2163)</f>
        <v/>
      </c>
      <c r="Q2163" s="33" t="str">
        <f aca="false">IF(F2163="","",F2163*L2163)</f>
        <v/>
      </c>
      <c r="R2163" s="33" t="str">
        <f aca="false">IF(F2163="","",IF(H2163="",F2163,0))</f>
        <v/>
      </c>
      <c r="S2163" s="32" t="str">
        <f aca="false">IF(F2163="","",IF(N(O2163)=0,"",IF(O2163&lt;=30,"1-30",IF(O2163&lt;=60,"31-60",IF(O2163&lt;=90,"61-90","90+")))))</f>
        <v/>
      </c>
      <c r="T2163" s="32" t="str">
        <f aca="false">IF(F2163="","",IF(E2163="","Diğer",E2163))</f>
        <v/>
      </c>
      <c r="U2163" s="32" t="str">
        <f aca="false">IF(OR(F2163="",C2163=""),"",IF(COUNTIF($C$2:C2163,C2163)=1,MAX($U$1:U2162)+1,""))</f>
        <v/>
      </c>
    </row>
    <row r="2164" customFormat="false" ht="15" hidden="false" customHeight="false" outlineLevel="0" collapsed="false">
      <c r="A2164" s="34"/>
      <c r="B2164" s="9"/>
      <c r="C2164" s="34"/>
      <c r="D2164" s="34"/>
      <c r="E2164" s="34"/>
      <c r="F2164" s="35"/>
      <c r="G2164" s="9"/>
      <c r="H2164" s="9"/>
      <c r="I2164" s="34"/>
      <c r="J2164" s="30" t="str">
        <f aca="false">IF(F2164="","",G2164-B2164)</f>
        <v/>
      </c>
      <c r="K2164" s="31" t="str">
        <f aca="false">IF(F2164="","",IF(H2164&lt;&gt;"",H2164,MAX('Vade Sapması'!$D$3,G2164)))</f>
        <v/>
      </c>
      <c r="L2164" s="30" t="str">
        <f aca="false">IF(F2164="","",K2164-B2164)</f>
        <v/>
      </c>
      <c r="M2164" s="30" t="str">
        <f aca="false">IF(F2164="","",L2164-J2164)</f>
        <v/>
      </c>
      <c r="N2164" s="32" t="str">
        <f aca="false">IF(F2164="","",IF(H2164&lt;&gt;"","Kapandı",IF('Vade Sapması'!$D$3&gt;G2164,"Açık · vadesi geçti","Açık · vadesi gelmedi")))</f>
        <v/>
      </c>
      <c r="O2164" s="30" t="str">
        <f aca="false">IF(F2164="","",IF(AND(H2164="",'Vade Sapması'!$D$3&gt;G2164),'Vade Sapması'!$D$3-G2164,0))</f>
        <v/>
      </c>
      <c r="P2164" s="33" t="str">
        <f aca="false">IF(F2164="","",F2164*J2164)</f>
        <v/>
      </c>
      <c r="Q2164" s="33" t="str">
        <f aca="false">IF(F2164="","",F2164*L2164)</f>
        <v/>
      </c>
      <c r="R2164" s="33" t="str">
        <f aca="false">IF(F2164="","",IF(H2164="",F2164,0))</f>
        <v/>
      </c>
      <c r="S2164" s="32" t="str">
        <f aca="false">IF(F2164="","",IF(N(O2164)=0,"",IF(O2164&lt;=30,"1-30",IF(O2164&lt;=60,"31-60",IF(O2164&lt;=90,"61-90","90+")))))</f>
        <v/>
      </c>
      <c r="T2164" s="32" t="str">
        <f aca="false">IF(F2164="","",IF(E2164="","Diğer",E2164))</f>
        <v/>
      </c>
      <c r="U2164" s="32" t="str">
        <f aca="false">IF(OR(F2164="",C2164=""),"",IF(COUNTIF($C$2:C2164,C2164)=1,MAX($U$1:U2163)+1,""))</f>
        <v/>
      </c>
    </row>
    <row r="2165" customFormat="false" ht="15" hidden="false" customHeight="false" outlineLevel="0" collapsed="false">
      <c r="A2165" s="34"/>
      <c r="B2165" s="9"/>
      <c r="C2165" s="34"/>
      <c r="D2165" s="34"/>
      <c r="E2165" s="34"/>
      <c r="F2165" s="35"/>
      <c r="G2165" s="9"/>
      <c r="H2165" s="9"/>
      <c r="I2165" s="34"/>
      <c r="J2165" s="30" t="str">
        <f aca="false">IF(F2165="","",G2165-B2165)</f>
        <v/>
      </c>
      <c r="K2165" s="31" t="str">
        <f aca="false">IF(F2165="","",IF(H2165&lt;&gt;"",H2165,MAX('Vade Sapması'!$D$3,G2165)))</f>
        <v/>
      </c>
      <c r="L2165" s="30" t="str">
        <f aca="false">IF(F2165="","",K2165-B2165)</f>
        <v/>
      </c>
      <c r="M2165" s="30" t="str">
        <f aca="false">IF(F2165="","",L2165-J2165)</f>
        <v/>
      </c>
      <c r="N2165" s="32" t="str">
        <f aca="false">IF(F2165="","",IF(H2165&lt;&gt;"","Kapandı",IF('Vade Sapması'!$D$3&gt;G2165,"Açık · vadesi geçti","Açık · vadesi gelmedi")))</f>
        <v/>
      </c>
      <c r="O2165" s="30" t="str">
        <f aca="false">IF(F2165="","",IF(AND(H2165="",'Vade Sapması'!$D$3&gt;G2165),'Vade Sapması'!$D$3-G2165,0))</f>
        <v/>
      </c>
      <c r="P2165" s="33" t="str">
        <f aca="false">IF(F2165="","",F2165*J2165)</f>
        <v/>
      </c>
      <c r="Q2165" s="33" t="str">
        <f aca="false">IF(F2165="","",F2165*L2165)</f>
        <v/>
      </c>
      <c r="R2165" s="33" t="str">
        <f aca="false">IF(F2165="","",IF(H2165="",F2165,0))</f>
        <v/>
      </c>
      <c r="S2165" s="32" t="str">
        <f aca="false">IF(F2165="","",IF(N(O2165)=0,"",IF(O2165&lt;=30,"1-30",IF(O2165&lt;=60,"31-60",IF(O2165&lt;=90,"61-90","90+")))))</f>
        <v/>
      </c>
      <c r="T2165" s="32" t="str">
        <f aca="false">IF(F2165="","",IF(E2165="","Diğer",E2165))</f>
        <v/>
      </c>
      <c r="U2165" s="32" t="str">
        <f aca="false">IF(OR(F2165="",C2165=""),"",IF(COUNTIF($C$2:C2165,C2165)=1,MAX($U$1:U2164)+1,""))</f>
        <v/>
      </c>
    </row>
    <row r="2166" customFormat="false" ht="15" hidden="false" customHeight="false" outlineLevel="0" collapsed="false">
      <c r="A2166" s="34"/>
      <c r="B2166" s="9"/>
      <c r="C2166" s="34"/>
      <c r="D2166" s="34"/>
      <c r="E2166" s="34"/>
      <c r="F2166" s="35"/>
      <c r="G2166" s="9"/>
      <c r="H2166" s="9"/>
      <c r="I2166" s="34"/>
      <c r="J2166" s="30" t="str">
        <f aca="false">IF(F2166="","",G2166-B2166)</f>
        <v/>
      </c>
      <c r="K2166" s="31" t="str">
        <f aca="false">IF(F2166="","",IF(H2166&lt;&gt;"",H2166,MAX('Vade Sapması'!$D$3,G2166)))</f>
        <v/>
      </c>
      <c r="L2166" s="30" t="str">
        <f aca="false">IF(F2166="","",K2166-B2166)</f>
        <v/>
      </c>
      <c r="M2166" s="30" t="str">
        <f aca="false">IF(F2166="","",L2166-J2166)</f>
        <v/>
      </c>
      <c r="N2166" s="32" t="str">
        <f aca="false">IF(F2166="","",IF(H2166&lt;&gt;"","Kapandı",IF('Vade Sapması'!$D$3&gt;G2166,"Açık · vadesi geçti","Açık · vadesi gelmedi")))</f>
        <v/>
      </c>
      <c r="O2166" s="30" t="str">
        <f aca="false">IF(F2166="","",IF(AND(H2166="",'Vade Sapması'!$D$3&gt;G2166),'Vade Sapması'!$D$3-G2166,0))</f>
        <v/>
      </c>
      <c r="P2166" s="33" t="str">
        <f aca="false">IF(F2166="","",F2166*J2166)</f>
        <v/>
      </c>
      <c r="Q2166" s="33" t="str">
        <f aca="false">IF(F2166="","",F2166*L2166)</f>
        <v/>
      </c>
      <c r="R2166" s="33" t="str">
        <f aca="false">IF(F2166="","",IF(H2166="",F2166,0))</f>
        <v/>
      </c>
      <c r="S2166" s="32" t="str">
        <f aca="false">IF(F2166="","",IF(N(O2166)=0,"",IF(O2166&lt;=30,"1-30",IF(O2166&lt;=60,"31-60",IF(O2166&lt;=90,"61-90","90+")))))</f>
        <v/>
      </c>
      <c r="T2166" s="32" t="str">
        <f aca="false">IF(F2166="","",IF(E2166="","Diğer",E2166))</f>
        <v/>
      </c>
      <c r="U2166" s="32" t="str">
        <f aca="false">IF(OR(F2166="",C2166=""),"",IF(COUNTIF($C$2:C2166,C2166)=1,MAX($U$1:U2165)+1,""))</f>
        <v/>
      </c>
    </row>
    <row r="2167" customFormat="false" ht="15" hidden="false" customHeight="false" outlineLevel="0" collapsed="false">
      <c r="A2167" s="34"/>
      <c r="B2167" s="9"/>
      <c r="C2167" s="34"/>
      <c r="D2167" s="34"/>
      <c r="E2167" s="34"/>
      <c r="F2167" s="35"/>
      <c r="G2167" s="9"/>
      <c r="H2167" s="9"/>
      <c r="I2167" s="34"/>
      <c r="J2167" s="30" t="str">
        <f aca="false">IF(F2167="","",G2167-B2167)</f>
        <v/>
      </c>
      <c r="K2167" s="31" t="str">
        <f aca="false">IF(F2167="","",IF(H2167&lt;&gt;"",H2167,MAX('Vade Sapması'!$D$3,G2167)))</f>
        <v/>
      </c>
      <c r="L2167" s="30" t="str">
        <f aca="false">IF(F2167="","",K2167-B2167)</f>
        <v/>
      </c>
      <c r="M2167" s="30" t="str">
        <f aca="false">IF(F2167="","",L2167-J2167)</f>
        <v/>
      </c>
      <c r="N2167" s="32" t="str">
        <f aca="false">IF(F2167="","",IF(H2167&lt;&gt;"","Kapandı",IF('Vade Sapması'!$D$3&gt;G2167,"Açık · vadesi geçti","Açık · vadesi gelmedi")))</f>
        <v/>
      </c>
      <c r="O2167" s="30" t="str">
        <f aca="false">IF(F2167="","",IF(AND(H2167="",'Vade Sapması'!$D$3&gt;G2167),'Vade Sapması'!$D$3-G2167,0))</f>
        <v/>
      </c>
      <c r="P2167" s="33" t="str">
        <f aca="false">IF(F2167="","",F2167*J2167)</f>
        <v/>
      </c>
      <c r="Q2167" s="33" t="str">
        <f aca="false">IF(F2167="","",F2167*L2167)</f>
        <v/>
      </c>
      <c r="R2167" s="33" t="str">
        <f aca="false">IF(F2167="","",IF(H2167="",F2167,0))</f>
        <v/>
      </c>
      <c r="S2167" s="32" t="str">
        <f aca="false">IF(F2167="","",IF(N(O2167)=0,"",IF(O2167&lt;=30,"1-30",IF(O2167&lt;=60,"31-60",IF(O2167&lt;=90,"61-90","90+")))))</f>
        <v/>
      </c>
      <c r="T2167" s="32" t="str">
        <f aca="false">IF(F2167="","",IF(E2167="","Diğer",E2167))</f>
        <v/>
      </c>
      <c r="U2167" s="32" t="str">
        <f aca="false">IF(OR(F2167="",C2167=""),"",IF(COUNTIF($C$2:C2167,C2167)=1,MAX($U$1:U2166)+1,""))</f>
        <v/>
      </c>
    </row>
    <row r="2168" customFormat="false" ht="15" hidden="false" customHeight="false" outlineLevel="0" collapsed="false">
      <c r="A2168" s="34"/>
      <c r="B2168" s="9"/>
      <c r="C2168" s="34"/>
      <c r="D2168" s="34"/>
      <c r="E2168" s="34"/>
      <c r="F2168" s="35"/>
      <c r="G2168" s="9"/>
      <c r="H2168" s="9"/>
      <c r="I2168" s="34"/>
      <c r="J2168" s="30" t="str">
        <f aca="false">IF(F2168="","",G2168-B2168)</f>
        <v/>
      </c>
      <c r="K2168" s="31" t="str">
        <f aca="false">IF(F2168="","",IF(H2168&lt;&gt;"",H2168,MAX('Vade Sapması'!$D$3,G2168)))</f>
        <v/>
      </c>
      <c r="L2168" s="30" t="str">
        <f aca="false">IF(F2168="","",K2168-B2168)</f>
        <v/>
      </c>
      <c r="M2168" s="30" t="str">
        <f aca="false">IF(F2168="","",L2168-J2168)</f>
        <v/>
      </c>
      <c r="N2168" s="32" t="str">
        <f aca="false">IF(F2168="","",IF(H2168&lt;&gt;"","Kapandı",IF('Vade Sapması'!$D$3&gt;G2168,"Açık · vadesi geçti","Açık · vadesi gelmedi")))</f>
        <v/>
      </c>
      <c r="O2168" s="30" t="str">
        <f aca="false">IF(F2168="","",IF(AND(H2168="",'Vade Sapması'!$D$3&gt;G2168),'Vade Sapması'!$D$3-G2168,0))</f>
        <v/>
      </c>
      <c r="P2168" s="33" t="str">
        <f aca="false">IF(F2168="","",F2168*J2168)</f>
        <v/>
      </c>
      <c r="Q2168" s="33" t="str">
        <f aca="false">IF(F2168="","",F2168*L2168)</f>
        <v/>
      </c>
      <c r="R2168" s="33" t="str">
        <f aca="false">IF(F2168="","",IF(H2168="",F2168,0))</f>
        <v/>
      </c>
      <c r="S2168" s="32" t="str">
        <f aca="false">IF(F2168="","",IF(N(O2168)=0,"",IF(O2168&lt;=30,"1-30",IF(O2168&lt;=60,"31-60",IF(O2168&lt;=90,"61-90","90+")))))</f>
        <v/>
      </c>
      <c r="T2168" s="32" t="str">
        <f aca="false">IF(F2168="","",IF(E2168="","Diğer",E2168))</f>
        <v/>
      </c>
      <c r="U2168" s="32" t="str">
        <f aca="false">IF(OR(F2168="",C2168=""),"",IF(COUNTIF($C$2:C2168,C2168)=1,MAX($U$1:U2167)+1,""))</f>
        <v/>
      </c>
    </row>
    <row r="2169" customFormat="false" ht="15" hidden="false" customHeight="false" outlineLevel="0" collapsed="false">
      <c r="A2169" s="34"/>
      <c r="B2169" s="9"/>
      <c r="C2169" s="34"/>
      <c r="D2169" s="34"/>
      <c r="E2169" s="34"/>
      <c r="F2169" s="35"/>
      <c r="G2169" s="9"/>
      <c r="H2169" s="9"/>
      <c r="I2169" s="34"/>
      <c r="J2169" s="30" t="str">
        <f aca="false">IF(F2169="","",G2169-B2169)</f>
        <v/>
      </c>
      <c r="K2169" s="31" t="str">
        <f aca="false">IF(F2169="","",IF(H2169&lt;&gt;"",H2169,MAX('Vade Sapması'!$D$3,G2169)))</f>
        <v/>
      </c>
      <c r="L2169" s="30" t="str">
        <f aca="false">IF(F2169="","",K2169-B2169)</f>
        <v/>
      </c>
      <c r="M2169" s="30" t="str">
        <f aca="false">IF(F2169="","",L2169-J2169)</f>
        <v/>
      </c>
      <c r="N2169" s="32" t="str">
        <f aca="false">IF(F2169="","",IF(H2169&lt;&gt;"","Kapandı",IF('Vade Sapması'!$D$3&gt;G2169,"Açık · vadesi geçti","Açık · vadesi gelmedi")))</f>
        <v/>
      </c>
      <c r="O2169" s="30" t="str">
        <f aca="false">IF(F2169="","",IF(AND(H2169="",'Vade Sapması'!$D$3&gt;G2169),'Vade Sapması'!$D$3-G2169,0))</f>
        <v/>
      </c>
      <c r="P2169" s="33" t="str">
        <f aca="false">IF(F2169="","",F2169*J2169)</f>
        <v/>
      </c>
      <c r="Q2169" s="33" t="str">
        <f aca="false">IF(F2169="","",F2169*L2169)</f>
        <v/>
      </c>
      <c r="R2169" s="33" t="str">
        <f aca="false">IF(F2169="","",IF(H2169="",F2169,0))</f>
        <v/>
      </c>
      <c r="S2169" s="32" t="str">
        <f aca="false">IF(F2169="","",IF(N(O2169)=0,"",IF(O2169&lt;=30,"1-30",IF(O2169&lt;=60,"31-60",IF(O2169&lt;=90,"61-90","90+")))))</f>
        <v/>
      </c>
      <c r="T2169" s="32" t="str">
        <f aca="false">IF(F2169="","",IF(E2169="","Diğer",E2169))</f>
        <v/>
      </c>
      <c r="U2169" s="32" t="str">
        <f aca="false">IF(OR(F2169="",C2169=""),"",IF(COUNTIF($C$2:C2169,C2169)=1,MAX($U$1:U2168)+1,""))</f>
        <v/>
      </c>
    </row>
    <row r="2170" customFormat="false" ht="15" hidden="false" customHeight="false" outlineLevel="0" collapsed="false">
      <c r="A2170" s="34"/>
      <c r="B2170" s="9"/>
      <c r="C2170" s="34"/>
      <c r="D2170" s="34"/>
      <c r="E2170" s="34"/>
      <c r="F2170" s="35"/>
      <c r="G2170" s="9"/>
      <c r="H2170" s="9"/>
      <c r="I2170" s="34"/>
      <c r="J2170" s="30" t="str">
        <f aca="false">IF(F2170="","",G2170-B2170)</f>
        <v/>
      </c>
      <c r="K2170" s="31" t="str">
        <f aca="false">IF(F2170="","",IF(H2170&lt;&gt;"",H2170,MAX('Vade Sapması'!$D$3,G2170)))</f>
        <v/>
      </c>
      <c r="L2170" s="30" t="str">
        <f aca="false">IF(F2170="","",K2170-B2170)</f>
        <v/>
      </c>
      <c r="M2170" s="30" t="str">
        <f aca="false">IF(F2170="","",L2170-J2170)</f>
        <v/>
      </c>
      <c r="N2170" s="32" t="str">
        <f aca="false">IF(F2170="","",IF(H2170&lt;&gt;"","Kapandı",IF('Vade Sapması'!$D$3&gt;G2170,"Açık · vadesi geçti","Açık · vadesi gelmedi")))</f>
        <v/>
      </c>
      <c r="O2170" s="30" t="str">
        <f aca="false">IF(F2170="","",IF(AND(H2170="",'Vade Sapması'!$D$3&gt;G2170),'Vade Sapması'!$D$3-G2170,0))</f>
        <v/>
      </c>
      <c r="P2170" s="33" t="str">
        <f aca="false">IF(F2170="","",F2170*J2170)</f>
        <v/>
      </c>
      <c r="Q2170" s="33" t="str">
        <f aca="false">IF(F2170="","",F2170*L2170)</f>
        <v/>
      </c>
      <c r="R2170" s="33" t="str">
        <f aca="false">IF(F2170="","",IF(H2170="",F2170,0))</f>
        <v/>
      </c>
      <c r="S2170" s="32" t="str">
        <f aca="false">IF(F2170="","",IF(N(O2170)=0,"",IF(O2170&lt;=30,"1-30",IF(O2170&lt;=60,"31-60",IF(O2170&lt;=90,"61-90","90+")))))</f>
        <v/>
      </c>
      <c r="T2170" s="32" t="str">
        <f aca="false">IF(F2170="","",IF(E2170="","Diğer",E2170))</f>
        <v/>
      </c>
      <c r="U2170" s="32" t="str">
        <f aca="false">IF(OR(F2170="",C2170=""),"",IF(COUNTIF($C$2:C2170,C2170)=1,MAX($U$1:U2169)+1,""))</f>
        <v/>
      </c>
    </row>
    <row r="2171" customFormat="false" ht="15" hidden="false" customHeight="false" outlineLevel="0" collapsed="false">
      <c r="A2171" s="34"/>
      <c r="B2171" s="9"/>
      <c r="C2171" s="34"/>
      <c r="D2171" s="34"/>
      <c r="E2171" s="34"/>
      <c r="F2171" s="35"/>
      <c r="G2171" s="9"/>
      <c r="H2171" s="9"/>
      <c r="I2171" s="34"/>
      <c r="J2171" s="30" t="str">
        <f aca="false">IF(F2171="","",G2171-B2171)</f>
        <v/>
      </c>
      <c r="K2171" s="31" t="str">
        <f aca="false">IF(F2171="","",IF(H2171&lt;&gt;"",H2171,MAX('Vade Sapması'!$D$3,G2171)))</f>
        <v/>
      </c>
      <c r="L2171" s="30" t="str">
        <f aca="false">IF(F2171="","",K2171-B2171)</f>
        <v/>
      </c>
      <c r="M2171" s="30" t="str">
        <f aca="false">IF(F2171="","",L2171-J2171)</f>
        <v/>
      </c>
      <c r="N2171" s="32" t="str">
        <f aca="false">IF(F2171="","",IF(H2171&lt;&gt;"","Kapandı",IF('Vade Sapması'!$D$3&gt;G2171,"Açık · vadesi geçti","Açık · vadesi gelmedi")))</f>
        <v/>
      </c>
      <c r="O2171" s="30" t="str">
        <f aca="false">IF(F2171="","",IF(AND(H2171="",'Vade Sapması'!$D$3&gt;G2171),'Vade Sapması'!$D$3-G2171,0))</f>
        <v/>
      </c>
      <c r="P2171" s="33" t="str">
        <f aca="false">IF(F2171="","",F2171*J2171)</f>
        <v/>
      </c>
      <c r="Q2171" s="33" t="str">
        <f aca="false">IF(F2171="","",F2171*L2171)</f>
        <v/>
      </c>
      <c r="R2171" s="33" t="str">
        <f aca="false">IF(F2171="","",IF(H2171="",F2171,0))</f>
        <v/>
      </c>
      <c r="S2171" s="32" t="str">
        <f aca="false">IF(F2171="","",IF(N(O2171)=0,"",IF(O2171&lt;=30,"1-30",IF(O2171&lt;=60,"31-60",IF(O2171&lt;=90,"61-90","90+")))))</f>
        <v/>
      </c>
      <c r="T2171" s="32" t="str">
        <f aca="false">IF(F2171="","",IF(E2171="","Diğer",E2171))</f>
        <v/>
      </c>
      <c r="U2171" s="32" t="str">
        <f aca="false">IF(OR(F2171="",C2171=""),"",IF(COUNTIF($C$2:C2171,C2171)=1,MAX($U$1:U2170)+1,""))</f>
        <v/>
      </c>
    </row>
    <row r="2172" customFormat="false" ht="15" hidden="false" customHeight="false" outlineLevel="0" collapsed="false">
      <c r="A2172" s="34"/>
      <c r="B2172" s="9"/>
      <c r="C2172" s="34"/>
      <c r="D2172" s="34"/>
      <c r="E2172" s="34"/>
      <c r="F2172" s="35"/>
      <c r="G2172" s="9"/>
      <c r="H2172" s="9"/>
      <c r="I2172" s="34"/>
      <c r="J2172" s="30" t="str">
        <f aca="false">IF(F2172="","",G2172-B2172)</f>
        <v/>
      </c>
      <c r="K2172" s="31" t="str">
        <f aca="false">IF(F2172="","",IF(H2172&lt;&gt;"",H2172,MAX('Vade Sapması'!$D$3,G2172)))</f>
        <v/>
      </c>
      <c r="L2172" s="30" t="str">
        <f aca="false">IF(F2172="","",K2172-B2172)</f>
        <v/>
      </c>
      <c r="M2172" s="30" t="str">
        <f aca="false">IF(F2172="","",L2172-J2172)</f>
        <v/>
      </c>
      <c r="N2172" s="32" t="str">
        <f aca="false">IF(F2172="","",IF(H2172&lt;&gt;"","Kapandı",IF('Vade Sapması'!$D$3&gt;G2172,"Açık · vadesi geçti","Açık · vadesi gelmedi")))</f>
        <v/>
      </c>
      <c r="O2172" s="30" t="str">
        <f aca="false">IF(F2172="","",IF(AND(H2172="",'Vade Sapması'!$D$3&gt;G2172),'Vade Sapması'!$D$3-G2172,0))</f>
        <v/>
      </c>
      <c r="P2172" s="33" t="str">
        <f aca="false">IF(F2172="","",F2172*J2172)</f>
        <v/>
      </c>
      <c r="Q2172" s="33" t="str">
        <f aca="false">IF(F2172="","",F2172*L2172)</f>
        <v/>
      </c>
      <c r="R2172" s="33" t="str">
        <f aca="false">IF(F2172="","",IF(H2172="",F2172,0))</f>
        <v/>
      </c>
      <c r="S2172" s="32" t="str">
        <f aca="false">IF(F2172="","",IF(N(O2172)=0,"",IF(O2172&lt;=30,"1-30",IF(O2172&lt;=60,"31-60",IF(O2172&lt;=90,"61-90","90+")))))</f>
        <v/>
      </c>
      <c r="T2172" s="32" t="str">
        <f aca="false">IF(F2172="","",IF(E2172="","Diğer",E2172))</f>
        <v/>
      </c>
      <c r="U2172" s="32" t="str">
        <f aca="false">IF(OR(F2172="",C2172=""),"",IF(COUNTIF($C$2:C2172,C2172)=1,MAX($U$1:U2171)+1,""))</f>
        <v/>
      </c>
    </row>
    <row r="2173" customFormat="false" ht="15" hidden="false" customHeight="false" outlineLevel="0" collapsed="false">
      <c r="A2173" s="34"/>
      <c r="B2173" s="9"/>
      <c r="C2173" s="34"/>
      <c r="D2173" s="34"/>
      <c r="E2173" s="34"/>
      <c r="F2173" s="35"/>
      <c r="G2173" s="9"/>
      <c r="H2173" s="9"/>
      <c r="I2173" s="34"/>
      <c r="J2173" s="30" t="str">
        <f aca="false">IF(F2173="","",G2173-B2173)</f>
        <v/>
      </c>
      <c r="K2173" s="31" t="str">
        <f aca="false">IF(F2173="","",IF(H2173&lt;&gt;"",H2173,MAX('Vade Sapması'!$D$3,G2173)))</f>
        <v/>
      </c>
      <c r="L2173" s="30" t="str">
        <f aca="false">IF(F2173="","",K2173-B2173)</f>
        <v/>
      </c>
      <c r="M2173" s="30" t="str">
        <f aca="false">IF(F2173="","",L2173-J2173)</f>
        <v/>
      </c>
      <c r="N2173" s="32" t="str">
        <f aca="false">IF(F2173="","",IF(H2173&lt;&gt;"","Kapandı",IF('Vade Sapması'!$D$3&gt;G2173,"Açık · vadesi geçti","Açık · vadesi gelmedi")))</f>
        <v/>
      </c>
      <c r="O2173" s="30" t="str">
        <f aca="false">IF(F2173="","",IF(AND(H2173="",'Vade Sapması'!$D$3&gt;G2173),'Vade Sapması'!$D$3-G2173,0))</f>
        <v/>
      </c>
      <c r="P2173" s="33" t="str">
        <f aca="false">IF(F2173="","",F2173*J2173)</f>
        <v/>
      </c>
      <c r="Q2173" s="33" t="str">
        <f aca="false">IF(F2173="","",F2173*L2173)</f>
        <v/>
      </c>
      <c r="R2173" s="33" t="str">
        <f aca="false">IF(F2173="","",IF(H2173="",F2173,0))</f>
        <v/>
      </c>
      <c r="S2173" s="32" t="str">
        <f aca="false">IF(F2173="","",IF(N(O2173)=0,"",IF(O2173&lt;=30,"1-30",IF(O2173&lt;=60,"31-60",IF(O2173&lt;=90,"61-90","90+")))))</f>
        <v/>
      </c>
      <c r="T2173" s="32" t="str">
        <f aca="false">IF(F2173="","",IF(E2173="","Diğer",E2173))</f>
        <v/>
      </c>
      <c r="U2173" s="32" t="str">
        <f aca="false">IF(OR(F2173="",C2173=""),"",IF(COUNTIF($C$2:C2173,C2173)=1,MAX($U$1:U2172)+1,""))</f>
        <v/>
      </c>
    </row>
    <row r="2174" customFormat="false" ht="15" hidden="false" customHeight="false" outlineLevel="0" collapsed="false">
      <c r="A2174" s="34"/>
      <c r="B2174" s="9"/>
      <c r="C2174" s="34"/>
      <c r="D2174" s="34"/>
      <c r="E2174" s="34"/>
      <c r="F2174" s="35"/>
      <c r="G2174" s="9"/>
      <c r="H2174" s="9"/>
      <c r="I2174" s="34"/>
      <c r="J2174" s="30" t="str">
        <f aca="false">IF(F2174="","",G2174-B2174)</f>
        <v/>
      </c>
      <c r="K2174" s="31" t="str">
        <f aca="false">IF(F2174="","",IF(H2174&lt;&gt;"",H2174,MAX('Vade Sapması'!$D$3,G2174)))</f>
        <v/>
      </c>
      <c r="L2174" s="30" t="str">
        <f aca="false">IF(F2174="","",K2174-B2174)</f>
        <v/>
      </c>
      <c r="M2174" s="30" t="str">
        <f aca="false">IF(F2174="","",L2174-J2174)</f>
        <v/>
      </c>
      <c r="N2174" s="32" t="str">
        <f aca="false">IF(F2174="","",IF(H2174&lt;&gt;"","Kapandı",IF('Vade Sapması'!$D$3&gt;G2174,"Açık · vadesi geçti","Açık · vadesi gelmedi")))</f>
        <v/>
      </c>
      <c r="O2174" s="30" t="str">
        <f aca="false">IF(F2174="","",IF(AND(H2174="",'Vade Sapması'!$D$3&gt;G2174),'Vade Sapması'!$D$3-G2174,0))</f>
        <v/>
      </c>
      <c r="P2174" s="33" t="str">
        <f aca="false">IF(F2174="","",F2174*J2174)</f>
        <v/>
      </c>
      <c r="Q2174" s="33" t="str">
        <f aca="false">IF(F2174="","",F2174*L2174)</f>
        <v/>
      </c>
      <c r="R2174" s="33" t="str">
        <f aca="false">IF(F2174="","",IF(H2174="",F2174,0))</f>
        <v/>
      </c>
      <c r="S2174" s="32" t="str">
        <f aca="false">IF(F2174="","",IF(N(O2174)=0,"",IF(O2174&lt;=30,"1-30",IF(O2174&lt;=60,"31-60",IF(O2174&lt;=90,"61-90","90+")))))</f>
        <v/>
      </c>
      <c r="T2174" s="32" t="str">
        <f aca="false">IF(F2174="","",IF(E2174="","Diğer",E2174))</f>
        <v/>
      </c>
      <c r="U2174" s="32" t="str">
        <f aca="false">IF(OR(F2174="",C2174=""),"",IF(COUNTIF($C$2:C2174,C2174)=1,MAX($U$1:U2173)+1,""))</f>
        <v/>
      </c>
    </row>
    <row r="2175" customFormat="false" ht="15" hidden="false" customHeight="false" outlineLevel="0" collapsed="false">
      <c r="A2175" s="34"/>
      <c r="B2175" s="9"/>
      <c r="C2175" s="34"/>
      <c r="D2175" s="34"/>
      <c r="E2175" s="34"/>
      <c r="F2175" s="35"/>
      <c r="G2175" s="9"/>
      <c r="H2175" s="9"/>
      <c r="I2175" s="34"/>
      <c r="J2175" s="30" t="str">
        <f aca="false">IF(F2175="","",G2175-B2175)</f>
        <v/>
      </c>
      <c r="K2175" s="31" t="str">
        <f aca="false">IF(F2175="","",IF(H2175&lt;&gt;"",H2175,MAX('Vade Sapması'!$D$3,G2175)))</f>
        <v/>
      </c>
      <c r="L2175" s="30" t="str">
        <f aca="false">IF(F2175="","",K2175-B2175)</f>
        <v/>
      </c>
      <c r="M2175" s="30" t="str">
        <f aca="false">IF(F2175="","",L2175-J2175)</f>
        <v/>
      </c>
      <c r="N2175" s="32" t="str">
        <f aca="false">IF(F2175="","",IF(H2175&lt;&gt;"","Kapandı",IF('Vade Sapması'!$D$3&gt;G2175,"Açık · vadesi geçti","Açık · vadesi gelmedi")))</f>
        <v/>
      </c>
      <c r="O2175" s="30" t="str">
        <f aca="false">IF(F2175="","",IF(AND(H2175="",'Vade Sapması'!$D$3&gt;G2175),'Vade Sapması'!$D$3-G2175,0))</f>
        <v/>
      </c>
      <c r="P2175" s="33" t="str">
        <f aca="false">IF(F2175="","",F2175*J2175)</f>
        <v/>
      </c>
      <c r="Q2175" s="33" t="str">
        <f aca="false">IF(F2175="","",F2175*L2175)</f>
        <v/>
      </c>
      <c r="R2175" s="33" t="str">
        <f aca="false">IF(F2175="","",IF(H2175="",F2175,0))</f>
        <v/>
      </c>
      <c r="S2175" s="32" t="str">
        <f aca="false">IF(F2175="","",IF(N(O2175)=0,"",IF(O2175&lt;=30,"1-30",IF(O2175&lt;=60,"31-60",IF(O2175&lt;=90,"61-90","90+")))))</f>
        <v/>
      </c>
      <c r="T2175" s="32" t="str">
        <f aca="false">IF(F2175="","",IF(E2175="","Diğer",E2175))</f>
        <v/>
      </c>
      <c r="U2175" s="32" t="str">
        <f aca="false">IF(OR(F2175="",C2175=""),"",IF(COUNTIF($C$2:C2175,C2175)=1,MAX($U$1:U2174)+1,""))</f>
        <v/>
      </c>
    </row>
    <row r="2176" customFormat="false" ht="15" hidden="false" customHeight="false" outlineLevel="0" collapsed="false">
      <c r="A2176" s="34"/>
      <c r="B2176" s="9"/>
      <c r="C2176" s="34"/>
      <c r="D2176" s="34"/>
      <c r="E2176" s="34"/>
      <c r="F2176" s="35"/>
      <c r="G2176" s="9"/>
      <c r="H2176" s="9"/>
      <c r="I2176" s="34"/>
      <c r="J2176" s="30" t="str">
        <f aca="false">IF(F2176="","",G2176-B2176)</f>
        <v/>
      </c>
      <c r="K2176" s="31" t="str">
        <f aca="false">IF(F2176="","",IF(H2176&lt;&gt;"",H2176,MAX('Vade Sapması'!$D$3,G2176)))</f>
        <v/>
      </c>
      <c r="L2176" s="30" t="str">
        <f aca="false">IF(F2176="","",K2176-B2176)</f>
        <v/>
      </c>
      <c r="M2176" s="30" t="str">
        <f aca="false">IF(F2176="","",L2176-J2176)</f>
        <v/>
      </c>
      <c r="N2176" s="32" t="str">
        <f aca="false">IF(F2176="","",IF(H2176&lt;&gt;"","Kapandı",IF('Vade Sapması'!$D$3&gt;G2176,"Açık · vadesi geçti","Açık · vadesi gelmedi")))</f>
        <v/>
      </c>
      <c r="O2176" s="30" t="str">
        <f aca="false">IF(F2176="","",IF(AND(H2176="",'Vade Sapması'!$D$3&gt;G2176),'Vade Sapması'!$D$3-G2176,0))</f>
        <v/>
      </c>
      <c r="P2176" s="33" t="str">
        <f aca="false">IF(F2176="","",F2176*J2176)</f>
        <v/>
      </c>
      <c r="Q2176" s="33" t="str">
        <f aca="false">IF(F2176="","",F2176*L2176)</f>
        <v/>
      </c>
      <c r="R2176" s="33" t="str">
        <f aca="false">IF(F2176="","",IF(H2176="",F2176,0))</f>
        <v/>
      </c>
      <c r="S2176" s="32" t="str">
        <f aca="false">IF(F2176="","",IF(N(O2176)=0,"",IF(O2176&lt;=30,"1-30",IF(O2176&lt;=60,"31-60",IF(O2176&lt;=90,"61-90","90+")))))</f>
        <v/>
      </c>
      <c r="T2176" s="32" t="str">
        <f aca="false">IF(F2176="","",IF(E2176="","Diğer",E2176))</f>
        <v/>
      </c>
      <c r="U2176" s="32" t="str">
        <f aca="false">IF(OR(F2176="",C2176=""),"",IF(COUNTIF($C$2:C2176,C2176)=1,MAX($U$1:U2175)+1,""))</f>
        <v/>
      </c>
    </row>
    <row r="2177" customFormat="false" ht="15" hidden="false" customHeight="false" outlineLevel="0" collapsed="false">
      <c r="A2177" s="34"/>
      <c r="B2177" s="9"/>
      <c r="C2177" s="34"/>
      <c r="D2177" s="34"/>
      <c r="E2177" s="34"/>
      <c r="F2177" s="35"/>
      <c r="G2177" s="9"/>
      <c r="H2177" s="9"/>
      <c r="I2177" s="34"/>
      <c r="J2177" s="30" t="str">
        <f aca="false">IF(F2177="","",G2177-B2177)</f>
        <v/>
      </c>
      <c r="K2177" s="31" t="str">
        <f aca="false">IF(F2177="","",IF(H2177&lt;&gt;"",H2177,MAX('Vade Sapması'!$D$3,G2177)))</f>
        <v/>
      </c>
      <c r="L2177" s="30" t="str">
        <f aca="false">IF(F2177="","",K2177-B2177)</f>
        <v/>
      </c>
      <c r="M2177" s="30" t="str">
        <f aca="false">IF(F2177="","",L2177-J2177)</f>
        <v/>
      </c>
      <c r="N2177" s="32" t="str">
        <f aca="false">IF(F2177="","",IF(H2177&lt;&gt;"","Kapandı",IF('Vade Sapması'!$D$3&gt;G2177,"Açık · vadesi geçti","Açık · vadesi gelmedi")))</f>
        <v/>
      </c>
      <c r="O2177" s="30" t="str">
        <f aca="false">IF(F2177="","",IF(AND(H2177="",'Vade Sapması'!$D$3&gt;G2177),'Vade Sapması'!$D$3-G2177,0))</f>
        <v/>
      </c>
      <c r="P2177" s="33" t="str">
        <f aca="false">IF(F2177="","",F2177*J2177)</f>
        <v/>
      </c>
      <c r="Q2177" s="33" t="str">
        <f aca="false">IF(F2177="","",F2177*L2177)</f>
        <v/>
      </c>
      <c r="R2177" s="33" t="str">
        <f aca="false">IF(F2177="","",IF(H2177="",F2177,0))</f>
        <v/>
      </c>
      <c r="S2177" s="32" t="str">
        <f aca="false">IF(F2177="","",IF(N(O2177)=0,"",IF(O2177&lt;=30,"1-30",IF(O2177&lt;=60,"31-60",IF(O2177&lt;=90,"61-90","90+")))))</f>
        <v/>
      </c>
      <c r="T2177" s="32" t="str">
        <f aca="false">IF(F2177="","",IF(E2177="","Diğer",E2177))</f>
        <v/>
      </c>
      <c r="U2177" s="32" t="str">
        <f aca="false">IF(OR(F2177="",C2177=""),"",IF(COUNTIF($C$2:C2177,C2177)=1,MAX($U$1:U2176)+1,""))</f>
        <v/>
      </c>
    </row>
    <row r="2178" customFormat="false" ht="15" hidden="false" customHeight="false" outlineLevel="0" collapsed="false">
      <c r="A2178" s="34"/>
      <c r="B2178" s="9"/>
      <c r="C2178" s="34"/>
      <c r="D2178" s="34"/>
      <c r="E2178" s="34"/>
      <c r="F2178" s="35"/>
      <c r="G2178" s="9"/>
      <c r="H2178" s="9"/>
      <c r="I2178" s="34"/>
      <c r="J2178" s="30" t="str">
        <f aca="false">IF(F2178="","",G2178-B2178)</f>
        <v/>
      </c>
      <c r="K2178" s="31" t="str">
        <f aca="false">IF(F2178="","",IF(H2178&lt;&gt;"",H2178,MAX('Vade Sapması'!$D$3,G2178)))</f>
        <v/>
      </c>
      <c r="L2178" s="30" t="str">
        <f aca="false">IF(F2178="","",K2178-B2178)</f>
        <v/>
      </c>
      <c r="M2178" s="30" t="str">
        <f aca="false">IF(F2178="","",L2178-J2178)</f>
        <v/>
      </c>
      <c r="N2178" s="32" t="str">
        <f aca="false">IF(F2178="","",IF(H2178&lt;&gt;"","Kapandı",IF('Vade Sapması'!$D$3&gt;G2178,"Açık · vadesi geçti","Açık · vadesi gelmedi")))</f>
        <v/>
      </c>
      <c r="O2178" s="30" t="str">
        <f aca="false">IF(F2178="","",IF(AND(H2178="",'Vade Sapması'!$D$3&gt;G2178),'Vade Sapması'!$D$3-G2178,0))</f>
        <v/>
      </c>
      <c r="P2178" s="33" t="str">
        <f aca="false">IF(F2178="","",F2178*J2178)</f>
        <v/>
      </c>
      <c r="Q2178" s="33" t="str">
        <f aca="false">IF(F2178="","",F2178*L2178)</f>
        <v/>
      </c>
      <c r="R2178" s="33" t="str">
        <f aca="false">IF(F2178="","",IF(H2178="",F2178,0))</f>
        <v/>
      </c>
      <c r="S2178" s="32" t="str">
        <f aca="false">IF(F2178="","",IF(N(O2178)=0,"",IF(O2178&lt;=30,"1-30",IF(O2178&lt;=60,"31-60",IF(O2178&lt;=90,"61-90","90+")))))</f>
        <v/>
      </c>
      <c r="T2178" s="32" t="str">
        <f aca="false">IF(F2178="","",IF(E2178="","Diğer",E2178))</f>
        <v/>
      </c>
      <c r="U2178" s="32" t="str">
        <f aca="false">IF(OR(F2178="",C2178=""),"",IF(COUNTIF($C$2:C2178,C2178)=1,MAX($U$1:U2177)+1,""))</f>
        <v/>
      </c>
    </row>
    <row r="2179" customFormat="false" ht="15" hidden="false" customHeight="false" outlineLevel="0" collapsed="false">
      <c r="A2179" s="34"/>
      <c r="B2179" s="9"/>
      <c r="C2179" s="34"/>
      <c r="D2179" s="34"/>
      <c r="E2179" s="34"/>
      <c r="F2179" s="35"/>
      <c r="G2179" s="9"/>
      <c r="H2179" s="9"/>
      <c r="I2179" s="34"/>
      <c r="J2179" s="30" t="str">
        <f aca="false">IF(F2179="","",G2179-B2179)</f>
        <v/>
      </c>
      <c r="K2179" s="31" t="str">
        <f aca="false">IF(F2179="","",IF(H2179&lt;&gt;"",H2179,MAX('Vade Sapması'!$D$3,G2179)))</f>
        <v/>
      </c>
      <c r="L2179" s="30" t="str">
        <f aca="false">IF(F2179="","",K2179-B2179)</f>
        <v/>
      </c>
      <c r="M2179" s="30" t="str">
        <f aca="false">IF(F2179="","",L2179-J2179)</f>
        <v/>
      </c>
      <c r="N2179" s="32" t="str">
        <f aca="false">IF(F2179="","",IF(H2179&lt;&gt;"","Kapandı",IF('Vade Sapması'!$D$3&gt;G2179,"Açık · vadesi geçti","Açık · vadesi gelmedi")))</f>
        <v/>
      </c>
      <c r="O2179" s="30" t="str">
        <f aca="false">IF(F2179="","",IF(AND(H2179="",'Vade Sapması'!$D$3&gt;G2179),'Vade Sapması'!$D$3-G2179,0))</f>
        <v/>
      </c>
      <c r="P2179" s="33" t="str">
        <f aca="false">IF(F2179="","",F2179*J2179)</f>
        <v/>
      </c>
      <c r="Q2179" s="33" t="str">
        <f aca="false">IF(F2179="","",F2179*L2179)</f>
        <v/>
      </c>
      <c r="R2179" s="33" t="str">
        <f aca="false">IF(F2179="","",IF(H2179="",F2179,0))</f>
        <v/>
      </c>
      <c r="S2179" s="32" t="str">
        <f aca="false">IF(F2179="","",IF(N(O2179)=0,"",IF(O2179&lt;=30,"1-30",IF(O2179&lt;=60,"31-60",IF(O2179&lt;=90,"61-90","90+")))))</f>
        <v/>
      </c>
      <c r="T2179" s="32" t="str">
        <f aca="false">IF(F2179="","",IF(E2179="","Diğer",E2179))</f>
        <v/>
      </c>
      <c r="U2179" s="32" t="str">
        <f aca="false">IF(OR(F2179="",C2179=""),"",IF(COUNTIF($C$2:C2179,C2179)=1,MAX($U$1:U2178)+1,""))</f>
        <v/>
      </c>
    </row>
    <row r="2180" customFormat="false" ht="15" hidden="false" customHeight="false" outlineLevel="0" collapsed="false">
      <c r="A2180" s="34"/>
      <c r="B2180" s="9"/>
      <c r="C2180" s="34"/>
      <c r="D2180" s="34"/>
      <c r="E2180" s="34"/>
      <c r="F2180" s="35"/>
      <c r="G2180" s="9"/>
      <c r="H2180" s="9"/>
      <c r="I2180" s="34"/>
      <c r="J2180" s="30" t="str">
        <f aca="false">IF(F2180="","",G2180-B2180)</f>
        <v/>
      </c>
      <c r="K2180" s="31" t="str">
        <f aca="false">IF(F2180="","",IF(H2180&lt;&gt;"",H2180,MAX('Vade Sapması'!$D$3,G2180)))</f>
        <v/>
      </c>
      <c r="L2180" s="30" t="str">
        <f aca="false">IF(F2180="","",K2180-B2180)</f>
        <v/>
      </c>
      <c r="M2180" s="30" t="str">
        <f aca="false">IF(F2180="","",L2180-J2180)</f>
        <v/>
      </c>
      <c r="N2180" s="32" t="str">
        <f aca="false">IF(F2180="","",IF(H2180&lt;&gt;"","Kapandı",IF('Vade Sapması'!$D$3&gt;G2180,"Açık · vadesi geçti","Açık · vadesi gelmedi")))</f>
        <v/>
      </c>
      <c r="O2180" s="30" t="str">
        <f aca="false">IF(F2180="","",IF(AND(H2180="",'Vade Sapması'!$D$3&gt;G2180),'Vade Sapması'!$D$3-G2180,0))</f>
        <v/>
      </c>
      <c r="P2180" s="33" t="str">
        <f aca="false">IF(F2180="","",F2180*J2180)</f>
        <v/>
      </c>
      <c r="Q2180" s="33" t="str">
        <f aca="false">IF(F2180="","",F2180*L2180)</f>
        <v/>
      </c>
      <c r="R2180" s="33" t="str">
        <f aca="false">IF(F2180="","",IF(H2180="",F2180,0))</f>
        <v/>
      </c>
      <c r="S2180" s="32" t="str">
        <f aca="false">IF(F2180="","",IF(N(O2180)=0,"",IF(O2180&lt;=30,"1-30",IF(O2180&lt;=60,"31-60",IF(O2180&lt;=90,"61-90","90+")))))</f>
        <v/>
      </c>
      <c r="T2180" s="32" t="str">
        <f aca="false">IF(F2180="","",IF(E2180="","Diğer",E2180))</f>
        <v/>
      </c>
      <c r="U2180" s="32" t="str">
        <f aca="false">IF(OR(F2180="",C2180=""),"",IF(COUNTIF($C$2:C2180,C2180)=1,MAX($U$1:U2179)+1,""))</f>
        <v/>
      </c>
    </row>
    <row r="2181" customFormat="false" ht="15" hidden="false" customHeight="false" outlineLevel="0" collapsed="false">
      <c r="A2181" s="34"/>
      <c r="B2181" s="9"/>
      <c r="C2181" s="34"/>
      <c r="D2181" s="34"/>
      <c r="E2181" s="34"/>
      <c r="F2181" s="35"/>
      <c r="G2181" s="9"/>
      <c r="H2181" s="9"/>
      <c r="I2181" s="34"/>
      <c r="J2181" s="30" t="str">
        <f aca="false">IF(F2181="","",G2181-B2181)</f>
        <v/>
      </c>
      <c r="K2181" s="31" t="str">
        <f aca="false">IF(F2181="","",IF(H2181&lt;&gt;"",H2181,MAX('Vade Sapması'!$D$3,G2181)))</f>
        <v/>
      </c>
      <c r="L2181" s="30" t="str">
        <f aca="false">IF(F2181="","",K2181-B2181)</f>
        <v/>
      </c>
      <c r="M2181" s="30" t="str">
        <f aca="false">IF(F2181="","",L2181-J2181)</f>
        <v/>
      </c>
      <c r="N2181" s="32" t="str">
        <f aca="false">IF(F2181="","",IF(H2181&lt;&gt;"","Kapandı",IF('Vade Sapması'!$D$3&gt;G2181,"Açık · vadesi geçti","Açık · vadesi gelmedi")))</f>
        <v/>
      </c>
      <c r="O2181" s="30" t="str">
        <f aca="false">IF(F2181="","",IF(AND(H2181="",'Vade Sapması'!$D$3&gt;G2181),'Vade Sapması'!$D$3-G2181,0))</f>
        <v/>
      </c>
      <c r="P2181" s="33" t="str">
        <f aca="false">IF(F2181="","",F2181*J2181)</f>
        <v/>
      </c>
      <c r="Q2181" s="33" t="str">
        <f aca="false">IF(F2181="","",F2181*L2181)</f>
        <v/>
      </c>
      <c r="R2181" s="33" t="str">
        <f aca="false">IF(F2181="","",IF(H2181="",F2181,0))</f>
        <v/>
      </c>
      <c r="S2181" s="32" t="str">
        <f aca="false">IF(F2181="","",IF(N(O2181)=0,"",IF(O2181&lt;=30,"1-30",IF(O2181&lt;=60,"31-60",IF(O2181&lt;=90,"61-90","90+")))))</f>
        <v/>
      </c>
      <c r="T2181" s="32" t="str">
        <f aca="false">IF(F2181="","",IF(E2181="","Diğer",E2181))</f>
        <v/>
      </c>
      <c r="U2181" s="32" t="str">
        <f aca="false">IF(OR(F2181="",C2181=""),"",IF(COUNTIF($C$2:C2181,C2181)=1,MAX($U$1:U2180)+1,""))</f>
        <v/>
      </c>
    </row>
    <row r="2182" customFormat="false" ht="15" hidden="false" customHeight="false" outlineLevel="0" collapsed="false">
      <c r="A2182" s="34"/>
      <c r="B2182" s="9"/>
      <c r="C2182" s="34"/>
      <c r="D2182" s="34"/>
      <c r="E2182" s="34"/>
      <c r="F2182" s="35"/>
      <c r="G2182" s="9"/>
      <c r="H2182" s="9"/>
      <c r="I2182" s="34"/>
      <c r="J2182" s="30" t="str">
        <f aca="false">IF(F2182="","",G2182-B2182)</f>
        <v/>
      </c>
      <c r="K2182" s="31" t="str">
        <f aca="false">IF(F2182="","",IF(H2182&lt;&gt;"",H2182,MAX('Vade Sapması'!$D$3,G2182)))</f>
        <v/>
      </c>
      <c r="L2182" s="30" t="str">
        <f aca="false">IF(F2182="","",K2182-B2182)</f>
        <v/>
      </c>
      <c r="M2182" s="30" t="str">
        <f aca="false">IF(F2182="","",L2182-J2182)</f>
        <v/>
      </c>
      <c r="N2182" s="32" t="str">
        <f aca="false">IF(F2182="","",IF(H2182&lt;&gt;"","Kapandı",IF('Vade Sapması'!$D$3&gt;G2182,"Açık · vadesi geçti","Açık · vadesi gelmedi")))</f>
        <v/>
      </c>
      <c r="O2182" s="30" t="str">
        <f aca="false">IF(F2182="","",IF(AND(H2182="",'Vade Sapması'!$D$3&gt;G2182),'Vade Sapması'!$D$3-G2182,0))</f>
        <v/>
      </c>
      <c r="P2182" s="33" t="str">
        <f aca="false">IF(F2182="","",F2182*J2182)</f>
        <v/>
      </c>
      <c r="Q2182" s="33" t="str">
        <f aca="false">IF(F2182="","",F2182*L2182)</f>
        <v/>
      </c>
      <c r="R2182" s="33" t="str">
        <f aca="false">IF(F2182="","",IF(H2182="",F2182,0))</f>
        <v/>
      </c>
      <c r="S2182" s="32" t="str">
        <f aca="false">IF(F2182="","",IF(N(O2182)=0,"",IF(O2182&lt;=30,"1-30",IF(O2182&lt;=60,"31-60",IF(O2182&lt;=90,"61-90","90+")))))</f>
        <v/>
      </c>
      <c r="T2182" s="32" t="str">
        <f aca="false">IF(F2182="","",IF(E2182="","Diğer",E2182))</f>
        <v/>
      </c>
      <c r="U2182" s="32" t="str">
        <f aca="false">IF(OR(F2182="",C2182=""),"",IF(COUNTIF($C$2:C2182,C2182)=1,MAX($U$1:U2181)+1,""))</f>
        <v/>
      </c>
    </row>
    <row r="2183" customFormat="false" ht="15" hidden="false" customHeight="false" outlineLevel="0" collapsed="false">
      <c r="A2183" s="34"/>
      <c r="B2183" s="9"/>
      <c r="C2183" s="34"/>
      <c r="D2183" s="34"/>
      <c r="E2183" s="34"/>
      <c r="F2183" s="35"/>
      <c r="G2183" s="9"/>
      <c r="H2183" s="9"/>
      <c r="I2183" s="34"/>
      <c r="J2183" s="30" t="str">
        <f aca="false">IF(F2183="","",G2183-B2183)</f>
        <v/>
      </c>
      <c r="K2183" s="31" t="str">
        <f aca="false">IF(F2183="","",IF(H2183&lt;&gt;"",H2183,MAX('Vade Sapması'!$D$3,G2183)))</f>
        <v/>
      </c>
      <c r="L2183" s="30" t="str">
        <f aca="false">IF(F2183="","",K2183-B2183)</f>
        <v/>
      </c>
      <c r="M2183" s="30" t="str">
        <f aca="false">IF(F2183="","",L2183-J2183)</f>
        <v/>
      </c>
      <c r="N2183" s="32" t="str">
        <f aca="false">IF(F2183="","",IF(H2183&lt;&gt;"","Kapandı",IF('Vade Sapması'!$D$3&gt;G2183,"Açık · vadesi geçti","Açık · vadesi gelmedi")))</f>
        <v/>
      </c>
      <c r="O2183" s="30" t="str">
        <f aca="false">IF(F2183="","",IF(AND(H2183="",'Vade Sapması'!$D$3&gt;G2183),'Vade Sapması'!$D$3-G2183,0))</f>
        <v/>
      </c>
      <c r="P2183" s="33" t="str">
        <f aca="false">IF(F2183="","",F2183*J2183)</f>
        <v/>
      </c>
      <c r="Q2183" s="33" t="str">
        <f aca="false">IF(F2183="","",F2183*L2183)</f>
        <v/>
      </c>
      <c r="R2183" s="33" t="str">
        <f aca="false">IF(F2183="","",IF(H2183="",F2183,0))</f>
        <v/>
      </c>
      <c r="S2183" s="32" t="str">
        <f aca="false">IF(F2183="","",IF(N(O2183)=0,"",IF(O2183&lt;=30,"1-30",IF(O2183&lt;=60,"31-60",IF(O2183&lt;=90,"61-90","90+")))))</f>
        <v/>
      </c>
      <c r="T2183" s="32" t="str">
        <f aca="false">IF(F2183="","",IF(E2183="","Diğer",E2183))</f>
        <v/>
      </c>
      <c r="U2183" s="32" t="str">
        <f aca="false">IF(OR(F2183="",C2183=""),"",IF(COUNTIF($C$2:C2183,C2183)=1,MAX($U$1:U2182)+1,""))</f>
        <v/>
      </c>
    </row>
    <row r="2184" customFormat="false" ht="15" hidden="false" customHeight="false" outlineLevel="0" collapsed="false">
      <c r="A2184" s="34"/>
      <c r="B2184" s="9"/>
      <c r="C2184" s="34"/>
      <c r="D2184" s="34"/>
      <c r="E2184" s="34"/>
      <c r="F2184" s="35"/>
      <c r="G2184" s="9"/>
      <c r="H2184" s="9"/>
      <c r="I2184" s="34"/>
      <c r="J2184" s="30" t="str">
        <f aca="false">IF(F2184="","",G2184-B2184)</f>
        <v/>
      </c>
      <c r="K2184" s="31" t="str">
        <f aca="false">IF(F2184="","",IF(H2184&lt;&gt;"",H2184,MAX('Vade Sapması'!$D$3,G2184)))</f>
        <v/>
      </c>
      <c r="L2184" s="30" t="str">
        <f aca="false">IF(F2184="","",K2184-B2184)</f>
        <v/>
      </c>
      <c r="M2184" s="30" t="str">
        <f aca="false">IF(F2184="","",L2184-J2184)</f>
        <v/>
      </c>
      <c r="N2184" s="32" t="str">
        <f aca="false">IF(F2184="","",IF(H2184&lt;&gt;"","Kapandı",IF('Vade Sapması'!$D$3&gt;G2184,"Açık · vadesi geçti","Açık · vadesi gelmedi")))</f>
        <v/>
      </c>
      <c r="O2184" s="30" t="str">
        <f aca="false">IF(F2184="","",IF(AND(H2184="",'Vade Sapması'!$D$3&gt;G2184),'Vade Sapması'!$D$3-G2184,0))</f>
        <v/>
      </c>
      <c r="P2184" s="33" t="str">
        <f aca="false">IF(F2184="","",F2184*J2184)</f>
        <v/>
      </c>
      <c r="Q2184" s="33" t="str">
        <f aca="false">IF(F2184="","",F2184*L2184)</f>
        <v/>
      </c>
      <c r="R2184" s="33" t="str">
        <f aca="false">IF(F2184="","",IF(H2184="",F2184,0))</f>
        <v/>
      </c>
      <c r="S2184" s="32" t="str">
        <f aca="false">IF(F2184="","",IF(N(O2184)=0,"",IF(O2184&lt;=30,"1-30",IF(O2184&lt;=60,"31-60",IF(O2184&lt;=90,"61-90","90+")))))</f>
        <v/>
      </c>
      <c r="T2184" s="32" t="str">
        <f aca="false">IF(F2184="","",IF(E2184="","Diğer",E2184))</f>
        <v/>
      </c>
      <c r="U2184" s="32" t="str">
        <f aca="false">IF(OR(F2184="",C2184=""),"",IF(COUNTIF($C$2:C2184,C2184)=1,MAX($U$1:U2183)+1,""))</f>
        <v/>
      </c>
    </row>
    <row r="2185" customFormat="false" ht="15" hidden="false" customHeight="false" outlineLevel="0" collapsed="false">
      <c r="A2185" s="34"/>
      <c r="B2185" s="9"/>
      <c r="C2185" s="34"/>
      <c r="D2185" s="34"/>
      <c r="E2185" s="34"/>
      <c r="F2185" s="35"/>
      <c r="G2185" s="9"/>
      <c r="H2185" s="9"/>
      <c r="I2185" s="34"/>
      <c r="J2185" s="30" t="str">
        <f aca="false">IF(F2185="","",G2185-B2185)</f>
        <v/>
      </c>
      <c r="K2185" s="31" t="str">
        <f aca="false">IF(F2185="","",IF(H2185&lt;&gt;"",H2185,MAX('Vade Sapması'!$D$3,G2185)))</f>
        <v/>
      </c>
      <c r="L2185" s="30" t="str">
        <f aca="false">IF(F2185="","",K2185-B2185)</f>
        <v/>
      </c>
      <c r="M2185" s="30" t="str">
        <f aca="false">IF(F2185="","",L2185-J2185)</f>
        <v/>
      </c>
      <c r="N2185" s="32" t="str">
        <f aca="false">IF(F2185="","",IF(H2185&lt;&gt;"","Kapandı",IF('Vade Sapması'!$D$3&gt;G2185,"Açık · vadesi geçti","Açık · vadesi gelmedi")))</f>
        <v/>
      </c>
      <c r="O2185" s="30" t="str">
        <f aca="false">IF(F2185="","",IF(AND(H2185="",'Vade Sapması'!$D$3&gt;G2185),'Vade Sapması'!$D$3-G2185,0))</f>
        <v/>
      </c>
      <c r="P2185" s="33" t="str">
        <f aca="false">IF(F2185="","",F2185*J2185)</f>
        <v/>
      </c>
      <c r="Q2185" s="33" t="str">
        <f aca="false">IF(F2185="","",F2185*L2185)</f>
        <v/>
      </c>
      <c r="R2185" s="33" t="str">
        <f aca="false">IF(F2185="","",IF(H2185="",F2185,0))</f>
        <v/>
      </c>
      <c r="S2185" s="32" t="str">
        <f aca="false">IF(F2185="","",IF(N(O2185)=0,"",IF(O2185&lt;=30,"1-30",IF(O2185&lt;=60,"31-60",IF(O2185&lt;=90,"61-90","90+")))))</f>
        <v/>
      </c>
      <c r="T2185" s="32" t="str">
        <f aca="false">IF(F2185="","",IF(E2185="","Diğer",E2185))</f>
        <v/>
      </c>
      <c r="U2185" s="32" t="str">
        <f aca="false">IF(OR(F2185="",C2185=""),"",IF(COUNTIF($C$2:C2185,C2185)=1,MAX($U$1:U2184)+1,""))</f>
        <v/>
      </c>
    </row>
    <row r="2186" customFormat="false" ht="15" hidden="false" customHeight="false" outlineLevel="0" collapsed="false">
      <c r="A2186" s="34"/>
      <c r="B2186" s="9"/>
      <c r="C2186" s="34"/>
      <c r="D2186" s="34"/>
      <c r="E2186" s="34"/>
      <c r="F2186" s="35"/>
      <c r="G2186" s="9"/>
      <c r="H2186" s="9"/>
      <c r="I2186" s="34"/>
      <c r="J2186" s="30" t="str">
        <f aca="false">IF(F2186="","",G2186-B2186)</f>
        <v/>
      </c>
      <c r="K2186" s="31" t="str">
        <f aca="false">IF(F2186="","",IF(H2186&lt;&gt;"",H2186,MAX('Vade Sapması'!$D$3,G2186)))</f>
        <v/>
      </c>
      <c r="L2186" s="30" t="str">
        <f aca="false">IF(F2186="","",K2186-B2186)</f>
        <v/>
      </c>
      <c r="M2186" s="30" t="str">
        <f aca="false">IF(F2186="","",L2186-J2186)</f>
        <v/>
      </c>
      <c r="N2186" s="32" t="str">
        <f aca="false">IF(F2186="","",IF(H2186&lt;&gt;"","Kapandı",IF('Vade Sapması'!$D$3&gt;G2186,"Açık · vadesi geçti","Açık · vadesi gelmedi")))</f>
        <v/>
      </c>
      <c r="O2186" s="30" t="str">
        <f aca="false">IF(F2186="","",IF(AND(H2186="",'Vade Sapması'!$D$3&gt;G2186),'Vade Sapması'!$D$3-G2186,0))</f>
        <v/>
      </c>
      <c r="P2186" s="33" t="str">
        <f aca="false">IF(F2186="","",F2186*J2186)</f>
        <v/>
      </c>
      <c r="Q2186" s="33" t="str">
        <f aca="false">IF(F2186="","",F2186*L2186)</f>
        <v/>
      </c>
      <c r="R2186" s="33" t="str">
        <f aca="false">IF(F2186="","",IF(H2186="",F2186,0))</f>
        <v/>
      </c>
      <c r="S2186" s="32" t="str">
        <f aca="false">IF(F2186="","",IF(N(O2186)=0,"",IF(O2186&lt;=30,"1-30",IF(O2186&lt;=60,"31-60",IF(O2186&lt;=90,"61-90","90+")))))</f>
        <v/>
      </c>
      <c r="T2186" s="32" t="str">
        <f aca="false">IF(F2186="","",IF(E2186="","Diğer",E2186))</f>
        <v/>
      </c>
      <c r="U2186" s="32" t="str">
        <f aca="false">IF(OR(F2186="",C2186=""),"",IF(COUNTIF($C$2:C2186,C2186)=1,MAX($U$1:U2185)+1,""))</f>
        <v/>
      </c>
    </row>
    <row r="2187" customFormat="false" ht="15" hidden="false" customHeight="false" outlineLevel="0" collapsed="false">
      <c r="A2187" s="34"/>
      <c r="B2187" s="9"/>
      <c r="C2187" s="34"/>
      <c r="D2187" s="34"/>
      <c r="E2187" s="34"/>
      <c r="F2187" s="35"/>
      <c r="G2187" s="9"/>
      <c r="H2187" s="9"/>
      <c r="I2187" s="34"/>
      <c r="J2187" s="30" t="str">
        <f aca="false">IF(F2187="","",G2187-B2187)</f>
        <v/>
      </c>
      <c r="K2187" s="31" t="str">
        <f aca="false">IF(F2187="","",IF(H2187&lt;&gt;"",H2187,MAX('Vade Sapması'!$D$3,G2187)))</f>
        <v/>
      </c>
      <c r="L2187" s="30" t="str">
        <f aca="false">IF(F2187="","",K2187-B2187)</f>
        <v/>
      </c>
      <c r="M2187" s="30" t="str">
        <f aca="false">IF(F2187="","",L2187-J2187)</f>
        <v/>
      </c>
      <c r="N2187" s="32" t="str">
        <f aca="false">IF(F2187="","",IF(H2187&lt;&gt;"","Kapandı",IF('Vade Sapması'!$D$3&gt;G2187,"Açık · vadesi geçti","Açık · vadesi gelmedi")))</f>
        <v/>
      </c>
      <c r="O2187" s="30" t="str">
        <f aca="false">IF(F2187="","",IF(AND(H2187="",'Vade Sapması'!$D$3&gt;G2187),'Vade Sapması'!$D$3-G2187,0))</f>
        <v/>
      </c>
      <c r="P2187" s="33" t="str">
        <f aca="false">IF(F2187="","",F2187*J2187)</f>
        <v/>
      </c>
      <c r="Q2187" s="33" t="str">
        <f aca="false">IF(F2187="","",F2187*L2187)</f>
        <v/>
      </c>
      <c r="R2187" s="33" t="str">
        <f aca="false">IF(F2187="","",IF(H2187="",F2187,0))</f>
        <v/>
      </c>
      <c r="S2187" s="32" t="str">
        <f aca="false">IF(F2187="","",IF(N(O2187)=0,"",IF(O2187&lt;=30,"1-30",IF(O2187&lt;=60,"31-60",IF(O2187&lt;=90,"61-90","90+")))))</f>
        <v/>
      </c>
      <c r="T2187" s="32" t="str">
        <f aca="false">IF(F2187="","",IF(E2187="","Diğer",E2187))</f>
        <v/>
      </c>
      <c r="U2187" s="32" t="str">
        <f aca="false">IF(OR(F2187="",C2187=""),"",IF(COUNTIF($C$2:C2187,C2187)=1,MAX($U$1:U2186)+1,""))</f>
        <v/>
      </c>
    </row>
    <row r="2188" customFormat="false" ht="15" hidden="false" customHeight="false" outlineLevel="0" collapsed="false">
      <c r="A2188" s="34"/>
      <c r="B2188" s="9"/>
      <c r="C2188" s="34"/>
      <c r="D2188" s="34"/>
      <c r="E2188" s="34"/>
      <c r="F2188" s="35"/>
      <c r="G2188" s="9"/>
      <c r="H2188" s="9"/>
      <c r="I2188" s="34"/>
      <c r="J2188" s="30" t="str">
        <f aca="false">IF(F2188="","",G2188-B2188)</f>
        <v/>
      </c>
      <c r="K2188" s="31" t="str">
        <f aca="false">IF(F2188="","",IF(H2188&lt;&gt;"",H2188,MAX('Vade Sapması'!$D$3,G2188)))</f>
        <v/>
      </c>
      <c r="L2188" s="30" t="str">
        <f aca="false">IF(F2188="","",K2188-B2188)</f>
        <v/>
      </c>
      <c r="M2188" s="30" t="str">
        <f aca="false">IF(F2188="","",L2188-J2188)</f>
        <v/>
      </c>
      <c r="N2188" s="32" t="str">
        <f aca="false">IF(F2188="","",IF(H2188&lt;&gt;"","Kapandı",IF('Vade Sapması'!$D$3&gt;G2188,"Açık · vadesi geçti","Açık · vadesi gelmedi")))</f>
        <v/>
      </c>
      <c r="O2188" s="30" t="str">
        <f aca="false">IF(F2188="","",IF(AND(H2188="",'Vade Sapması'!$D$3&gt;G2188),'Vade Sapması'!$D$3-G2188,0))</f>
        <v/>
      </c>
      <c r="P2188" s="33" t="str">
        <f aca="false">IF(F2188="","",F2188*J2188)</f>
        <v/>
      </c>
      <c r="Q2188" s="33" t="str">
        <f aca="false">IF(F2188="","",F2188*L2188)</f>
        <v/>
      </c>
      <c r="R2188" s="33" t="str">
        <f aca="false">IF(F2188="","",IF(H2188="",F2188,0))</f>
        <v/>
      </c>
      <c r="S2188" s="32" t="str">
        <f aca="false">IF(F2188="","",IF(N(O2188)=0,"",IF(O2188&lt;=30,"1-30",IF(O2188&lt;=60,"31-60",IF(O2188&lt;=90,"61-90","90+")))))</f>
        <v/>
      </c>
      <c r="T2188" s="32" t="str">
        <f aca="false">IF(F2188="","",IF(E2188="","Diğer",E2188))</f>
        <v/>
      </c>
      <c r="U2188" s="32" t="str">
        <f aca="false">IF(OR(F2188="",C2188=""),"",IF(COUNTIF($C$2:C2188,C2188)=1,MAX($U$1:U2187)+1,""))</f>
        <v/>
      </c>
    </row>
    <row r="2189" customFormat="false" ht="15" hidden="false" customHeight="false" outlineLevel="0" collapsed="false">
      <c r="A2189" s="34"/>
      <c r="B2189" s="9"/>
      <c r="C2189" s="34"/>
      <c r="D2189" s="34"/>
      <c r="E2189" s="34"/>
      <c r="F2189" s="35"/>
      <c r="G2189" s="9"/>
      <c r="H2189" s="9"/>
      <c r="I2189" s="34"/>
      <c r="J2189" s="30" t="str">
        <f aca="false">IF(F2189="","",G2189-B2189)</f>
        <v/>
      </c>
      <c r="K2189" s="31" t="str">
        <f aca="false">IF(F2189="","",IF(H2189&lt;&gt;"",H2189,MAX('Vade Sapması'!$D$3,G2189)))</f>
        <v/>
      </c>
      <c r="L2189" s="30" t="str">
        <f aca="false">IF(F2189="","",K2189-B2189)</f>
        <v/>
      </c>
      <c r="M2189" s="30" t="str">
        <f aca="false">IF(F2189="","",L2189-J2189)</f>
        <v/>
      </c>
      <c r="N2189" s="32" t="str">
        <f aca="false">IF(F2189="","",IF(H2189&lt;&gt;"","Kapandı",IF('Vade Sapması'!$D$3&gt;G2189,"Açık · vadesi geçti","Açık · vadesi gelmedi")))</f>
        <v/>
      </c>
      <c r="O2189" s="30" t="str">
        <f aca="false">IF(F2189="","",IF(AND(H2189="",'Vade Sapması'!$D$3&gt;G2189),'Vade Sapması'!$D$3-G2189,0))</f>
        <v/>
      </c>
      <c r="P2189" s="33" t="str">
        <f aca="false">IF(F2189="","",F2189*J2189)</f>
        <v/>
      </c>
      <c r="Q2189" s="33" t="str">
        <f aca="false">IF(F2189="","",F2189*L2189)</f>
        <v/>
      </c>
      <c r="R2189" s="33" t="str">
        <f aca="false">IF(F2189="","",IF(H2189="",F2189,0))</f>
        <v/>
      </c>
      <c r="S2189" s="32" t="str">
        <f aca="false">IF(F2189="","",IF(N(O2189)=0,"",IF(O2189&lt;=30,"1-30",IF(O2189&lt;=60,"31-60",IF(O2189&lt;=90,"61-90","90+")))))</f>
        <v/>
      </c>
      <c r="T2189" s="32" t="str">
        <f aca="false">IF(F2189="","",IF(E2189="","Diğer",E2189))</f>
        <v/>
      </c>
      <c r="U2189" s="32" t="str">
        <f aca="false">IF(OR(F2189="",C2189=""),"",IF(COUNTIF($C$2:C2189,C2189)=1,MAX($U$1:U2188)+1,""))</f>
        <v/>
      </c>
    </row>
    <row r="2190" customFormat="false" ht="15" hidden="false" customHeight="false" outlineLevel="0" collapsed="false">
      <c r="A2190" s="34"/>
      <c r="B2190" s="9"/>
      <c r="C2190" s="34"/>
      <c r="D2190" s="34"/>
      <c r="E2190" s="34"/>
      <c r="F2190" s="35"/>
      <c r="G2190" s="9"/>
      <c r="H2190" s="9"/>
      <c r="I2190" s="34"/>
      <c r="J2190" s="30" t="str">
        <f aca="false">IF(F2190="","",G2190-B2190)</f>
        <v/>
      </c>
      <c r="K2190" s="31" t="str">
        <f aca="false">IF(F2190="","",IF(H2190&lt;&gt;"",H2190,MAX('Vade Sapması'!$D$3,G2190)))</f>
        <v/>
      </c>
      <c r="L2190" s="30" t="str">
        <f aca="false">IF(F2190="","",K2190-B2190)</f>
        <v/>
      </c>
      <c r="M2190" s="30" t="str">
        <f aca="false">IF(F2190="","",L2190-J2190)</f>
        <v/>
      </c>
      <c r="N2190" s="32" t="str">
        <f aca="false">IF(F2190="","",IF(H2190&lt;&gt;"","Kapandı",IF('Vade Sapması'!$D$3&gt;G2190,"Açık · vadesi geçti","Açık · vadesi gelmedi")))</f>
        <v/>
      </c>
      <c r="O2190" s="30" t="str">
        <f aca="false">IF(F2190="","",IF(AND(H2190="",'Vade Sapması'!$D$3&gt;G2190),'Vade Sapması'!$D$3-G2190,0))</f>
        <v/>
      </c>
      <c r="P2190" s="33" t="str">
        <f aca="false">IF(F2190="","",F2190*J2190)</f>
        <v/>
      </c>
      <c r="Q2190" s="33" t="str">
        <f aca="false">IF(F2190="","",F2190*L2190)</f>
        <v/>
      </c>
      <c r="R2190" s="33" t="str">
        <f aca="false">IF(F2190="","",IF(H2190="",F2190,0))</f>
        <v/>
      </c>
      <c r="S2190" s="32" t="str">
        <f aca="false">IF(F2190="","",IF(N(O2190)=0,"",IF(O2190&lt;=30,"1-30",IF(O2190&lt;=60,"31-60",IF(O2190&lt;=90,"61-90","90+")))))</f>
        <v/>
      </c>
      <c r="T2190" s="32" t="str">
        <f aca="false">IF(F2190="","",IF(E2190="","Diğer",E2190))</f>
        <v/>
      </c>
      <c r="U2190" s="32" t="str">
        <f aca="false">IF(OR(F2190="",C2190=""),"",IF(COUNTIF($C$2:C2190,C2190)=1,MAX($U$1:U2189)+1,""))</f>
        <v/>
      </c>
    </row>
    <row r="2191" customFormat="false" ht="15" hidden="false" customHeight="false" outlineLevel="0" collapsed="false">
      <c r="A2191" s="34"/>
      <c r="B2191" s="9"/>
      <c r="C2191" s="34"/>
      <c r="D2191" s="34"/>
      <c r="E2191" s="34"/>
      <c r="F2191" s="35"/>
      <c r="G2191" s="9"/>
      <c r="H2191" s="9"/>
      <c r="I2191" s="34"/>
      <c r="J2191" s="30" t="str">
        <f aca="false">IF(F2191="","",G2191-B2191)</f>
        <v/>
      </c>
      <c r="K2191" s="31" t="str">
        <f aca="false">IF(F2191="","",IF(H2191&lt;&gt;"",H2191,MAX('Vade Sapması'!$D$3,G2191)))</f>
        <v/>
      </c>
      <c r="L2191" s="30" t="str">
        <f aca="false">IF(F2191="","",K2191-B2191)</f>
        <v/>
      </c>
      <c r="M2191" s="30" t="str">
        <f aca="false">IF(F2191="","",L2191-J2191)</f>
        <v/>
      </c>
      <c r="N2191" s="32" t="str">
        <f aca="false">IF(F2191="","",IF(H2191&lt;&gt;"","Kapandı",IF('Vade Sapması'!$D$3&gt;G2191,"Açık · vadesi geçti","Açık · vadesi gelmedi")))</f>
        <v/>
      </c>
      <c r="O2191" s="30" t="str">
        <f aca="false">IF(F2191="","",IF(AND(H2191="",'Vade Sapması'!$D$3&gt;G2191),'Vade Sapması'!$D$3-G2191,0))</f>
        <v/>
      </c>
      <c r="P2191" s="33" t="str">
        <f aca="false">IF(F2191="","",F2191*J2191)</f>
        <v/>
      </c>
      <c r="Q2191" s="33" t="str">
        <f aca="false">IF(F2191="","",F2191*L2191)</f>
        <v/>
      </c>
      <c r="R2191" s="33" t="str">
        <f aca="false">IF(F2191="","",IF(H2191="",F2191,0))</f>
        <v/>
      </c>
      <c r="S2191" s="32" t="str">
        <f aca="false">IF(F2191="","",IF(N(O2191)=0,"",IF(O2191&lt;=30,"1-30",IF(O2191&lt;=60,"31-60",IF(O2191&lt;=90,"61-90","90+")))))</f>
        <v/>
      </c>
      <c r="T2191" s="32" t="str">
        <f aca="false">IF(F2191="","",IF(E2191="","Diğer",E2191))</f>
        <v/>
      </c>
      <c r="U2191" s="32" t="str">
        <f aca="false">IF(OR(F2191="",C2191=""),"",IF(COUNTIF($C$2:C2191,C2191)=1,MAX($U$1:U2190)+1,""))</f>
        <v/>
      </c>
    </row>
    <row r="2192" customFormat="false" ht="15" hidden="false" customHeight="false" outlineLevel="0" collapsed="false">
      <c r="A2192" s="34"/>
      <c r="B2192" s="9"/>
      <c r="C2192" s="34"/>
      <c r="D2192" s="34"/>
      <c r="E2192" s="34"/>
      <c r="F2192" s="35"/>
      <c r="G2192" s="9"/>
      <c r="H2192" s="9"/>
      <c r="I2192" s="34"/>
      <c r="J2192" s="30" t="str">
        <f aca="false">IF(F2192="","",G2192-B2192)</f>
        <v/>
      </c>
      <c r="K2192" s="31" t="str">
        <f aca="false">IF(F2192="","",IF(H2192&lt;&gt;"",H2192,MAX('Vade Sapması'!$D$3,G2192)))</f>
        <v/>
      </c>
      <c r="L2192" s="30" t="str">
        <f aca="false">IF(F2192="","",K2192-B2192)</f>
        <v/>
      </c>
      <c r="M2192" s="30" t="str">
        <f aca="false">IF(F2192="","",L2192-J2192)</f>
        <v/>
      </c>
      <c r="N2192" s="32" t="str">
        <f aca="false">IF(F2192="","",IF(H2192&lt;&gt;"","Kapandı",IF('Vade Sapması'!$D$3&gt;G2192,"Açık · vadesi geçti","Açık · vadesi gelmedi")))</f>
        <v/>
      </c>
      <c r="O2192" s="30" t="str">
        <f aca="false">IF(F2192="","",IF(AND(H2192="",'Vade Sapması'!$D$3&gt;G2192),'Vade Sapması'!$D$3-G2192,0))</f>
        <v/>
      </c>
      <c r="P2192" s="33" t="str">
        <f aca="false">IF(F2192="","",F2192*J2192)</f>
        <v/>
      </c>
      <c r="Q2192" s="33" t="str">
        <f aca="false">IF(F2192="","",F2192*L2192)</f>
        <v/>
      </c>
      <c r="R2192" s="33" t="str">
        <f aca="false">IF(F2192="","",IF(H2192="",F2192,0))</f>
        <v/>
      </c>
      <c r="S2192" s="32" t="str">
        <f aca="false">IF(F2192="","",IF(N(O2192)=0,"",IF(O2192&lt;=30,"1-30",IF(O2192&lt;=60,"31-60",IF(O2192&lt;=90,"61-90","90+")))))</f>
        <v/>
      </c>
      <c r="T2192" s="32" t="str">
        <f aca="false">IF(F2192="","",IF(E2192="","Diğer",E2192))</f>
        <v/>
      </c>
      <c r="U2192" s="32" t="str">
        <f aca="false">IF(OR(F2192="",C2192=""),"",IF(COUNTIF($C$2:C2192,C2192)=1,MAX($U$1:U2191)+1,""))</f>
        <v/>
      </c>
    </row>
    <row r="2193" customFormat="false" ht="15" hidden="false" customHeight="false" outlineLevel="0" collapsed="false">
      <c r="A2193" s="34"/>
      <c r="B2193" s="9"/>
      <c r="C2193" s="34"/>
      <c r="D2193" s="34"/>
      <c r="E2193" s="34"/>
      <c r="F2193" s="35"/>
      <c r="G2193" s="9"/>
      <c r="H2193" s="9"/>
      <c r="I2193" s="34"/>
      <c r="J2193" s="30" t="str">
        <f aca="false">IF(F2193="","",G2193-B2193)</f>
        <v/>
      </c>
      <c r="K2193" s="31" t="str">
        <f aca="false">IF(F2193="","",IF(H2193&lt;&gt;"",H2193,MAX('Vade Sapması'!$D$3,G2193)))</f>
        <v/>
      </c>
      <c r="L2193" s="30" t="str">
        <f aca="false">IF(F2193="","",K2193-B2193)</f>
        <v/>
      </c>
      <c r="M2193" s="30" t="str">
        <f aca="false">IF(F2193="","",L2193-J2193)</f>
        <v/>
      </c>
      <c r="N2193" s="32" t="str">
        <f aca="false">IF(F2193="","",IF(H2193&lt;&gt;"","Kapandı",IF('Vade Sapması'!$D$3&gt;G2193,"Açık · vadesi geçti","Açık · vadesi gelmedi")))</f>
        <v/>
      </c>
      <c r="O2193" s="30" t="str">
        <f aca="false">IF(F2193="","",IF(AND(H2193="",'Vade Sapması'!$D$3&gt;G2193),'Vade Sapması'!$D$3-G2193,0))</f>
        <v/>
      </c>
      <c r="P2193" s="33" t="str">
        <f aca="false">IF(F2193="","",F2193*J2193)</f>
        <v/>
      </c>
      <c r="Q2193" s="33" t="str">
        <f aca="false">IF(F2193="","",F2193*L2193)</f>
        <v/>
      </c>
      <c r="R2193" s="33" t="str">
        <f aca="false">IF(F2193="","",IF(H2193="",F2193,0))</f>
        <v/>
      </c>
      <c r="S2193" s="32" t="str">
        <f aca="false">IF(F2193="","",IF(N(O2193)=0,"",IF(O2193&lt;=30,"1-30",IF(O2193&lt;=60,"31-60",IF(O2193&lt;=90,"61-90","90+")))))</f>
        <v/>
      </c>
      <c r="T2193" s="32" t="str">
        <f aca="false">IF(F2193="","",IF(E2193="","Diğer",E2193))</f>
        <v/>
      </c>
      <c r="U2193" s="32" t="str">
        <f aca="false">IF(OR(F2193="",C2193=""),"",IF(COUNTIF($C$2:C2193,C2193)=1,MAX($U$1:U2192)+1,""))</f>
        <v/>
      </c>
    </row>
    <row r="2194" customFormat="false" ht="15" hidden="false" customHeight="false" outlineLevel="0" collapsed="false">
      <c r="A2194" s="34"/>
      <c r="B2194" s="9"/>
      <c r="C2194" s="34"/>
      <c r="D2194" s="34"/>
      <c r="E2194" s="34"/>
      <c r="F2194" s="35"/>
      <c r="G2194" s="9"/>
      <c r="H2194" s="9"/>
      <c r="I2194" s="34"/>
      <c r="J2194" s="30" t="str">
        <f aca="false">IF(F2194="","",G2194-B2194)</f>
        <v/>
      </c>
      <c r="K2194" s="31" t="str">
        <f aca="false">IF(F2194="","",IF(H2194&lt;&gt;"",H2194,MAX('Vade Sapması'!$D$3,G2194)))</f>
        <v/>
      </c>
      <c r="L2194" s="30" t="str">
        <f aca="false">IF(F2194="","",K2194-B2194)</f>
        <v/>
      </c>
      <c r="M2194" s="30" t="str">
        <f aca="false">IF(F2194="","",L2194-J2194)</f>
        <v/>
      </c>
      <c r="N2194" s="32" t="str">
        <f aca="false">IF(F2194="","",IF(H2194&lt;&gt;"","Kapandı",IF('Vade Sapması'!$D$3&gt;G2194,"Açık · vadesi geçti","Açık · vadesi gelmedi")))</f>
        <v/>
      </c>
      <c r="O2194" s="30" t="str">
        <f aca="false">IF(F2194="","",IF(AND(H2194="",'Vade Sapması'!$D$3&gt;G2194),'Vade Sapması'!$D$3-G2194,0))</f>
        <v/>
      </c>
      <c r="P2194" s="33" t="str">
        <f aca="false">IF(F2194="","",F2194*J2194)</f>
        <v/>
      </c>
      <c r="Q2194" s="33" t="str">
        <f aca="false">IF(F2194="","",F2194*L2194)</f>
        <v/>
      </c>
      <c r="R2194" s="33" t="str">
        <f aca="false">IF(F2194="","",IF(H2194="",F2194,0))</f>
        <v/>
      </c>
      <c r="S2194" s="32" t="str">
        <f aca="false">IF(F2194="","",IF(N(O2194)=0,"",IF(O2194&lt;=30,"1-30",IF(O2194&lt;=60,"31-60",IF(O2194&lt;=90,"61-90","90+")))))</f>
        <v/>
      </c>
      <c r="T2194" s="32" t="str">
        <f aca="false">IF(F2194="","",IF(E2194="","Diğer",E2194))</f>
        <v/>
      </c>
      <c r="U2194" s="32" t="str">
        <f aca="false">IF(OR(F2194="",C2194=""),"",IF(COUNTIF($C$2:C2194,C2194)=1,MAX($U$1:U2193)+1,""))</f>
        <v/>
      </c>
    </row>
    <row r="2195" customFormat="false" ht="15" hidden="false" customHeight="false" outlineLevel="0" collapsed="false">
      <c r="A2195" s="34"/>
      <c r="B2195" s="9"/>
      <c r="C2195" s="34"/>
      <c r="D2195" s="34"/>
      <c r="E2195" s="34"/>
      <c r="F2195" s="35"/>
      <c r="G2195" s="9"/>
      <c r="H2195" s="9"/>
      <c r="I2195" s="34"/>
      <c r="J2195" s="30" t="str">
        <f aca="false">IF(F2195="","",G2195-B2195)</f>
        <v/>
      </c>
      <c r="K2195" s="31" t="str">
        <f aca="false">IF(F2195="","",IF(H2195&lt;&gt;"",H2195,MAX('Vade Sapması'!$D$3,G2195)))</f>
        <v/>
      </c>
      <c r="L2195" s="30" t="str">
        <f aca="false">IF(F2195="","",K2195-B2195)</f>
        <v/>
      </c>
      <c r="M2195" s="30" t="str">
        <f aca="false">IF(F2195="","",L2195-J2195)</f>
        <v/>
      </c>
      <c r="N2195" s="32" t="str">
        <f aca="false">IF(F2195="","",IF(H2195&lt;&gt;"","Kapandı",IF('Vade Sapması'!$D$3&gt;G2195,"Açık · vadesi geçti","Açık · vadesi gelmedi")))</f>
        <v/>
      </c>
      <c r="O2195" s="30" t="str">
        <f aca="false">IF(F2195="","",IF(AND(H2195="",'Vade Sapması'!$D$3&gt;G2195),'Vade Sapması'!$D$3-G2195,0))</f>
        <v/>
      </c>
      <c r="P2195" s="33" t="str">
        <f aca="false">IF(F2195="","",F2195*J2195)</f>
        <v/>
      </c>
      <c r="Q2195" s="33" t="str">
        <f aca="false">IF(F2195="","",F2195*L2195)</f>
        <v/>
      </c>
      <c r="R2195" s="33" t="str">
        <f aca="false">IF(F2195="","",IF(H2195="",F2195,0))</f>
        <v/>
      </c>
      <c r="S2195" s="32" t="str">
        <f aca="false">IF(F2195="","",IF(N(O2195)=0,"",IF(O2195&lt;=30,"1-30",IF(O2195&lt;=60,"31-60",IF(O2195&lt;=90,"61-90","90+")))))</f>
        <v/>
      </c>
      <c r="T2195" s="32" t="str">
        <f aca="false">IF(F2195="","",IF(E2195="","Diğer",E2195))</f>
        <v/>
      </c>
      <c r="U2195" s="32" t="str">
        <f aca="false">IF(OR(F2195="",C2195=""),"",IF(COUNTIF($C$2:C2195,C2195)=1,MAX($U$1:U2194)+1,""))</f>
        <v/>
      </c>
    </row>
    <row r="2196" customFormat="false" ht="15" hidden="false" customHeight="false" outlineLevel="0" collapsed="false">
      <c r="A2196" s="34"/>
      <c r="B2196" s="9"/>
      <c r="C2196" s="34"/>
      <c r="D2196" s="34"/>
      <c r="E2196" s="34"/>
      <c r="F2196" s="35"/>
      <c r="G2196" s="9"/>
      <c r="H2196" s="9"/>
      <c r="I2196" s="34"/>
      <c r="J2196" s="30" t="str">
        <f aca="false">IF(F2196="","",G2196-B2196)</f>
        <v/>
      </c>
      <c r="K2196" s="31" t="str">
        <f aca="false">IF(F2196="","",IF(H2196&lt;&gt;"",H2196,MAX('Vade Sapması'!$D$3,G2196)))</f>
        <v/>
      </c>
      <c r="L2196" s="30" t="str">
        <f aca="false">IF(F2196="","",K2196-B2196)</f>
        <v/>
      </c>
      <c r="M2196" s="30" t="str">
        <f aca="false">IF(F2196="","",L2196-J2196)</f>
        <v/>
      </c>
      <c r="N2196" s="32" t="str">
        <f aca="false">IF(F2196="","",IF(H2196&lt;&gt;"","Kapandı",IF('Vade Sapması'!$D$3&gt;G2196,"Açık · vadesi geçti","Açık · vadesi gelmedi")))</f>
        <v/>
      </c>
      <c r="O2196" s="30" t="str">
        <f aca="false">IF(F2196="","",IF(AND(H2196="",'Vade Sapması'!$D$3&gt;G2196),'Vade Sapması'!$D$3-G2196,0))</f>
        <v/>
      </c>
      <c r="P2196" s="33" t="str">
        <f aca="false">IF(F2196="","",F2196*J2196)</f>
        <v/>
      </c>
      <c r="Q2196" s="33" t="str">
        <f aca="false">IF(F2196="","",F2196*L2196)</f>
        <v/>
      </c>
      <c r="R2196" s="33" t="str">
        <f aca="false">IF(F2196="","",IF(H2196="",F2196,0))</f>
        <v/>
      </c>
      <c r="S2196" s="32" t="str">
        <f aca="false">IF(F2196="","",IF(N(O2196)=0,"",IF(O2196&lt;=30,"1-30",IF(O2196&lt;=60,"31-60",IF(O2196&lt;=90,"61-90","90+")))))</f>
        <v/>
      </c>
      <c r="T2196" s="32" t="str">
        <f aca="false">IF(F2196="","",IF(E2196="","Diğer",E2196))</f>
        <v/>
      </c>
      <c r="U2196" s="32" t="str">
        <f aca="false">IF(OR(F2196="",C2196=""),"",IF(COUNTIF($C$2:C2196,C2196)=1,MAX($U$1:U2195)+1,""))</f>
        <v/>
      </c>
    </row>
    <row r="2197" customFormat="false" ht="15" hidden="false" customHeight="false" outlineLevel="0" collapsed="false">
      <c r="A2197" s="34"/>
      <c r="B2197" s="9"/>
      <c r="C2197" s="34"/>
      <c r="D2197" s="34"/>
      <c r="E2197" s="34"/>
      <c r="F2197" s="35"/>
      <c r="G2197" s="9"/>
      <c r="H2197" s="9"/>
      <c r="I2197" s="34"/>
      <c r="J2197" s="30" t="str">
        <f aca="false">IF(F2197="","",G2197-B2197)</f>
        <v/>
      </c>
      <c r="K2197" s="31" t="str">
        <f aca="false">IF(F2197="","",IF(H2197&lt;&gt;"",H2197,MAX('Vade Sapması'!$D$3,G2197)))</f>
        <v/>
      </c>
      <c r="L2197" s="30" t="str">
        <f aca="false">IF(F2197="","",K2197-B2197)</f>
        <v/>
      </c>
      <c r="M2197" s="30" t="str">
        <f aca="false">IF(F2197="","",L2197-J2197)</f>
        <v/>
      </c>
      <c r="N2197" s="32" t="str">
        <f aca="false">IF(F2197="","",IF(H2197&lt;&gt;"","Kapandı",IF('Vade Sapması'!$D$3&gt;G2197,"Açık · vadesi geçti","Açık · vadesi gelmedi")))</f>
        <v/>
      </c>
      <c r="O2197" s="30" t="str">
        <f aca="false">IF(F2197="","",IF(AND(H2197="",'Vade Sapması'!$D$3&gt;G2197),'Vade Sapması'!$D$3-G2197,0))</f>
        <v/>
      </c>
      <c r="P2197" s="33" t="str">
        <f aca="false">IF(F2197="","",F2197*J2197)</f>
        <v/>
      </c>
      <c r="Q2197" s="33" t="str">
        <f aca="false">IF(F2197="","",F2197*L2197)</f>
        <v/>
      </c>
      <c r="R2197" s="33" t="str">
        <f aca="false">IF(F2197="","",IF(H2197="",F2197,0))</f>
        <v/>
      </c>
      <c r="S2197" s="32" t="str">
        <f aca="false">IF(F2197="","",IF(N(O2197)=0,"",IF(O2197&lt;=30,"1-30",IF(O2197&lt;=60,"31-60",IF(O2197&lt;=90,"61-90","90+")))))</f>
        <v/>
      </c>
      <c r="T2197" s="32" t="str">
        <f aca="false">IF(F2197="","",IF(E2197="","Diğer",E2197))</f>
        <v/>
      </c>
      <c r="U2197" s="32" t="str">
        <f aca="false">IF(OR(F2197="",C2197=""),"",IF(COUNTIF($C$2:C2197,C2197)=1,MAX($U$1:U2196)+1,""))</f>
        <v/>
      </c>
    </row>
    <row r="2198" customFormat="false" ht="15" hidden="false" customHeight="false" outlineLevel="0" collapsed="false">
      <c r="A2198" s="34"/>
      <c r="B2198" s="9"/>
      <c r="C2198" s="34"/>
      <c r="D2198" s="34"/>
      <c r="E2198" s="34"/>
      <c r="F2198" s="35"/>
      <c r="G2198" s="9"/>
      <c r="H2198" s="9"/>
      <c r="I2198" s="34"/>
      <c r="J2198" s="30" t="str">
        <f aca="false">IF(F2198="","",G2198-B2198)</f>
        <v/>
      </c>
      <c r="K2198" s="31" t="str">
        <f aca="false">IF(F2198="","",IF(H2198&lt;&gt;"",H2198,MAX('Vade Sapması'!$D$3,G2198)))</f>
        <v/>
      </c>
      <c r="L2198" s="30" t="str">
        <f aca="false">IF(F2198="","",K2198-B2198)</f>
        <v/>
      </c>
      <c r="M2198" s="30" t="str">
        <f aca="false">IF(F2198="","",L2198-J2198)</f>
        <v/>
      </c>
      <c r="N2198" s="32" t="str">
        <f aca="false">IF(F2198="","",IF(H2198&lt;&gt;"","Kapandı",IF('Vade Sapması'!$D$3&gt;G2198,"Açık · vadesi geçti","Açık · vadesi gelmedi")))</f>
        <v/>
      </c>
      <c r="O2198" s="30" t="str">
        <f aca="false">IF(F2198="","",IF(AND(H2198="",'Vade Sapması'!$D$3&gt;G2198),'Vade Sapması'!$D$3-G2198,0))</f>
        <v/>
      </c>
      <c r="P2198" s="33" t="str">
        <f aca="false">IF(F2198="","",F2198*J2198)</f>
        <v/>
      </c>
      <c r="Q2198" s="33" t="str">
        <f aca="false">IF(F2198="","",F2198*L2198)</f>
        <v/>
      </c>
      <c r="R2198" s="33" t="str">
        <f aca="false">IF(F2198="","",IF(H2198="",F2198,0))</f>
        <v/>
      </c>
      <c r="S2198" s="32" t="str">
        <f aca="false">IF(F2198="","",IF(N(O2198)=0,"",IF(O2198&lt;=30,"1-30",IF(O2198&lt;=60,"31-60",IF(O2198&lt;=90,"61-90","90+")))))</f>
        <v/>
      </c>
      <c r="T2198" s="32" t="str">
        <f aca="false">IF(F2198="","",IF(E2198="","Diğer",E2198))</f>
        <v/>
      </c>
      <c r="U2198" s="32" t="str">
        <f aca="false">IF(OR(F2198="",C2198=""),"",IF(COUNTIF($C$2:C2198,C2198)=1,MAX($U$1:U2197)+1,""))</f>
        <v/>
      </c>
    </row>
    <row r="2199" customFormat="false" ht="15" hidden="false" customHeight="false" outlineLevel="0" collapsed="false">
      <c r="A2199" s="34"/>
      <c r="B2199" s="9"/>
      <c r="C2199" s="34"/>
      <c r="D2199" s="34"/>
      <c r="E2199" s="34"/>
      <c r="F2199" s="35"/>
      <c r="G2199" s="9"/>
      <c r="H2199" s="9"/>
      <c r="I2199" s="34"/>
      <c r="J2199" s="30" t="str">
        <f aca="false">IF(F2199="","",G2199-B2199)</f>
        <v/>
      </c>
      <c r="K2199" s="31" t="str">
        <f aca="false">IF(F2199="","",IF(H2199&lt;&gt;"",H2199,MAX('Vade Sapması'!$D$3,G2199)))</f>
        <v/>
      </c>
      <c r="L2199" s="30" t="str">
        <f aca="false">IF(F2199="","",K2199-B2199)</f>
        <v/>
      </c>
      <c r="M2199" s="30" t="str">
        <f aca="false">IF(F2199="","",L2199-J2199)</f>
        <v/>
      </c>
      <c r="N2199" s="32" t="str">
        <f aca="false">IF(F2199="","",IF(H2199&lt;&gt;"","Kapandı",IF('Vade Sapması'!$D$3&gt;G2199,"Açık · vadesi geçti","Açık · vadesi gelmedi")))</f>
        <v/>
      </c>
      <c r="O2199" s="30" t="str">
        <f aca="false">IF(F2199="","",IF(AND(H2199="",'Vade Sapması'!$D$3&gt;G2199),'Vade Sapması'!$D$3-G2199,0))</f>
        <v/>
      </c>
      <c r="P2199" s="33" t="str">
        <f aca="false">IF(F2199="","",F2199*J2199)</f>
        <v/>
      </c>
      <c r="Q2199" s="33" t="str">
        <f aca="false">IF(F2199="","",F2199*L2199)</f>
        <v/>
      </c>
      <c r="R2199" s="33" t="str">
        <f aca="false">IF(F2199="","",IF(H2199="",F2199,0))</f>
        <v/>
      </c>
      <c r="S2199" s="32" t="str">
        <f aca="false">IF(F2199="","",IF(N(O2199)=0,"",IF(O2199&lt;=30,"1-30",IF(O2199&lt;=60,"31-60",IF(O2199&lt;=90,"61-90","90+")))))</f>
        <v/>
      </c>
      <c r="T2199" s="32" t="str">
        <f aca="false">IF(F2199="","",IF(E2199="","Diğer",E2199))</f>
        <v/>
      </c>
      <c r="U2199" s="32" t="str">
        <f aca="false">IF(OR(F2199="",C2199=""),"",IF(COUNTIF($C$2:C2199,C2199)=1,MAX($U$1:U2198)+1,""))</f>
        <v/>
      </c>
    </row>
    <row r="2200" customFormat="false" ht="15" hidden="false" customHeight="false" outlineLevel="0" collapsed="false">
      <c r="A2200" s="34"/>
      <c r="B2200" s="9"/>
      <c r="C2200" s="34"/>
      <c r="D2200" s="34"/>
      <c r="E2200" s="34"/>
      <c r="F2200" s="35"/>
      <c r="G2200" s="9"/>
      <c r="H2200" s="9"/>
      <c r="I2200" s="34"/>
      <c r="J2200" s="30" t="str">
        <f aca="false">IF(F2200="","",G2200-B2200)</f>
        <v/>
      </c>
      <c r="K2200" s="31" t="str">
        <f aca="false">IF(F2200="","",IF(H2200&lt;&gt;"",H2200,MAX('Vade Sapması'!$D$3,G2200)))</f>
        <v/>
      </c>
      <c r="L2200" s="30" t="str">
        <f aca="false">IF(F2200="","",K2200-B2200)</f>
        <v/>
      </c>
      <c r="M2200" s="30" t="str">
        <f aca="false">IF(F2200="","",L2200-J2200)</f>
        <v/>
      </c>
      <c r="N2200" s="32" t="str">
        <f aca="false">IF(F2200="","",IF(H2200&lt;&gt;"","Kapandı",IF('Vade Sapması'!$D$3&gt;G2200,"Açık · vadesi geçti","Açık · vadesi gelmedi")))</f>
        <v/>
      </c>
      <c r="O2200" s="30" t="str">
        <f aca="false">IF(F2200="","",IF(AND(H2200="",'Vade Sapması'!$D$3&gt;G2200),'Vade Sapması'!$D$3-G2200,0))</f>
        <v/>
      </c>
      <c r="P2200" s="33" t="str">
        <f aca="false">IF(F2200="","",F2200*J2200)</f>
        <v/>
      </c>
      <c r="Q2200" s="33" t="str">
        <f aca="false">IF(F2200="","",F2200*L2200)</f>
        <v/>
      </c>
      <c r="R2200" s="33" t="str">
        <f aca="false">IF(F2200="","",IF(H2200="",F2200,0))</f>
        <v/>
      </c>
      <c r="S2200" s="32" t="str">
        <f aca="false">IF(F2200="","",IF(N(O2200)=0,"",IF(O2200&lt;=30,"1-30",IF(O2200&lt;=60,"31-60",IF(O2200&lt;=90,"61-90","90+")))))</f>
        <v/>
      </c>
      <c r="T2200" s="32" t="str">
        <f aca="false">IF(F2200="","",IF(E2200="","Diğer",E2200))</f>
        <v/>
      </c>
      <c r="U2200" s="32" t="str">
        <f aca="false">IF(OR(F2200="",C2200=""),"",IF(COUNTIF($C$2:C2200,C2200)=1,MAX($U$1:U2199)+1,""))</f>
        <v/>
      </c>
    </row>
    <row r="2201" customFormat="false" ht="15" hidden="false" customHeight="false" outlineLevel="0" collapsed="false">
      <c r="A2201" s="34"/>
      <c r="B2201" s="9"/>
      <c r="C2201" s="34"/>
      <c r="D2201" s="34"/>
      <c r="E2201" s="34"/>
      <c r="F2201" s="35"/>
      <c r="G2201" s="9"/>
      <c r="H2201" s="9"/>
      <c r="I2201" s="34"/>
      <c r="J2201" s="30" t="str">
        <f aca="false">IF(F2201="","",G2201-B2201)</f>
        <v/>
      </c>
      <c r="K2201" s="31" t="str">
        <f aca="false">IF(F2201="","",IF(H2201&lt;&gt;"",H2201,MAX('Vade Sapması'!$D$3,G2201)))</f>
        <v/>
      </c>
      <c r="L2201" s="30" t="str">
        <f aca="false">IF(F2201="","",K2201-B2201)</f>
        <v/>
      </c>
      <c r="M2201" s="30" t="str">
        <f aca="false">IF(F2201="","",L2201-J2201)</f>
        <v/>
      </c>
      <c r="N2201" s="32" t="str">
        <f aca="false">IF(F2201="","",IF(H2201&lt;&gt;"","Kapandı",IF('Vade Sapması'!$D$3&gt;G2201,"Açık · vadesi geçti","Açık · vadesi gelmedi")))</f>
        <v/>
      </c>
      <c r="O2201" s="30" t="str">
        <f aca="false">IF(F2201="","",IF(AND(H2201="",'Vade Sapması'!$D$3&gt;G2201),'Vade Sapması'!$D$3-G2201,0))</f>
        <v/>
      </c>
      <c r="P2201" s="33" t="str">
        <f aca="false">IF(F2201="","",F2201*J2201)</f>
        <v/>
      </c>
      <c r="Q2201" s="33" t="str">
        <f aca="false">IF(F2201="","",F2201*L2201)</f>
        <v/>
      </c>
      <c r="R2201" s="33" t="str">
        <f aca="false">IF(F2201="","",IF(H2201="",F2201,0))</f>
        <v/>
      </c>
      <c r="S2201" s="32" t="str">
        <f aca="false">IF(F2201="","",IF(N(O2201)=0,"",IF(O2201&lt;=30,"1-30",IF(O2201&lt;=60,"31-60",IF(O2201&lt;=90,"61-90","90+")))))</f>
        <v/>
      </c>
      <c r="T2201" s="32" t="str">
        <f aca="false">IF(F2201="","",IF(E2201="","Diğer",E2201))</f>
        <v/>
      </c>
      <c r="U2201" s="32" t="str">
        <f aca="false">IF(OR(F2201="",C2201=""),"",IF(COUNTIF($C$2:C2201,C2201)=1,MAX($U$1:U2200)+1,""))</f>
        <v/>
      </c>
    </row>
    <row r="2202" customFormat="false" ht="15" hidden="false" customHeight="false" outlineLevel="0" collapsed="false">
      <c r="A2202" s="34"/>
      <c r="B2202" s="9"/>
      <c r="C2202" s="34"/>
      <c r="D2202" s="34"/>
      <c r="E2202" s="34"/>
      <c r="F2202" s="35"/>
      <c r="G2202" s="9"/>
      <c r="H2202" s="9"/>
      <c r="I2202" s="34"/>
      <c r="J2202" s="30" t="str">
        <f aca="false">IF(F2202="","",G2202-B2202)</f>
        <v/>
      </c>
      <c r="K2202" s="31" t="str">
        <f aca="false">IF(F2202="","",IF(H2202&lt;&gt;"",H2202,MAX('Vade Sapması'!$D$3,G2202)))</f>
        <v/>
      </c>
      <c r="L2202" s="30" t="str">
        <f aca="false">IF(F2202="","",K2202-B2202)</f>
        <v/>
      </c>
      <c r="M2202" s="30" t="str">
        <f aca="false">IF(F2202="","",L2202-J2202)</f>
        <v/>
      </c>
      <c r="N2202" s="32" t="str">
        <f aca="false">IF(F2202="","",IF(H2202&lt;&gt;"","Kapandı",IF('Vade Sapması'!$D$3&gt;G2202,"Açık · vadesi geçti","Açık · vadesi gelmedi")))</f>
        <v/>
      </c>
      <c r="O2202" s="30" t="str">
        <f aca="false">IF(F2202="","",IF(AND(H2202="",'Vade Sapması'!$D$3&gt;G2202),'Vade Sapması'!$D$3-G2202,0))</f>
        <v/>
      </c>
      <c r="P2202" s="33" t="str">
        <f aca="false">IF(F2202="","",F2202*J2202)</f>
        <v/>
      </c>
      <c r="Q2202" s="33" t="str">
        <f aca="false">IF(F2202="","",F2202*L2202)</f>
        <v/>
      </c>
      <c r="R2202" s="33" t="str">
        <f aca="false">IF(F2202="","",IF(H2202="",F2202,0))</f>
        <v/>
      </c>
      <c r="S2202" s="32" t="str">
        <f aca="false">IF(F2202="","",IF(N(O2202)=0,"",IF(O2202&lt;=30,"1-30",IF(O2202&lt;=60,"31-60",IF(O2202&lt;=90,"61-90","90+")))))</f>
        <v/>
      </c>
      <c r="T2202" s="32" t="str">
        <f aca="false">IF(F2202="","",IF(E2202="","Diğer",E2202))</f>
        <v/>
      </c>
      <c r="U2202" s="32" t="str">
        <f aca="false">IF(OR(F2202="",C2202=""),"",IF(COUNTIF($C$2:C2202,C2202)=1,MAX($U$1:U2201)+1,""))</f>
        <v/>
      </c>
    </row>
    <row r="2203" customFormat="false" ht="15" hidden="false" customHeight="false" outlineLevel="0" collapsed="false">
      <c r="A2203" s="34"/>
      <c r="B2203" s="9"/>
      <c r="C2203" s="34"/>
      <c r="D2203" s="34"/>
      <c r="E2203" s="34"/>
      <c r="F2203" s="35"/>
      <c r="G2203" s="9"/>
      <c r="H2203" s="9"/>
      <c r="I2203" s="34"/>
      <c r="J2203" s="30" t="str">
        <f aca="false">IF(F2203="","",G2203-B2203)</f>
        <v/>
      </c>
      <c r="K2203" s="31" t="str">
        <f aca="false">IF(F2203="","",IF(H2203&lt;&gt;"",H2203,MAX('Vade Sapması'!$D$3,G2203)))</f>
        <v/>
      </c>
      <c r="L2203" s="30" t="str">
        <f aca="false">IF(F2203="","",K2203-B2203)</f>
        <v/>
      </c>
      <c r="M2203" s="30" t="str">
        <f aca="false">IF(F2203="","",L2203-J2203)</f>
        <v/>
      </c>
      <c r="N2203" s="32" t="str">
        <f aca="false">IF(F2203="","",IF(H2203&lt;&gt;"","Kapandı",IF('Vade Sapması'!$D$3&gt;G2203,"Açık · vadesi geçti","Açık · vadesi gelmedi")))</f>
        <v/>
      </c>
      <c r="O2203" s="30" t="str">
        <f aca="false">IF(F2203="","",IF(AND(H2203="",'Vade Sapması'!$D$3&gt;G2203),'Vade Sapması'!$D$3-G2203,0))</f>
        <v/>
      </c>
      <c r="P2203" s="33" t="str">
        <f aca="false">IF(F2203="","",F2203*J2203)</f>
        <v/>
      </c>
      <c r="Q2203" s="33" t="str">
        <f aca="false">IF(F2203="","",F2203*L2203)</f>
        <v/>
      </c>
      <c r="R2203" s="33" t="str">
        <f aca="false">IF(F2203="","",IF(H2203="",F2203,0))</f>
        <v/>
      </c>
      <c r="S2203" s="32" t="str">
        <f aca="false">IF(F2203="","",IF(N(O2203)=0,"",IF(O2203&lt;=30,"1-30",IF(O2203&lt;=60,"31-60",IF(O2203&lt;=90,"61-90","90+")))))</f>
        <v/>
      </c>
      <c r="T2203" s="32" t="str">
        <f aca="false">IF(F2203="","",IF(E2203="","Diğer",E2203))</f>
        <v/>
      </c>
      <c r="U2203" s="32" t="str">
        <f aca="false">IF(OR(F2203="",C2203=""),"",IF(COUNTIF($C$2:C2203,C2203)=1,MAX($U$1:U2202)+1,""))</f>
        <v/>
      </c>
    </row>
    <row r="2204" customFormat="false" ht="15" hidden="false" customHeight="false" outlineLevel="0" collapsed="false">
      <c r="A2204" s="34"/>
      <c r="B2204" s="9"/>
      <c r="C2204" s="34"/>
      <c r="D2204" s="34"/>
      <c r="E2204" s="34"/>
      <c r="F2204" s="35"/>
      <c r="G2204" s="9"/>
      <c r="H2204" s="9"/>
      <c r="I2204" s="34"/>
      <c r="J2204" s="30" t="str">
        <f aca="false">IF(F2204="","",G2204-B2204)</f>
        <v/>
      </c>
      <c r="K2204" s="31" t="str">
        <f aca="false">IF(F2204="","",IF(H2204&lt;&gt;"",H2204,MAX('Vade Sapması'!$D$3,G2204)))</f>
        <v/>
      </c>
      <c r="L2204" s="30" t="str">
        <f aca="false">IF(F2204="","",K2204-B2204)</f>
        <v/>
      </c>
      <c r="M2204" s="30" t="str">
        <f aca="false">IF(F2204="","",L2204-J2204)</f>
        <v/>
      </c>
      <c r="N2204" s="32" t="str">
        <f aca="false">IF(F2204="","",IF(H2204&lt;&gt;"","Kapandı",IF('Vade Sapması'!$D$3&gt;G2204,"Açık · vadesi geçti","Açık · vadesi gelmedi")))</f>
        <v/>
      </c>
      <c r="O2204" s="30" t="str">
        <f aca="false">IF(F2204="","",IF(AND(H2204="",'Vade Sapması'!$D$3&gt;G2204),'Vade Sapması'!$D$3-G2204,0))</f>
        <v/>
      </c>
      <c r="P2204" s="33" t="str">
        <f aca="false">IF(F2204="","",F2204*J2204)</f>
        <v/>
      </c>
      <c r="Q2204" s="33" t="str">
        <f aca="false">IF(F2204="","",F2204*L2204)</f>
        <v/>
      </c>
      <c r="R2204" s="33" t="str">
        <f aca="false">IF(F2204="","",IF(H2204="",F2204,0))</f>
        <v/>
      </c>
      <c r="S2204" s="32" t="str">
        <f aca="false">IF(F2204="","",IF(N(O2204)=0,"",IF(O2204&lt;=30,"1-30",IF(O2204&lt;=60,"31-60",IF(O2204&lt;=90,"61-90","90+")))))</f>
        <v/>
      </c>
      <c r="T2204" s="32" t="str">
        <f aca="false">IF(F2204="","",IF(E2204="","Diğer",E2204))</f>
        <v/>
      </c>
      <c r="U2204" s="32" t="str">
        <f aca="false">IF(OR(F2204="",C2204=""),"",IF(COUNTIF($C$2:C2204,C2204)=1,MAX($U$1:U2203)+1,""))</f>
        <v/>
      </c>
    </row>
    <row r="2205" customFormat="false" ht="15" hidden="false" customHeight="false" outlineLevel="0" collapsed="false">
      <c r="A2205" s="34"/>
      <c r="B2205" s="9"/>
      <c r="C2205" s="34"/>
      <c r="D2205" s="34"/>
      <c r="E2205" s="34"/>
      <c r="F2205" s="35"/>
      <c r="G2205" s="9"/>
      <c r="H2205" s="9"/>
      <c r="I2205" s="34"/>
      <c r="J2205" s="30" t="str">
        <f aca="false">IF(F2205="","",G2205-B2205)</f>
        <v/>
      </c>
      <c r="K2205" s="31" t="str">
        <f aca="false">IF(F2205="","",IF(H2205&lt;&gt;"",H2205,MAX('Vade Sapması'!$D$3,G2205)))</f>
        <v/>
      </c>
      <c r="L2205" s="30" t="str">
        <f aca="false">IF(F2205="","",K2205-B2205)</f>
        <v/>
      </c>
      <c r="M2205" s="30" t="str">
        <f aca="false">IF(F2205="","",L2205-J2205)</f>
        <v/>
      </c>
      <c r="N2205" s="32" t="str">
        <f aca="false">IF(F2205="","",IF(H2205&lt;&gt;"","Kapandı",IF('Vade Sapması'!$D$3&gt;G2205,"Açık · vadesi geçti","Açık · vadesi gelmedi")))</f>
        <v/>
      </c>
      <c r="O2205" s="30" t="str">
        <f aca="false">IF(F2205="","",IF(AND(H2205="",'Vade Sapması'!$D$3&gt;G2205),'Vade Sapması'!$D$3-G2205,0))</f>
        <v/>
      </c>
      <c r="P2205" s="33" t="str">
        <f aca="false">IF(F2205="","",F2205*J2205)</f>
        <v/>
      </c>
      <c r="Q2205" s="33" t="str">
        <f aca="false">IF(F2205="","",F2205*L2205)</f>
        <v/>
      </c>
      <c r="R2205" s="33" t="str">
        <f aca="false">IF(F2205="","",IF(H2205="",F2205,0))</f>
        <v/>
      </c>
      <c r="S2205" s="32" t="str">
        <f aca="false">IF(F2205="","",IF(N(O2205)=0,"",IF(O2205&lt;=30,"1-30",IF(O2205&lt;=60,"31-60",IF(O2205&lt;=90,"61-90","90+")))))</f>
        <v/>
      </c>
      <c r="T2205" s="32" t="str">
        <f aca="false">IF(F2205="","",IF(E2205="","Diğer",E2205))</f>
        <v/>
      </c>
      <c r="U2205" s="32" t="str">
        <f aca="false">IF(OR(F2205="",C2205=""),"",IF(COUNTIF($C$2:C2205,C2205)=1,MAX($U$1:U2204)+1,""))</f>
        <v/>
      </c>
    </row>
    <row r="2206" customFormat="false" ht="15" hidden="false" customHeight="false" outlineLevel="0" collapsed="false">
      <c r="A2206" s="34"/>
      <c r="B2206" s="9"/>
      <c r="C2206" s="34"/>
      <c r="D2206" s="34"/>
      <c r="E2206" s="34"/>
      <c r="F2206" s="35"/>
      <c r="G2206" s="9"/>
      <c r="H2206" s="9"/>
      <c r="I2206" s="34"/>
      <c r="J2206" s="30" t="str">
        <f aca="false">IF(F2206="","",G2206-B2206)</f>
        <v/>
      </c>
      <c r="K2206" s="31" t="str">
        <f aca="false">IF(F2206="","",IF(H2206&lt;&gt;"",H2206,MAX('Vade Sapması'!$D$3,G2206)))</f>
        <v/>
      </c>
      <c r="L2206" s="30" t="str">
        <f aca="false">IF(F2206="","",K2206-B2206)</f>
        <v/>
      </c>
      <c r="M2206" s="30" t="str">
        <f aca="false">IF(F2206="","",L2206-J2206)</f>
        <v/>
      </c>
      <c r="N2206" s="32" t="str">
        <f aca="false">IF(F2206="","",IF(H2206&lt;&gt;"","Kapandı",IF('Vade Sapması'!$D$3&gt;G2206,"Açık · vadesi geçti","Açık · vadesi gelmedi")))</f>
        <v/>
      </c>
      <c r="O2206" s="30" t="str">
        <f aca="false">IF(F2206="","",IF(AND(H2206="",'Vade Sapması'!$D$3&gt;G2206),'Vade Sapması'!$D$3-G2206,0))</f>
        <v/>
      </c>
      <c r="P2206" s="33" t="str">
        <f aca="false">IF(F2206="","",F2206*J2206)</f>
        <v/>
      </c>
      <c r="Q2206" s="33" t="str">
        <f aca="false">IF(F2206="","",F2206*L2206)</f>
        <v/>
      </c>
      <c r="R2206" s="33" t="str">
        <f aca="false">IF(F2206="","",IF(H2206="",F2206,0))</f>
        <v/>
      </c>
      <c r="S2206" s="32" t="str">
        <f aca="false">IF(F2206="","",IF(N(O2206)=0,"",IF(O2206&lt;=30,"1-30",IF(O2206&lt;=60,"31-60",IF(O2206&lt;=90,"61-90","90+")))))</f>
        <v/>
      </c>
      <c r="T2206" s="32" t="str">
        <f aca="false">IF(F2206="","",IF(E2206="","Diğer",E2206))</f>
        <v/>
      </c>
      <c r="U2206" s="32" t="str">
        <f aca="false">IF(OR(F2206="",C2206=""),"",IF(COUNTIF($C$2:C2206,C2206)=1,MAX($U$1:U2205)+1,""))</f>
        <v/>
      </c>
    </row>
    <row r="2207" customFormat="false" ht="15" hidden="false" customHeight="false" outlineLevel="0" collapsed="false">
      <c r="A2207" s="34"/>
      <c r="B2207" s="9"/>
      <c r="C2207" s="34"/>
      <c r="D2207" s="34"/>
      <c r="E2207" s="34"/>
      <c r="F2207" s="35"/>
      <c r="G2207" s="9"/>
      <c r="H2207" s="9"/>
      <c r="I2207" s="34"/>
      <c r="J2207" s="30" t="str">
        <f aca="false">IF(F2207="","",G2207-B2207)</f>
        <v/>
      </c>
      <c r="K2207" s="31" t="str">
        <f aca="false">IF(F2207="","",IF(H2207&lt;&gt;"",H2207,MAX('Vade Sapması'!$D$3,G2207)))</f>
        <v/>
      </c>
      <c r="L2207" s="30" t="str">
        <f aca="false">IF(F2207="","",K2207-B2207)</f>
        <v/>
      </c>
      <c r="M2207" s="30" t="str">
        <f aca="false">IF(F2207="","",L2207-J2207)</f>
        <v/>
      </c>
      <c r="N2207" s="32" t="str">
        <f aca="false">IF(F2207="","",IF(H2207&lt;&gt;"","Kapandı",IF('Vade Sapması'!$D$3&gt;G2207,"Açık · vadesi geçti","Açık · vadesi gelmedi")))</f>
        <v/>
      </c>
      <c r="O2207" s="30" t="str">
        <f aca="false">IF(F2207="","",IF(AND(H2207="",'Vade Sapması'!$D$3&gt;G2207),'Vade Sapması'!$D$3-G2207,0))</f>
        <v/>
      </c>
      <c r="P2207" s="33" t="str">
        <f aca="false">IF(F2207="","",F2207*J2207)</f>
        <v/>
      </c>
      <c r="Q2207" s="33" t="str">
        <f aca="false">IF(F2207="","",F2207*L2207)</f>
        <v/>
      </c>
      <c r="R2207" s="33" t="str">
        <f aca="false">IF(F2207="","",IF(H2207="",F2207,0))</f>
        <v/>
      </c>
      <c r="S2207" s="32" t="str">
        <f aca="false">IF(F2207="","",IF(N(O2207)=0,"",IF(O2207&lt;=30,"1-30",IF(O2207&lt;=60,"31-60",IF(O2207&lt;=90,"61-90","90+")))))</f>
        <v/>
      </c>
      <c r="T2207" s="32" t="str">
        <f aca="false">IF(F2207="","",IF(E2207="","Diğer",E2207))</f>
        <v/>
      </c>
      <c r="U2207" s="32" t="str">
        <f aca="false">IF(OR(F2207="",C2207=""),"",IF(COUNTIF($C$2:C2207,C2207)=1,MAX($U$1:U2206)+1,""))</f>
        <v/>
      </c>
    </row>
    <row r="2208" customFormat="false" ht="15" hidden="false" customHeight="false" outlineLevel="0" collapsed="false">
      <c r="A2208" s="34"/>
      <c r="B2208" s="9"/>
      <c r="C2208" s="34"/>
      <c r="D2208" s="34"/>
      <c r="E2208" s="34"/>
      <c r="F2208" s="35"/>
      <c r="G2208" s="9"/>
      <c r="H2208" s="9"/>
      <c r="I2208" s="34"/>
      <c r="J2208" s="30" t="str">
        <f aca="false">IF(F2208="","",G2208-B2208)</f>
        <v/>
      </c>
      <c r="K2208" s="31" t="str">
        <f aca="false">IF(F2208="","",IF(H2208&lt;&gt;"",H2208,MAX('Vade Sapması'!$D$3,G2208)))</f>
        <v/>
      </c>
      <c r="L2208" s="30" t="str">
        <f aca="false">IF(F2208="","",K2208-B2208)</f>
        <v/>
      </c>
      <c r="M2208" s="30" t="str">
        <f aca="false">IF(F2208="","",L2208-J2208)</f>
        <v/>
      </c>
      <c r="N2208" s="32" t="str">
        <f aca="false">IF(F2208="","",IF(H2208&lt;&gt;"","Kapandı",IF('Vade Sapması'!$D$3&gt;G2208,"Açık · vadesi geçti","Açık · vadesi gelmedi")))</f>
        <v/>
      </c>
      <c r="O2208" s="30" t="str">
        <f aca="false">IF(F2208="","",IF(AND(H2208="",'Vade Sapması'!$D$3&gt;G2208),'Vade Sapması'!$D$3-G2208,0))</f>
        <v/>
      </c>
      <c r="P2208" s="33" t="str">
        <f aca="false">IF(F2208="","",F2208*J2208)</f>
        <v/>
      </c>
      <c r="Q2208" s="33" t="str">
        <f aca="false">IF(F2208="","",F2208*L2208)</f>
        <v/>
      </c>
      <c r="R2208" s="33" t="str">
        <f aca="false">IF(F2208="","",IF(H2208="",F2208,0))</f>
        <v/>
      </c>
      <c r="S2208" s="32" t="str">
        <f aca="false">IF(F2208="","",IF(N(O2208)=0,"",IF(O2208&lt;=30,"1-30",IF(O2208&lt;=60,"31-60",IF(O2208&lt;=90,"61-90","90+")))))</f>
        <v/>
      </c>
      <c r="T2208" s="32" t="str">
        <f aca="false">IF(F2208="","",IF(E2208="","Diğer",E2208))</f>
        <v/>
      </c>
      <c r="U2208" s="32" t="str">
        <f aca="false">IF(OR(F2208="",C2208=""),"",IF(COUNTIF($C$2:C2208,C2208)=1,MAX($U$1:U2207)+1,""))</f>
        <v/>
      </c>
    </row>
    <row r="2209" customFormat="false" ht="15" hidden="false" customHeight="false" outlineLevel="0" collapsed="false">
      <c r="A2209" s="34"/>
      <c r="B2209" s="9"/>
      <c r="C2209" s="34"/>
      <c r="D2209" s="34"/>
      <c r="E2209" s="34"/>
      <c r="F2209" s="35"/>
      <c r="G2209" s="9"/>
      <c r="H2209" s="9"/>
      <c r="I2209" s="34"/>
      <c r="J2209" s="30" t="str">
        <f aca="false">IF(F2209="","",G2209-B2209)</f>
        <v/>
      </c>
      <c r="K2209" s="31" t="str">
        <f aca="false">IF(F2209="","",IF(H2209&lt;&gt;"",H2209,MAX('Vade Sapması'!$D$3,G2209)))</f>
        <v/>
      </c>
      <c r="L2209" s="30" t="str">
        <f aca="false">IF(F2209="","",K2209-B2209)</f>
        <v/>
      </c>
      <c r="M2209" s="30" t="str">
        <f aca="false">IF(F2209="","",L2209-J2209)</f>
        <v/>
      </c>
      <c r="N2209" s="32" t="str">
        <f aca="false">IF(F2209="","",IF(H2209&lt;&gt;"","Kapandı",IF('Vade Sapması'!$D$3&gt;G2209,"Açık · vadesi geçti","Açık · vadesi gelmedi")))</f>
        <v/>
      </c>
      <c r="O2209" s="30" t="str">
        <f aca="false">IF(F2209="","",IF(AND(H2209="",'Vade Sapması'!$D$3&gt;G2209),'Vade Sapması'!$D$3-G2209,0))</f>
        <v/>
      </c>
      <c r="P2209" s="33" t="str">
        <f aca="false">IF(F2209="","",F2209*J2209)</f>
        <v/>
      </c>
      <c r="Q2209" s="33" t="str">
        <f aca="false">IF(F2209="","",F2209*L2209)</f>
        <v/>
      </c>
      <c r="R2209" s="33" t="str">
        <f aca="false">IF(F2209="","",IF(H2209="",F2209,0))</f>
        <v/>
      </c>
      <c r="S2209" s="32" t="str">
        <f aca="false">IF(F2209="","",IF(N(O2209)=0,"",IF(O2209&lt;=30,"1-30",IF(O2209&lt;=60,"31-60",IF(O2209&lt;=90,"61-90","90+")))))</f>
        <v/>
      </c>
      <c r="T2209" s="32" t="str">
        <f aca="false">IF(F2209="","",IF(E2209="","Diğer",E2209))</f>
        <v/>
      </c>
      <c r="U2209" s="32" t="str">
        <f aca="false">IF(OR(F2209="",C2209=""),"",IF(COUNTIF($C$2:C2209,C2209)=1,MAX($U$1:U2208)+1,""))</f>
        <v/>
      </c>
    </row>
    <row r="2210" customFormat="false" ht="15" hidden="false" customHeight="false" outlineLevel="0" collapsed="false">
      <c r="A2210" s="34"/>
      <c r="B2210" s="9"/>
      <c r="C2210" s="34"/>
      <c r="D2210" s="34"/>
      <c r="E2210" s="34"/>
      <c r="F2210" s="35"/>
      <c r="G2210" s="9"/>
      <c r="H2210" s="9"/>
      <c r="I2210" s="34"/>
      <c r="J2210" s="30" t="str">
        <f aca="false">IF(F2210="","",G2210-B2210)</f>
        <v/>
      </c>
      <c r="K2210" s="31" t="str">
        <f aca="false">IF(F2210="","",IF(H2210&lt;&gt;"",H2210,MAX('Vade Sapması'!$D$3,G2210)))</f>
        <v/>
      </c>
      <c r="L2210" s="30" t="str">
        <f aca="false">IF(F2210="","",K2210-B2210)</f>
        <v/>
      </c>
      <c r="M2210" s="30" t="str">
        <f aca="false">IF(F2210="","",L2210-J2210)</f>
        <v/>
      </c>
      <c r="N2210" s="32" t="str">
        <f aca="false">IF(F2210="","",IF(H2210&lt;&gt;"","Kapandı",IF('Vade Sapması'!$D$3&gt;G2210,"Açık · vadesi geçti","Açık · vadesi gelmedi")))</f>
        <v/>
      </c>
      <c r="O2210" s="30" t="str">
        <f aca="false">IF(F2210="","",IF(AND(H2210="",'Vade Sapması'!$D$3&gt;G2210),'Vade Sapması'!$D$3-G2210,0))</f>
        <v/>
      </c>
      <c r="P2210" s="33" t="str">
        <f aca="false">IF(F2210="","",F2210*J2210)</f>
        <v/>
      </c>
      <c r="Q2210" s="33" t="str">
        <f aca="false">IF(F2210="","",F2210*L2210)</f>
        <v/>
      </c>
      <c r="R2210" s="33" t="str">
        <f aca="false">IF(F2210="","",IF(H2210="",F2210,0))</f>
        <v/>
      </c>
      <c r="S2210" s="32" t="str">
        <f aca="false">IF(F2210="","",IF(N(O2210)=0,"",IF(O2210&lt;=30,"1-30",IF(O2210&lt;=60,"31-60",IF(O2210&lt;=90,"61-90","90+")))))</f>
        <v/>
      </c>
      <c r="T2210" s="32" t="str">
        <f aca="false">IF(F2210="","",IF(E2210="","Diğer",E2210))</f>
        <v/>
      </c>
      <c r="U2210" s="32" t="str">
        <f aca="false">IF(OR(F2210="",C2210=""),"",IF(COUNTIF($C$2:C2210,C2210)=1,MAX($U$1:U2209)+1,""))</f>
        <v/>
      </c>
    </row>
    <row r="2211" customFormat="false" ht="15" hidden="false" customHeight="false" outlineLevel="0" collapsed="false">
      <c r="A2211" s="34"/>
      <c r="B2211" s="9"/>
      <c r="C2211" s="34"/>
      <c r="D2211" s="34"/>
      <c r="E2211" s="34"/>
      <c r="F2211" s="35"/>
      <c r="G2211" s="9"/>
      <c r="H2211" s="9"/>
      <c r="I2211" s="34"/>
      <c r="J2211" s="30" t="str">
        <f aca="false">IF(F2211="","",G2211-B2211)</f>
        <v/>
      </c>
      <c r="K2211" s="31" t="str">
        <f aca="false">IF(F2211="","",IF(H2211&lt;&gt;"",H2211,MAX('Vade Sapması'!$D$3,G2211)))</f>
        <v/>
      </c>
      <c r="L2211" s="30" t="str">
        <f aca="false">IF(F2211="","",K2211-B2211)</f>
        <v/>
      </c>
      <c r="M2211" s="30" t="str">
        <f aca="false">IF(F2211="","",L2211-J2211)</f>
        <v/>
      </c>
      <c r="N2211" s="32" t="str">
        <f aca="false">IF(F2211="","",IF(H2211&lt;&gt;"","Kapandı",IF('Vade Sapması'!$D$3&gt;G2211,"Açık · vadesi geçti","Açık · vadesi gelmedi")))</f>
        <v/>
      </c>
      <c r="O2211" s="30" t="str">
        <f aca="false">IF(F2211="","",IF(AND(H2211="",'Vade Sapması'!$D$3&gt;G2211),'Vade Sapması'!$D$3-G2211,0))</f>
        <v/>
      </c>
      <c r="P2211" s="33" t="str">
        <f aca="false">IF(F2211="","",F2211*J2211)</f>
        <v/>
      </c>
      <c r="Q2211" s="33" t="str">
        <f aca="false">IF(F2211="","",F2211*L2211)</f>
        <v/>
      </c>
      <c r="R2211" s="33" t="str">
        <f aca="false">IF(F2211="","",IF(H2211="",F2211,0))</f>
        <v/>
      </c>
      <c r="S2211" s="32" t="str">
        <f aca="false">IF(F2211="","",IF(N(O2211)=0,"",IF(O2211&lt;=30,"1-30",IF(O2211&lt;=60,"31-60",IF(O2211&lt;=90,"61-90","90+")))))</f>
        <v/>
      </c>
      <c r="T2211" s="32" t="str">
        <f aca="false">IF(F2211="","",IF(E2211="","Diğer",E2211))</f>
        <v/>
      </c>
      <c r="U2211" s="32" t="str">
        <f aca="false">IF(OR(F2211="",C2211=""),"",IF(COUNTIF($C$2:C2211,C2211)=1,MAX($U$1:U2210)+1,""))</f>
        <v/>
      </c>
    </row>
    <row r="2212" customFormat="false" ht="15" hidden="false" customHeight="false" outlineLevel="0" collapsed="false">
      <c r="A2212" s="34"/>
      <c r="B2212" s="9"/>
      <c r="C2212" s="34"/>
      <c r="D2212" s="34"/>
      <c r="E2212" s="34"/>
      <c r="F2212" s="35"/>
      <c r="G2212" s="9"/>
      <c r="H2212" s="9"/>
      <c r="I2212" s="34"/>
      <c r="J2212" s="30" t="str">
        <f aca="false">IF(F2212="","",G2212-B2212)</f>
        <v/>
      </c>
      <c r="K2212" s="31" t="str">
        <f aca="false">IF(F2212="","",IF(H2212&lt;&gt;"",H2212,MAX('Vade Sapması'!$D$3,G2212)))</f>
        <v/>
      </c>
      <c r="L2212" s="30" t="str">
        <f aca="false">IF(F2212="","",K2212-B2212)</f>
        <v/>
      </c>
      <c r="M2212" s="30" t="str">
        <f aca="false">IF(F2212="","",L2212-J2212)</f>
        <v/>
      </c>
      <c r="N2212" s="32" t="str">
        <f aca="false">IF(F2212="","",IF(H2212&lt;&gt;"","Kapandı",IF('Vade Sapması'!$D$3&gt;G2212,"Açık · vadesi geçti","Açık · vadesi gelmedi")))</f>
        <v/>
      </c>
      <c r="O2212" s="30" t="str">
        <f aca="false">IF(F2212="","",IF(AND(H2212="",'Vade Sapması'!$D$3&gt;G2212),'Vade Sapması'!$D$3-G2212,0))</f>
        <v/>
      </c>
      <c r="P2212" s="33" t="str">
        <f aca="false">IF(F2212="","",F2212*J2212)</f>
        <v/>
      </c>
      <c r="Q2212" s="33" t="str">
        <f aca="false">IF(F2212="","",F2212*L2212)</f>
        <v/>
      </c>
      <c r="R2212" s="33" t="str">
        <f aca="false">IF(F2212="","",IF(H2212="",F2212,0))</f>
        <v/>
      </c>
      <c r="S2212" s="32" t="str">
        <f aca="false">IF(F2212="","",IF(N(O2212)=0,"",IF(O2212&lt;=30,"1-30",IF(O2212&lt;=60,"31-60",IF(O2212&lt;=90,"61-90","90+")))))</f>
        <v/>
      </c>
      <c r="T2212" s="32" t="str">
        <f aca="false">IF(F2212="","",IF(E2212="","Diğer",E2212))</f>
        <v/>
      </c>
      <c r="U2212" s="32" t="str">
        <f aca="false">IF(OR(F2212="",C2212=""),"",IF(COUNTIF($C$2:C2212,C2212)=1,MAX($U$1:U2211)+1,""))</f>
        <v/>
      </c>
    </row>
    <row r="2213" customFormat="false" ht="15" hidden="false" customHeight="false" outlineLevel="0" collapsed="false">
      <c r="A2213" s="34"/>
      <c r="B2213" s="9"/>
      <c r="C2213" s="34"/>
      <c r="D2213" s="34"/>
      <c r="E2213" s="34"/>
      <c r="F2213" s="35"/>
      <c r="G2213" s="9"/>
      <c r="H2213" s="9"/>
      <c r="I2213" s="34"/>
      <c r="J2213" s="30" t="str">
        <f aca="false">IF(F2213="","",G2213-B2213)</f>
        <v/>
      </c>
      <c r="K2213" s="31" t="str">
        <f aca="false">IF(F2213="","",IF(H2213&lt;&gt;"",H2213,MAX('Vade Sapması'!$D$3,G2213)))</f>
        <v/>
      </c>
      <c r="L2213" s="30" t="str">
        <f aca="false">IF(F2213="","",K2213-B2213)</f>
        <v/>
      </c>
      <c r="M2213" s="30" t="str">
        <f aca="false">IF(F2213="","",L2213-J2213)</f>
        <v/>
      </c>
      <c r="N2213" s="32" t="str">
        <f aca="false">IF(F2213="","",IF(H2213&lt;&gt;"","Kapandı",IF('Vade Sapması'!$D$3&gt;G2213,"Açık · vadesi geçti","Açık · vadesi gelmedi")))</f>
        <v/>
      </c>
      <c r="O2213" s="30" t="str">
        <f aca="false">IF(F2213="","",IF(AND(H2213="",'Vade Sapması'!$D$3&gt;G2213),'Vade Sapması'!$D$3-G2213,0))</f>
        <v/>
      </c>
      <c r="P2213" s="33" t="str">
        <f aca="false">IF(F2213="","",F2213*J2213)</f>
        <v/>
      </c>
      <c r="Q2213" s="33" t="str">
        <f aca="false">IF(F2213="","",F2213*L2213)</f>
        <v/>
      </c>
      <c r="R2213" s="33" t="str">
        <f aca="false">IF(F2213="","",IF(H2213="",F2213,0))</f>
        <v/>
      </c>
      <c r="S2213" s="32" t="str">
        <f aca="false">IF(F2213="","",IF(N(O2213)=0,"",IF(O2213&lt;=30,"1-30",IF(O2213&lt;=60,"31-60",IF(O2213&lt;=90,"61-90","90+")))))</f>
        <v/>
      </c>
      <c r="T2213" s="32" t="str">
        <f aca="false">IF(F2213="","",IF(E2213="","Diğer",E2213))</f>
        <v/>
      </c>
      <c r="U2213" s="32" t="str">
        <f aca="false">IF(OR(F2213="",C2213=""),"",IF(COUNTIF($C$2:C2213,C2213)=1,MAX($U$1:U2212)+1,""))</f>
        <v/>
      </c>
    </row>
    <row r="2214" customFormat="false" ht="15" hidden="false" customHeight="false" outlineLevel="0" collapsed="false">
      <c r="A2214" s="34"/>
      <c r="B2214" s="9"/>
      <c r="C2214" s="34"/>
      <c r="D2214" s="34"/>
      <c r="E2214" s="34"/>
      <c r="F2214" s="35"/>
      <c r="G2214" s="9"/>
      <c r="H2214" s="9"/>
      <c r="I2214" s="34"/>
      <c r="J2214" s="30" t="str">
        <f aca="false">IF(F2214="","",G2214-B2214)</f>
        <v/>
      </c>
      <c r="K2214" s="31" t="str">
        <f aca="false">IF(F2214="","",IF(H2214&lt;&gt;"",H2214,MAX('Vade Sapması'!$D$3,G2214)))</f>
        <v/>
      </c>
      <c r="L2214" s="30" t="str">
        <f aca="false">IF(F2214="","",K2214-B2214)</f>
        <v/>
      </c>
      <c r="M2214" s="30" t="str">
        <f aca="false">IF(F2214="","",L2214-J2214)</f>
        <v/>
      </c>
      <c r="N2214" s="32" t="str">
        <f aca="false">IF(F2214="","",IF(H2214&lt;&gt;"","Kapandı",IF('Vade Sapması'!$D$3&gt;G2214,"Açık · vadesi geçti","Açık · vadesi gelmedi")))</f>
        <v/>
      </c>
      <c r="O2214" s="30" t="str">
        <f aca="false">IF(F2214="","",IF(AND(H2214="",'Vade Sapması'!$D$3&gt;G2214),'Vade Sapması'!$D$3-G2214,0))</f>
        <v/>
      </c>
      <c r="P2214" s="33" t="str">
        <f aca="false">IF(F2214="","",F2214*J2214)</f>
        <v/>
      </c>
      <c r="Q2214" s="33" t="str">
        <f aca="false">IF(F2214="","",F2214*L2214)</f>
        <v/>
      </c>
      <c r="R2214" s="33" t="str">
        <f aca="false">IF(F2214="","",IF(H2214="",F2214,0))</f>
        <v/>
      </c>
      <c r="S2214" s="32" t="str">
        <f aca="false">IF(F2214="","",IF(N(O2214)=0,"",IF(O2214&lt;=30,"1-30",IF(O2214&lt;=60,"31-60",IF(O2214&lt;=90,"61-90","90+")))))</f>
        <v/>
      </c>
      <c r="T2214" s="32" t="str">
        <f aca="false">IF(F2214="","",IF(E2214="","Diğer",E2214))</f>
        <v/>
      </c>
      <c r="U2214" s="32" t="str">
        <f aca="false">IF(OR(F2214="",C2214=""),"",IF(COUNTIF($C$2:C2214,C2214)=1,MAX($U$1:U2213)+1,""))</f>
        <v/>
      </c>
    </row>
    <row r="2215" customFormat="false" ht="15" hidden="false" customHeight="false" outlineLevel="0" collapsed="false">
      <c r="A2215" s="34"/>
      <c r="B2215" s="9"/>
      <c r="C2215" s="34"/>
      <c r="D2215" s="34"/>
      <c r="E2215" s="34"/>
      <c r="F2215" s="35"/>
      <c r="G2215" s="9"/>
      <c r="H2215" s="9"/>
      <c r="I2215" s="34"/>
      <c r="J2215" s="30" t="str">
        <f aca="false">IF(F2215="","",G2215-B2215)</f>
        <v/>
      </c>
      <c r="K2215" s="31" t="str">
        <f aca="false">IF(F2215="","",IF(H2215&lt;&gt;"",H2215,MAX('Vade Sapması'!$D$3,G2215)))</f>
        <v/>
      </c>
      <c r="L2215" s="30" t="str">
        <f aca="false">IF(F2215="","",K2215-B2215)</f>
        <v/>
      </c>
      <c r="M2215" s="30" t="str">
        <f aca="false">IF(F2215="","",L2215-J2215)</f>
        <v/>
      </c>
      <c r="N2215" s="32" t="str">
        <f aca="false">IF(F2215="","",IF(H2215&lt;&gt;"","Kapandı",IF('Vade Sapması'!$D$3&gt;G2215,"Açık · vadesi geçti","Açık · vadesi gelmedi")))</f>
        <v/>
      </c>
      <c r="O2215" s="30" t="str">
        <f aca="false">IF(F2215="","",IF(AND(H2215="",'Vade Sapması'!$D$3&gt;G2215),'Vade Sapması'!$D$3-G2215,0))</f>
        <v/>
      </c>
      <c r="P2215" s="33" t="str">
        <f aca="false">IF(F2215="","",F2215*J2215)</f>
        <v/>
      </c>
      <c r="Q2215" s="33" t="str">
        <f aca="false">IF(F2215="","",F2215*L2215)</f>
        <v/>
      </c>
      <c r="R2215" s="33" t="str">
        <f aca="false">IF(F2215="","",IF(H2215="",F2215,0))</f>
        <v/>
      </c>
      <c r="S2215" s="32" t="str">
        <f aca="false">IF(F2215="","",IF(N(O2215)=0,"",IF(O2215&lt;=30,"1-30",IF(O2215&lt;=60,"31-60",IF(O2215&lt;=90,"61-90","90+")))))</f>
        <v/>
      </c>
      <c r="T2215" s="32" t="str">
        <f aca="false">IF(F2215="","",IF(E2215="","Diğer",E2215))</f>
        <v/>
      </c>
      <c r="U2215" s="32" t="str">
        <f aca="false">IF(OR(F2215="",C2215=""),"",IF(COUNTIF($C$2:C2215,C2215)=1,MAX($U$1:U2214)+1,""))</f>
        <v/>
      </c>
    </row>
    <row r="2216" customFormat="false" ht="15" hidden="false" customHeight="false" outlineLevel="0" collapsed="false">
      <c r="A2216" s="34"/>
      <c r="B2216" s="9"/>
      <c r="C2216" s="34"/>
      <c r="D2216" s="34"/>
      <c r="E2216" s="34"/>
      <c r="F2216" s="35"/>
      <c r="G2216" s="9"/>
      <c r="H2216" s="9"/>
      <c r="I2216" s="34"/>
      <c r="J2216" s="30" t="str">
        <f aca="false">IF(F2216="","",G2216-B2216)</f>
        <v/>
      </c>
      <c r="K2216" s="31" t="str">
        <f aca="false">IF(F2216="","",IF(H2216&lt;&gt;"",H2216,MAX('Vade Sapması'!$D$3,G2216)))</f>
        <v/>
      </c>
      <c r="L2216" s="30" t="str">
        <f aca="false">IF(F2216="","",K2216-B2216)</f>
        <v/>
      </c>
      <c r="M2216" s="30" t="str">
        <f aca="false">IF(F2216="","",L2216-J2216)</f>
        <v/>
      </c>
      <c r="N2216" s="32" t="str">
        <f aca="false">IF(F2216="","",IF(H2216&lt;&gt;"","Kapandı",IF('Vade Sapması'!$D$3&gt;G2216,"Açık · vadesi geçti","Açık · vadesi gelmedi")))</f>
        <v/>
      </c>
      <c r="O2216" s="30" t="str">
        <f aca="false">IF(F2216="","",IF(AND(H2216="",'Vade Sapması'!$D$3&gt;G2216),'Vade Sapması'!$D$3-G2216,0))</f>
        <v/>
      </c>
      <c r="P2216" s="33" t="str">
        <f aca="false">IF(F2216="","",F2216*J2216)</f>
        <v/>
      </c>
      <c r="Q2216" s="33" t="str">
        <f aca="false">IF(F2216="","",F2216*L2216)</f>
        <v/>
      </c>
      <c r="R2216" s="33" t="str">
        <f aca="false">IF(F2216="","",IF(H2216="",F2216,0))</f>
        <v/>
      </c>
      <c r="S2216" s="32" t="str">
        <f aca="false">IF(F2216="","",IF(N(O2216)=0,"",IF(O2216&lt;=30,"1-30",IF(O2216&lt;=60,"31-60",IF(O2216&lt;=90,"61-90","90+")))))</f>
        <v/>
      </c>
      <c r="T2216" s="32" t="str">
        <f aca="false">IF(F2216="","",IF(E2216="","Diğer",E2216))</f>
        <v/>
      </c>
      <c r="U2216" s="32" t="str">
        <f aca="false">IF(OR(F2216="",C2216=""),"",IF(COUNTIF($C$2:C2216,C2216)=1,MAX($U$1:U2215)+1,""))</f>
        <v/>
      </c>
    </row>
    <row r="2217" customFormat="false" ht="15" hidden="false" customHeight="false" outlineLevel="0" collapsed="false">
      <c r="A2217" s="34"/>
      <c r="B2217" s="9"/>
      <c r="C2217" s="34"/>
      <c r="D2217" s="34"/>
      <c r="E2217" s="34"/>
      <c r="F2217" s="35"/>
      <c r="G2217" s="9"/>
      <c r="H2217" s="9"/>
      <c r="I2217" s="34"/>
      <c r="J2217" s="30" t="str">
        <f aca="false">IF(F2217="","",G2217-B2217)</f>
        <v/>
      </c>
      <c r="K2217" s="31" t="str">
        <f aca="false">IF(F2217="","",IF(H2217&lt;&gt;"",H2217,MAX('Vade Sapması'!$D$3,G2217)))</f>
        <v/>
      </c>
      <c r="L2217" s="30" t="str">
        <f aca="false">IF(F2217="","",K2217-B2217)</f>
        <v/>
      </c>
      <c r="M2217" s="30" t="str">
        <f aca="false">IF(F2217="","",L2217-J2217)</f>
        <v/>
      </c>
      <c r="N2217" s="32" t="str">
        <f aca="false">IF(F2217="","",IF(H2217&lt;&gt;"","Kapandı",IF('Vade Sapması'!$D$3&gt;G2217,"Açık · vadesi geçti","Açık · vadesi gelmedi")))</f>
        <v/>
      </c>
      <c r="O2217" s="30" t="str">
        <f aca="false">IF(F2217="","",IF(AND(H2217="",'Vade Sapması'!$D$3&gt;G2217),'Vade Sapması'!$D$3-G2217,0))</f>
        <v/>
      </c>
      <c r="P2217" s="33" t="str">
        <f aca="false">IF(F2217="","",F2217*J2217)</f>
        <v/>
      </c>
      <c r="Q2217" s="33" t="str">
        <f aca="false">IF(F2217="","",F2217*L2217)</f>
        <v/>
      </c>
      <c r="R2217" s="33" t="str">
        <f aca="false">IF(F2217="","",IF(H2217="",F2217,0))</f>
        <v/>
      </c>
      <c r="S2217" s="32" t="str">
        <f aca="false">IF(F2217="","",IF(N(O2217)=0,"",IF(O2217&lt;=30,"1-30",IF(O2217&lt;=60,"31-60",IF(O2217&lt;=90,"61-90","90+")))))</f>
        <v/>
      </c>
      <c r="T2217" s="32" t="str">
        <f aca="false">IF(F2217="","",IF(E2217="","Diğer",E2217))</f>
        <v/>
      </c>
      <c r="U2217" s="32" t="str">
        <f aca="false">IF(OR(F2217="",C2217=""),"",IF(COUNTIF($C$2:C2217,C2217)=1,MAX($U$1:U2216)+1,""))</f>
        <v/>
      </c>
    </row>
    <row r="2218" customFormat="false" ht="15" hidden="false" customHeight="false" outlineLevel="0" collapsed="false">
      <c r="A2218" s="34"/>
      <c r="B2218" s="9"/>
      <c r="C2218" s="34"/>
      <c r="D2218" s="34"/>
      <c r="E2218" s="34"/>
      <c r="F2218" s="35"/>
      <c r="G2218" s="9"/>
      <c r="H2218" s="9"/>
      <c r="I2218" s="34"/>
      <c r="J2218" s="30" t="str">
        <f aca="false">IF(F2218="","",G2218-B2218)</f>
        <v/>
      </c>
      <c r="K2218" s="31" t="str">
        <f aca="false">IF(F2218="","",IF(H2218&lt;&gt;"",H2218,MAX('Vade Sapması'!$D$3,G2218)))</f>
        <v/>
      </c>
      <c r="L2218" s="30" t="str">
        <f aca="false">IF(F2218="","",K2218-B2218)</f>
        <v/>
      </c>
      <c r="M2218" s="30" t="str">
        <f aca="false">IF(F2218="","",L2218-J2218)</f>
        <v/>
      </c>
      <c r="N2218" s="32" t="str">
        <f aca="false">IF(F2218="","",IF(H2218&lt;&gt;"","Kapandı",IF('Vade Sapması'!$D$3&gt;G2218,"Açık · vadesi geçti","Açık · vadesi gelmedi")))</f>
        <v/>
      </c>
      <c r="O2218" s="30" t="str">
        <f aca="false">IF(F2218="","",IF(AND(H2218="",'Vade Sapması'!$D$3&gt;G2218),'Vade Sapması'!$D$3-G2218,0))</f>
        <v/>
      </c>
      <c r="P2218" s="33" t="str">
        <f aca="false">IF(F2218="","",F2218*J2218)</f>
        <v/>
      </c>
      <c r="Q2218" s="33" t="str">
        <f aca="false">IF(F2218="","",F2218*L2218)</f>
        <v/>
      </c>
      <c r="R2218" s="33" t="str">
        <f aca="false">IF(F2218="","",IF(H2218="",F2218,0))</f>
        <v/>
      </c>
      <c r="S2218" s="32" t="str">
        <f aca="false">IF(F2218="","",IF(N(O2218)=0,"",IF(O2218&lt;=30,"1-30",IF(O2218&lt;=60,"31-60",IF(O2218&lt;=90,"61-90","90+")))))</f>
        <v/>
      </c>
      <c r="T2218" s="32" t="str">
        <f aca="false">IF(F2218="","",IF(E2218="","Diğer",E2218))</f>
        <v/>
      </c>
      <c r="U2218" s="32" t="str">
        <f aca="false">IF(OR(F2218="",C2218=""),"",IF(COUNTIF($C$2:C2218,C2218)=1,MAX($U$1:U2217)+1,""))</f>
        <v/>
      </c>
    </row>
    <row r="2219" customFormat="false" ht="15" hidden="false" customHeight="false" outlineLevel="0" collapsed="false">
      <c r="A2219" s="34"/>
      <c r="B2219" s="9"/>
      <c r="C2219" s="34"/>
      <c r="D2219" s="34"/>
      <c r="E2219" s="34"/>
      <c r="F2219" s="35"/>
      <c r="G2219" s="9"/>
      <c r="H2219" s="9"/>
      <c r="I2219" s="34"/>
      <c r="J2219" s="30" t="str">
        <f aca="false">IF(F2219="","",G2219-B2219)</f>
        <v/>
      </c>
      <c r="K2219" s="31" t="str">
        <f aca="false">IF(F2219="","",IF(H2219&lt;&gt;"",H2219,MAX('Vade Sapması'!$D$3,G2219)))</f>
        <v/>
      </c>
      <c r="L2219" s="30" t="str">
        <f aca="false">IF(F2219="","",K2219-B2219)</f>
        <v/>
      </c>
      <c r="M2219" s="30" t="str">
        <f aca="false">IF(F2219="","",L2219-J2219)</f>
        <v/>
      </c>
      <c r="N2219" s="32" t="str">
        <f aca="false">IF(F2219="","",IF(H2219&lt;&gt;"","Kapandı",IF('Vade Sapması'!$D$3&gt;G2219,"Açık · vadesi geçti","Açık · vadesi gelmedi")))</f>
        <v/>
      </c>
      <c r="O2219" s="30" t="str">
        <f aca="false">IF(F2219="","",IF(AND(H2219="",'Vade Sapması'!$D$3&gt;G2219),'Vade Sapması'!$D$3-G2219,0))</f>
        <v/>
      </c>
      <c r="P2219" s="33" t="str">
        <f aca="false">IF(F2219="","",F2219*J2219)</f>
        <v/>
      </c>
      <c r="Q2219" s="33" t="str">
        <f aca="false">IF(F2219="","",F2219*L2219)</f>
        <v/>
      </c>
      <c r="R2219" s="33" t="str">
        <f aca="false">IF(F2219="","",IF(H2219="",F2219,0))</f>
        <v/>
      </c>
      <c r="S2219" s="32" t="str">
        <f aca="false">IF(F2219="","",IF(N(O2219)=0,"",IF(O2219&lt;=30,"1-30",IF(O2219&lt;=60,"31-60",IF(O2219&lt;=90,"61-90","90+")))))</f>
        <v/>
      </c>
      <c r="T2219" s="32" t="str">
        <f aca="false">IF(F2219="","",IF(E2219="","Diğer",E2219))</f>
        <v/>
      </c>
      <c r="U2219" s="32" t="str">
        <f aca="false">IF(OR(F2219="",C2219=""),"",IF(COUNTIF($C$2:C2219,C2219)=1,MAX($U$1:U2218)+1,""))</f>
        <v/>
      </c>
    </row>
    <row r="2220" customFormat="false" ht="15" hidden="false" customHeight="false" outlineLevel="0" collapsed="false">
      <c r="A2220" s="34"/>
      <c r="B2220" s="9"/>
      <c r="C2220" s="34"/>
      <c r="D2220" s="34"/>
      <c r="E2220" s="34"/>
      <c r="F2220" s="35"/>
      <c r="G2220" s="9"/>
      <c r="H2220" s="9"/>
      <c r="I2220" s="34"/>
      <c r="J2220" s="30" t="str">
        <f aca="false">IF(F2220="","",G2220-B2220)</f>
        <v/>
      </c>
      <c r="K2220" s="31" t="str">
        <f aca="false">IF(F2220="","",IF(H2220&lt;&gt;"",H2220,MAX('Vade Sapması'!$D$3,G2220)))</f>
        <v/>
      </c>
      <c r="L2220" s="30" t="str">
        <f aca="false">IF(F2220="","",K2220-B2220)</f>
        <v/>
      </c>
      <c r="M2220" s="30" t="str">
        <f aca="false">IF(F2220="","",L2220-J2220)</f>
        <v/>
      </c>
      <c r="N2220" s="32" t="str">
        <f aca="false">IF(F2220="","",IF(H2220&lt;&gt;"","Kapandı",IF('Vade Sapması'!$D$3&gt;G2220,"Açık · vadesi geçti","Açık · vadesi gelmedi")))</f>
        <v/>
      </c>
      <c r="O2220" s="30" t="str">
        <f aca="false">IF(F2220="","",IF(AND(H2220="",'Vade Sapması'!$D$3&gt;G2220),'Vade Sapması'!$D$3-G2220,0))</f>
        <v/>
      </c>
      <c r="P2220" s="33" t="str">
        <f aca="false">IF(F2220="","",F2220*J2220)</f>
        <v/>
      </c>
      <c r="Q2220" s="33" t="str">
        <f aca="false">IF(F2220="","",F2220*L2220)</f>
        <v/>
      </c>
      <c r="R2220" s="33" t="str">
        <f aca="false">IF(F2220="","",IF(H2220="",F2220,0))</f>
        <v/>
      </c>
      <c r="S2220" s="32" t="str">
        <f aca="false">IF(F2220="","",IF(N(O2220)=0,"",IF(O2220&lt;=30,"1-30",IF(O2220&lt;=60,"31-60",IF(O2220&lt;=90,"61-90","90+")))))</f>
        <v/>
      </c>
      <c r="T2220" s="32" t="str">
        <f aca="false">IF(F2220="","",IF(E2220="","Diğer",E2220))</f>
        <v/>
      </c>
      <c r="U2220" s="32" t="str">
        <f aca="false">IF(OR(F2220="",C2220=""),"",IF(COUNTIF($C$2:C2220,C2220)=1,MAX($U$1:U2219)+1,""))</f>
        <v/>
      </c>
    </row>
    <row r="2221" customFormat="false" ht="15" hidden="false" customHeight="false" outlineLevel="0" collapsed="false">
      <c r="A2221" s="34"/>
      <c r="B2221" s="9"/>
      <c r="C2221" s="34"/>
      <c r="D2221" s="34"/>
      <c r="E2221" s="34"/>
      <c r="F2221" s="35"/>
      <c r="G2221" s="9"/>
      <c r="H2221" s="9"/>
      <c r="I2221" s="34"/>
      <c r="J2221" s="30" t="str">
        <f aca="false">IF(F2221="","",G2221-B2221)</f>
        <v/>
      </c>
      <c r="K2221" s="31" t="str">
        <f aca="false">IF(F2221="","",IF(H2221&lt;&gt;"",H2221,MAX('Vade Sapması'!$D$3,G2221)))</f>
        <v/>
      </c>
      <c r="L2221" s="30" t="str">
        <f aca="false">IF(F2221="","",K2221-B2221)</f>
        <v/>
      </c>
      <c r="M2221" s="30" t="str">
        <f aca="false">IF(F2221="","",L2221-J2221)</f>
        <v/>
      </c>
      <c r="N2221" s="32" t="str">
        <f aca="false">IF(F2221="","",IF(H2221&lt;&gt;"","Kapandı",IF('Vade Sapması'!$D$3&gt;G2221,"Açık · vadesi geçti","Açık · vadesi gelmedi")))</f>
        <v/>
      </c>
      <c r="O2221" s="30" t="str">
        <f aca="false">IF(F2221="","",IF(AND(H2221="",'Vade Sapması'!$D$3&gt;G2221),'Vade Sapması'!$D$3-G2221,0))</f>
        <v/>
      </c>
      <c r="P2221" s="33" t="str">
        <f aca="false">IF(F2221="","",F2221*J2221)</f>
        <v/>
      </c>
      <c r="Q2221" s="33" t="str">
        <f aca="false">IF(F2221="","",F2221*L2221)</f>
        <v/>
      </c>
      <c r="R2221" s="33" t="str">
        <f aca="false">IF(F2221="","",IF(H2221="",F2221,0))</f>
        <v/>
      </c>
      <c r="S2221" s="32" t="str">
        <f aca="false">IF(F2221="","",IF(N(O2221)=0,"",IF(O2221&lt;=30,"1-30",IF(O2221&lt;=60,"31-60",IF(O2221&lt;=90,"61-90","90+")))))</f>
        <v/>
      </c>
      <c r="T2221" s="32" t="str">
        <f aca="false">IF(F2221="","",IF(E2221="","Diğer",E2221))</f>
        <v/>
      </c>
      <c r="U2221" s="32" t="str">
        <f aca="false">IF(OR(F2221="",C2221=""),"",IF(COUNTIF($C$2:C2221,C2221)=1,MAX($U$1:U2220)+1,""))</f>
        <v/>
      </c>
    </row>
    <row r="2222" customFormat="false" ht="15" hidden="false" customHeight="false" outlineLevel="0" collapsed="false">
      <c r="A2222" s="34"/>
      <c r="B2222" s="9"/>
      <c r="C2222" s="34"/>
      <c r="D2222" s="34"/>
      <c r="E2222" s="34"/>
      <c r="F2222" s="35"/>
      <c r="G2222" s="9"/>
      <c r="H2222" s="9"/>
      <c r="I2222" s="34"/>
      <c r="J2222" s="30" t="str">
        <f aca="false">IF(F2222="","",G2222-B2222)</f>
        <v/>
      </c>
      <c r="K2222" s="31" t="str">
        <f aca="false">IF(F2222="","",IF(H2222&lt;&gt;"",H2222,MAX('Vade Sapması'!$D$3,G2222)))</f>
        <v/>
      </c>
      <c r="L2222" s="30" t="str">
        <f aca="false">IF(F2222="","",K2222-B2222)</f>
        <v/>
      </c>
      <c r="M2222" s="30" t="str">
        <f aca="false">IF(F2222="","",L2222-J2222)</f>
        <v/>
      </c>
      <c r="N2222" s="32" t="str">
        <f aca="false">IF(F2222="","",IF(H2222&lt;&gt;"","Kapandı",IF('Vade Sapması'!$D$3&gt;G2222,"Açık · vadesi geçti","Açık · vadesi gelmedi")))</f>
        <v/>
      </c>
      <c r="O2222" s="30" t="str">
        <f aca="false">IF(F2222="","",IF(AND(H2222="",'Vade Sapması'!$D$3&gt;G2222),'Vade Sapması'!$D$3-G2222,0))</f>
        <v/>
      </c>
      <c r="P2222" s="33" t="str">
        <f aca="false">IF(F2222="","",F2222*J2222)</f>
        <v/>
      </c>
      <c r="Q2222" s="33" t="str">
        <f aca="false">IF(F2222="","",F2222*L2222)</f>
        <v/>
      </c>
      <c r="R2222" s="33" t="str">
        <f aca="false">IF(F2222="","",IF(H2222="",F2222,0))</f>
        <v/>
      </c>
      <c r="S2222" s="32" t="str">
        <f aca="false">IF(F2222="","",IF(N(O2222)=0,"",IF(O2222&lt;=30,"1-30",IF(O2222&lt;=60,"31-60",IF(O2222&lt;=90,"61-90","90+")))))</f>
        <v/>
      </c>
      <c r="T2222" s="32" t="str">
        <f aca="false">IF(F2222="","",IF(E2222="","Diğer",E2222))</f>
        <v/>
      </c>
      <c r="U2222" s="32" t="str">
        <f aca="false">IF(OR(F2222="",C2222=""),"",IF(COUNTIF($C$2:C2222,C2222)=1,MAX($U$1:U2221)+1,""))</f>
        <v/>
      </c>
    </row>
    <row r="2223" customFormat="false" ht="15" hidden="false" customHeight="false" outlineLevel="0" collapsed="false">
      <c r="A2223" s="34"/>
      <c r="B2223" s="9"/>
      <c r="C2223" s="34"/>
      <c r="D2223" s="34"/>
      <c r="E2223" s="34"/>
      <c r="F2223" s="35"/>
      <c r="G2223" s="9"/>
      <c r="H2223" s="9"/>
      <c r="I2223" s="34"/>
      <c r="J2223" s="30" t="str">
        <f aca="false">IF(F2223="","",G2223-B2223)</f>
        <v/>
      </c>
      <c r="K2223" s="31" t="str">
        <f aca="false">IF(F2223="","",IF(H2223&lt;&gt;"",H2223,MAX('Vade Sapması'!$D$3,G2223)))</f>
        <v/>
      </c>
      <c r="L2223" s="30" t="str">
        <f aca="false">IF(F2223="","",K2223-B2223)</f>
        <v/>
      </c>
      <c r="M2223" s="30" t="str">
        <f aca="false">IF(F2223="","",L2223-J2223)</f>
        <v/>
      </c>
      <c r="N2223" s="32" t="str">
        <f aca="false">IF(F2223="","",IF(H2223&lt;&gt;"","Kapandı",IF('Vade Sapması'!$D$3&gt;G2223,"Açık · vadesi geçti","Açık · vadesi gelmedi")))</f>
        <v/>
      </c>
      <c r="O2223" s="30" t="str">
        <f aca="false">IF(F2223="","",IF(AND(H2223="",'Vade Sapması'!$D$3&gt;G2223),'Vade Sapması'!$D$3-G2223,0))</f>
        <v/>
      </c>
      <c r="P2223" s="33" t="str">
        <f aca="false">IF(F2223="","",F2223*J2223)</f>
        <v/>
      </c>
      <c r="Q2223" s="33" t="str">
        <f aca="false">IF(F2223="","",F2223*L2223)</f>
        <v/>
      </c>
      <c r="R2223" s="33" t="str">
        <f aca="false">IF(F2223="","",IF(H2223="",F2223,0))</f>
        <v/>
      </c>
      <c r="S2223" s="32" t="str">
        <f aca="false">IF(F2223="","",IF(N(O2223)=0,"",IF(O2223&lt;=30,"1-30",IF(O2223&lt;=60,"31-60",IF(O2223&lt;=90,"61-90","90+")))))</f>
        <v/>
      </c>
      <c r="T2223" s="32" t="str">
        <f aca="false">IF(F2223="","",IF(E2223="","Diğer",E2223))</f>
        <v/>
      </c>
      <c r="U2223" s="32" t="str">
        <f aca="false">IF(OR(F2223="",C2223=""),"",IF(COUNTIF($C$2:C2223,C2223)=1,MAX($U$1:U2222)+1,""))</f>
        <v/>
      </c>
    </row>
    <row r="2224" customFormat="false" ht="15" hidden="false" customHeight="false" outlineLevel="0" collapsed="false">
      <c r="A2224" s="34"/>
      <c r="B2224" s="9"/>
      <c r="C2224" s="34"/>
      <c r="D2224" s="34"/>
      <c r="E2224" s="34"/>
      <c r="F2224" s="35"/>
      <c r="G2224" s="9"/>
      <c r="H2224" s="9"/>
      <c r="I2224" s="34"/>
      <c r="J2224" s="30" t="str">
        <f aca="false">IF(F2224="","",G2224-B2224)</f>
        <v/>
      </c>
      <c r="K2224" s="31" t="str">
        <f aca="false">IF(F2224="","",IF(H2224&lt;&gt;"",H2224,MAX('Vade Sapması'!$D$3,G2224)))</f>
        <v/>
      </c>
      <c r="L2224" s="30" t="str">
        <f aca="false">IF(F2224="","",K2224-B2224)</f>
        <v/>
      </c>
      <c r="M2224" s="30" t="str">
        <f aca="false">IF(F2224="","",L2224-J2224)</f>
        <v/>
      </c>
      <c r="N2224" s="32" t="str">
        <f aca="false">IF(F2224="","",IF(H2224&lt;&gt;"","Kapandı",IF('Vade Sapması'!$D$3&gt;G2224,"Açık · vadesi geçti","Açık · vadesi gelmedi")))</f>
        <v/>
      </c>
      <c r="O2224" s="30" t="str">
        <f aca="false">IF(F2224="","",IF(AND(H2224="",'Vade Sapması'!$D$3&gt;G2224),'Vade Sapması'!$D$3-G2224,0))</f>
        <v/>
      </c>
      <c r="P2224" s="33" t="str">
        <f aca="false">IF(F2224="","",F2224*J2224)</f>
        <v/>
      </c>
      <c r="Q2224" s="33" t="str">
        <f aca="false">IF(F2224="","",F2224*L2224)</f>
        <v/>
      </c>
      <c r="R2224" s="33" t="str">
        <f aca="false">IF(F2224="","",IF(H2224="",F2224,0))</f>
        <v/>
      </c>
      <c r="S2224" s="32" t="str">
        <f aca="false">IF(F2224="","",IF(N(O2224)=0,"",IF(O2224&lt;=30,"1-30",IF(O2224&lt;=60,"31-60",IF(O2224&lt;=90,"61-90","90+")))))</f>
        <v/>
      </c>
      <c r="T2224" s="32" t="str">
        <f aca="false">IF(F2224="","",IF(E2224="","Diğer",E2224))</f>
        <v/>
      </c>
      <c r="U2224" s="32" t="str">
        <f aca="false">IF(OR(F2224="",C2224=""),"",IF(COUNTIF($C$2:C2224,C2224)=1,MAX($U$1:U2223)+1,""))</f>
        <v/>
      </c>
    </row>
    <row r="2225" customFormat="false" ht="15" hidden="false" customHeight="false" outlineLevel="0" collapsed="false">
      <c r="A2225" s="34"/>
      <c r="B2225" s="9"/>
      <c r="C2225" s="34"/>
      <c r="D2225" s="34"/>
      <c r="E2225" s="34"/>
      <c r="F2225" s="35"/>
      <c r="G2225" s="9"/>
      <c r="H2225" s="9"/>
      <c r="I2225" s="34"/>
      <c r="J2225" s="30" t="str">
        <f aca="false">IF(F2225="","",G2225-B2225)</f>
        <v/>
      </c>
      <c r="K2225" s="31" t="str">
        <f aca="false">IF(F2225="","",IF(H2225&lt;&gt;"",H2225,MAX('Vade Sapması'!$D$3,G2225)))</f>
        <v/>
      </c>
      <c r="L2225" s="30" t="str">
        <f aca="false">IF(F2225="","",K2225-B2225)</f>
        <v/>
      </c>
      <c r="M2225" s="30" t="str">
        <f aca="false">IF(F2225="","",L2225-J2225)</f>
        <v/>
      </c>
      <c r="N2225" s="32" t="str">
        <f aca="false">IF(F2225="","",IF(H2225&lt;&gt;"","Kapandı",IF('Vade Sapması'!$D$3&gt;G2225,"Açık · vadesi geçti","Açık · vadesi gelmedi")))</f>
        <v/>
      </c>
      <c r="O2225" s="30" t="str">
        <f aca="false">IF(F2225="","",IF(AND(H2225="",'Vade Sapması'!$D$3&gt;G2225),'Vade Sapması'!$D$3-G2225,0))</f>
        <v/>
      </c>
      <c r="P2225" s="33" t="str">
        <f aca="false">IF(F2225="","",F2225*J2225)</f>
        <v/>
      </c>
      <c r="Q2225" s="33" t="str">
        <f aca="false">IF(F2225="","",F2225*L2225)</f>
        <v/>
      </c>
      <c r="R2225" s="33" t="str">
        <f aca="false">IF(F2225="","",IF(H2225="",F2225,0))</f>
        <v/>
      </c>
      <c r="S2225" s="32" t="str">
        <f aca="false">IF(F2225="","",IF(N(O2225)=0,"",IF(O2225&lt;=30,"1-30",IF(O2225&lt;=60,"31-60",IF(O2225&lt;=90,"61-90","90+")))))</f>
        <v/>
      </c>
      <c r="T2225" s="32" t="str">
        <f aca="false">IF(F2225="","",IF(E2225="","Diğer",E2225))</f>
        <v/>
      </c>
      <c r="U2225" s="32" t="str">
        <f aca="false">IF(OR(F2225="",C2225=""),"",IF(COUNTIF($C$2:C2225,C2225)=1,MAX($U$1:U2224)+1,""))</f>
        <v/>
      </c>
    </row>
    <row r="2226" customFormat="false" ht="15" hidden="false" customHeight="false" outlineLevel="0" collapsed="false">
      <c r="A2226" s="34"/>
      <c r="B2226" s="9"/>
      <c r="C2226" s="34"/>
      <c r="D2226" s="34"/>
      <c r="E2226" s="34"/>
      <c r="F2226" s="35"/>
      <c r="G2226" s="9"/>
      <c r="H2226" s="9"/>
      <c r="I2226" s="34"/>
      <c r="J2226" s="30" t="str">
        <f aca="false">IF(F2226="","",G2226-B2226)</f>
        <v/>
      </c>
      <c r="K2226" s="31" t="str">
        <f aca="false">IF(F2226="","",IF(H2226&lt;&gt;"",H2226,MAX('Vade Sapması'!$D$3,G2226)))</f>
        <v/>
      </c>
      <c r="L2226" s="30" t="str">
        <f aca="false">IF(F2226="","",K2226-B2226)</f>
        <v/>
      </c>
      <c r="M2226" s="30" t="str">
        <f aca="false">IF(F2226="","",L2226-J2226)</f>
        <v/>
      </c>
      <c r="N2226" s="32" t="str">
        <f aca="false">IF(F2226="","",IF(H2226&lt;&gt;"","Kapandı",IF('Vade Sapması'!$D$3&gt;G2226,"Açık · vadesi geçti","Açık · vadesi gelmedi")))</f>
        <v/>
      </c>
      <c r="O2226" s="30" t="str">
        <f aca="false">IF(F2226="","",IF(AND(H2226="",'Vade Sapması'!$D$3&gt;G2226),'Vade Sapması'!$D$3-G2226,0))</f>
        <v/>
      </c>
      <c r="P2226" s="33" t="str">
        <f aca="false">IF(F2226="","",F2226*J2226)</f>
        <v/>
      </c>
      <c r="Q2226" s="33" t="str">
        <f aca="false">IF(F2226="","",F2226*L2226)</f>
        <v/>
      </c>
      <c r="R2226" s="33" t="str">
        <f aca="false">IF(F2226="","",IF(H2226="",F2226,0))</f>
        <v/>
      </c>
      <c r="S2226" s="32" t="str">
        <f aca="false">IF(F2226="","",IF(N(O2226)=0,"",IF(O2226&lt;=30,"1-30",IF(O2226&lt;=60,"31-60",IF(O2226&lt;=90,"61-90","90+")))))</f>
        <v/>
      </c>
      <c r="T2226" s="32" t="str">
        <f aca="false">IF(F2226="","",IF(E2226="","Diğer",E2226))</f>
        <v/>
      </c>
      <c r="U2226" s="32" t="str">
        <f aca="false">IF(OR(F2226="",C2226=""),"",IF(COUNTIF($C$2:C2226,C2226)=1,MAX($U$1:U2225)+1,""))</f>
        <v/>
      </c>
    </row>
    <row r="2227" customFormat="false" ht="15" hidden="false" customHeight="false" outlineLevel="0" collapsed="false">
      <c r="A2227" s="34"/>
      <c r="B2227" s="9"/>
      <c r="C2227" s="34"/>
      <c r="D2227" s="34"/>
      <c r="E2227" s="34"/>
      <c r="F2227" s="35"/>
      <c r="G2227" s="9"/>
      <c r="H2227" s="9"/>
      <c r="I2227" s="34"/>
      <c r="J2227" s="30" t="str">
        <f aca="false">IF(F2227="","",G2227-B2227)</f>
        <v/>
      </c>
      <c r="K2227" s="31" t="str">
        <f aca="false">IF(F2227="","",IF(H2227&lt;&gt;"",H2227,MAX('Vade Sapması'!$D$3,G2227)))</f>
        <v/>
      </c>
      <c r="L2227" s="30" t="str">
        <f aca="false">IF(F2227="","",K2227-B2227)</f>
        <v/>
      </c>
      <c r="M2227" s="30" t="str">
        <f aca="false">IF(F2227="","",L2227-J2227)</f>
        <v/>
      </c>
      <c r="N2227" s="32" t="str">
        <f aca="false">IF(F2227="","",IF(H2227&lt;&gt;"","Kapandı",IF('Vade Sapması'!$D$3&gt;G2227,"Açık · vadesi geçti","Açık · vadesi gelmedi")))</f>
        <v/>
      </c>
      <c r="O2227" s="30" t="str">
        <f aca="false">IF(F2227="","",IF(AND(H2227="",'Vade Sapması'!$D$3&gt;G2227),'Vade Sapması'!$D$3-G2227,0))</f>
        <v/>
      </c>
      <c r="P2227" s="33" t="str">
        <f aca="false">IF(F2227="","",F2227*J2227)</f>
        <v/>
      </c>
      <c r="Q2227" s="33" t="str">
        <f aca="false">IF(F2227="","",F2227*L2227)</f>
        <v/>
      </c>
      <c r="R2227" s="33" t="str">
        <f aca="false">IF(F2227="","",IF(H2227="",F2227,0))</f>
        <v/>
      </c>
      <c r="S2227" s="32" t="str">
        <f aca="false">IF(F2227="","",IF(N(O2227)=0,"",IF(O2227&lt;=30,"1-30",IF(O2227&lt;=60,"31-60",IF(O2227&lt;=90,"61-90","90+")))))</f>
        <v/>
      </c>
      <c r="T2227" s="32" t="str">
        <f aca="false">IF(F2227="","",IF(E2227="","Diğer",E2227))</f>
        <v/>
      </c>
      <c r="U2227" s="32" t="str">
        <f aca="false">IF(OR(F2227="",C2227=""),"",IF(COUNTIF($C$2:C2227,C2227)=1,MAX($U$1:U2226)+1,""))</f>
        <v/>
      </c>
    </row>
    <row r="2228" customFormat="false" ht="15" hidden="false" customHeight="false" outlineLevel="0" collapsed="false">
      <c r="A2228" s="34"/>
      <c r="B2228" s="9"/>
      <c r="C2228" s="34"/>
      <c r="D2228" s="34"/>
      <c r="E2228" s="34"/>
      <c r="F2228" s="35"/>
      <c r="G2228" s="9"/>
      <c r="H2228" s="9"/>
      <c r="I2228" s="34"/>
      <c r="J2228" s="30" t="str">
        <f aca="false">IF(F2228="","",G2228-B2228)</f>
        <v/>
      </c>
      <c r="K2228" s="31" t="str">
        <f aca="false">IF(F2228="","",IF(H2228&lt;&gt;"",H2228,MAX('Vade Sapması'!$D$3,G2228)))</f>
        <v/>
      </c>
      <c r="L2228" s="30" t="str">
        <f aca="false">IF(F2228="","",K2228-B2228)</f>
        <v/>
      </c>
      <c r="M2228" s="30" t="str">
        <f aca="false">IF(F2228="","",L2228-J2228)</f>
        <v/>
      </c>
      <c r="N2228" s="32" t="str">
        <f aca="false">IF(F2228="","",IF(H2228&lt;&gt;"","Kapandı",IF('Vade Sapması'!$D$3&gt;G2228,"Açık · vadesi geçti","Açık · vadesi gelmedi")))</f>
        <v/>
      </c>
      <c r="O2228" s="30" t="str">
        <f aca="false">IF(F2228="","",IF(AND(H2228="",'Vade Sapması'!$D$3&gt;G2228),'Vade Sapması'!$D$3-G2228,0))</f>
        <v/>
      </c>
      <c r="P2228" s="33" t="str">
        <f aca="false">IF(F2228="","",F2228*J2228)</f>
        <v/>
      </c>
      <c r="Q2228" s="33" t="str">
        <f aca="false">IF(F2228="","",F2228*L2228)</f>
        <v/>
      </c>
      <c r="R2228" s="33" t="str">
        <f aca="false">IF(F2228="","",IF(H2228="",F2228,0))</f>
        <v/>
      </c>
      <c r="S2228" s="32" t="str">
        <f aca="false">IF(F2228="","",IF(N(O2228)=0,"",IF(O2228&lt;=30,"1-30",IF(O2228&lt;=60,"31-60",IF(O2228&lt;=90,"61-90","90+")))))</f>
        <v/>
      </c>
      <c r="T2228" s="32" t="str">
        <f aca="false">IF(F2228="","",IF(E2228="","Diğer",E2228))</f>
        <v/>
      </c>
      <c r="U2228" s="32" t="str">
        <f aca="false">IF(OR(F2228="",C2228=""),"",IF(COUNTIF($C$2:C2228,C2228)=1,MAX($U$1:U2227)+1,""))</f>
        <v/>
      </c>
    </row>
    <row r="2229" customFormat="false" ht="15" hidden="false" customHeight="false" outlineLevel="0" collapsed="false">
      <c r="A2229" s="34"/>
      <c r="B2229" s="9"/>
      <c r="C2229" s="34"/>
      <c r="D2229" s="34"/>
      <c r="E2229" s="34"/>
      <c r="F2229" s="35"/>
      <c r="G2229" s="9"/>
      <c r="H2229" s="9"/>
      <c r="I2229" s="34"/>
      <c r="J2229" s="30" t="str">
        <f aca="false">IF(F2229="","",G2229-B2229)</f>
        <v/>
      </c>
      <c r="K2229" s="31" t="str">
        <f aca="false">IF(F2229="","",IF(H2229&lt;&gt;"",H2229,MAX('Vade Sapması'!$D$3,G2229)))</f>
        <v/>
      </c>
      <c r="L2229" s="30" t="str">
        <f aca="false">IF(F2229="","",K2229-B2229)</f>
        <v/>
      </c>
      <c r="M2229" s="30" t="str">
        <f aca="false">IF(F2229="","",L2229-J2229)</f>
        <v/>
      </c>
      <c r="N2229" s="32" t="str">
        <f aca="false">IF(F2229="","",IF(H2229&lt;&gt;"","Kapandı",IF('Vade Sapması'!$D$3&gt;G2229,"Açık · vadesi geçti","Açık · vadesi gelmedi")))</f>
        <v/>
      </c>
      <c r="O2229" s="30" t="str">
        <f aca="false">IF(F2229="","",IF(AND(H2229="",'Vade Sapması'!$D$3&gt;G2229),'Vade Sapması'!$D$3-G2229,0))</f>
        <v/>
      </c>
      <c r="P2229" s="33" t="str">
        <f aca="false">IF(F2229="","",F2229*J2229)</f>
        <v/>
      </c>
      <c r="Q2229" s="33" t="str">
        <f aca="false">IF(F2229="","",F2229*L2229)</f>
        <v/>
      </c>
      <c r="R2229" s="33" t="str">
        <f aca="false">IF(F2229="","",IF(H2229="",F2229,0))</f>
        <v/>
      </c>
      <c r="S2229" s="32" t="str">
        <f aca="false">IF(F2229="","",IF(N(O2229)=0,"",IF(O2229&lt;=30,"1-30",IF(O2229&lt;=60,"31-60",IF(O2229&lt;=90,"61-90","90+")))))</f>
        <v/>
      </c>
      <c r="T2229" s="32" t="str">
        <f aca="false">IF(F2229="","",IF(E2229="","Diğer",E2229))</f>
        <v/>
      </c>
      <c r="U2229" s="32" t="str">
        <f aca="false">IF(OR(F2229="",C2229=""),"",IF(COUNTIF($C$2:C2229,C2229)=1,MAX($U$1:U2228)+1,""))</f>
        <v/>
      </c>
    </row>
    <row r="2230" customFormat="false" ht="15" hidden="false" customHeight="false" outlineLevel="0" collapsed="false">
      <c r="A2230" s="34"/>
      <c r="B2230" s="9"/>
      <c r="C2230" s="34"/>
      <c r="D2230" s="34"/>
      <c r="E2230" s="34"/>
      <c r="F2230" s="35"/>
      <c r="G2230" s="9"/>
      <c r="H2230" s="9"/>
      <c r="I2230" s="34"/>
      <c r="J2230" s="30" t="str">
        <f aca="false">IF(F2230="","",G2230-B2230)</f>
        <v/>
      </c>
      <c r="K2230" s="31" t="str">
        <f aca="false">IF(F2230="","",IF(H2230&lt;&gt;"",H2230,MAX('Vade Sapması'!$D$3,G2230)))</f>
        <v/>
      </c>
      <c r="L2230" s="30" t="str">
        <f aca="false">IF(F2230="","",K2230-B2230)</f>
        <v/>
      </c>
      <c r="M2230" s="30" t="str">
        <f aca="false">IF(F2230="","",L2230-J2230)</f>
        <v/>
      </c>
      <c r="N2230" s="32" t="str">
        <f aca="false">IF(F2230="","",IF(H2230&lt;&gt;"","Kapandı",IF('Vade Sapması'!$D$3&gt;G2230,"Açık · vadesi geçti","Açık · vadesi gelmedi")))</f>
        <v/>
      </c>
      <c r="O2230" s="30" t="str">
        <f aca="false">IF(F2230="","",IF(AND(H2230="",'Vade Sapması'!$D$3&gt;G2230),'Vade Sapması'!$D$3-G2230,0))</f>
        <v/>
      </c>
      <c r="P2230" s="33" t="str">
        <f aca="false">IF(F2230="","",F2230*J2230)</f>
        <v/>
      </c>
      <c r="Q2230" s="33" t="str">
        <f aca="false">IF(F2230="","",F2230*L2230)</f>
        <v/>
      </c>
      <c r="R2230" s="33" t="str">
        <f aca="false">IF(F2230="","",IF(H2230="",F2230,0))</f>
        <v/>
      </c>
      <c r="S2230" s="32" t="str">
        <f aca="false">IF(F2230="","",IF(N(O2230)=0,"",IF(O2230&lt;=30,"1-30",IF(O2230&lt;=60,"31-60",IF(O2230&lt;=90,"61-90","90+")))))</f>
        <v/>
      </c>
      <c r="T2230" s="32" t="str">
        <f aca="false">IF(F2230="","",IF(E2230="","Diğer",E2230))</f>
        <v/>
      </c>
      <c r="U2230" s="32" t="str">
        <f aca="false">IF(OR(F2230="",C2230=""),"",IF(COUNTIF($C$2:C2230,C2230)=1,MAX($U$1:U2229)+1,""))</f>
        <v/>
      </c>
    </row>
    <row r="2231" customFormat="false" ht="15" hidden="false" customHeight="false" outlineLevel="0" collapsed="false">
      <c r="A2231" s="34"/>
      <c r="B2231" s="9"/>
      <c r="C2231" s="34"/>
      <c r="D2231" s="34"/>
      <c r="E2231" s="34"/>
      <c r="F2231" s="35"/>
      <c r="G2231" s="9"/>
      <c r="H2231" s="9"/>
      <c r="I2231" s="34"/>
      <c r="J2231" s="30" t="str">
        <f aca="false">IF(F2231="","",G2231-B2231)</f>
        <v/>
      </c>
      <c r="K2231" s="31" t="str">
        <f aca="false">IF(F2231="","",IF(H2231&lt;&gt;"",H2231,MAX('Vade Sapması'!$D$3,G2231)))</f>
        <v/>
      </c>
      <c r="L2231" s="30" t="str">
        <f aca="false">IF(F2231="","",K2231-B2231)</f>
        <v/>
      </c>
      <c r="M2231" s="30" t="str">
        <f aca="false">IF(F2231="","",L2231-J2231)</f>
        <v/>
      </c>
      <c r="N2231" s="32" t="str">
        <f aca="false">IF(F2231="","",IF(H2231&lt;&gt;"","Kapandı",IF('Vade Sapması'!$D$3&gt;G2231,"Açık · vadesi geçti","Açık · vadesi gelmedi")))</f>
        <v/>
      </c>
      <c r="O2231" s="30" t="str">
        <f aca="false">IF(F2231="","",IF(AND(H2231="",'Vade Sapması'!$D$3&gt;G2231),'Vade Sapması'!$D$3-G2231,0))</f>
        <v/>
      </c>
      <c r="P2231" s="33" t="str">
        <f aca="false">IF(F2231="","",F2231*J2231)</f>
        <v/>
      </c>
      <c r="Q2231" s="33" t="str">
        <f aca="false">IF(F2231="","",F2231*L2231)</f>
        <v/>
      </c>
      <c r="R2231" s="33" t="str">
        <f aca="false">IF(F2231="","",IF(H2231="",F2231,0))</f>
        <v/>
      </c>
      <c r="S2231" s="32" t="str">
        <f aca="false">IF(F2231="","",IF(N(O2231)=0,"",IF(O2231&lt;=30,"1-30",IF(O2231&lt;=60,"31-60",IF(O2231&lt;=90,"61-90","90+")))))</f>
        <v/>
      </c>
      <c r="T2231" s="32" t="str">
        <f aca="false">IF(F2231="","",IF(E2231="","Diğer",E2231))</f>
        <v/>
      </c>
      <c r="U2231" s="32" t="str">
        <f aca="false">IF(OR(F2231="",C2231=""),"",IF(COUNTIF($C$2:C2231,C2231)=1,MAX($U$1:U2230)+1,""))</f>
        <v/>
      </c>
    </row>
    <row r="2232" customFormat="false" ht="15" hidden="false" customHeight="false" outlineLevel="0" collapsed="false">
      <c r="A2232" s="34"/>
      <c r="B2232" s="9"/>
      <c r="C2232" s="34"/>
      <c r="D2232" s="34"/>
      <c r="E2232" s="34"/>
      <c r="F2232" s="35"/>
      <c r="G2232" s="9"/>
      <c r="H2232" s="9"/>
      <c r="I2232" s="34"/>
      <c r="J2232" s="30" t="str">
        <f aca="false">IF(F2232="","",G2232-B2232)</f>
        <v/>
      </c>
      <c r="K2232" s="31" t="str">
        <f aca="false">IF(F2232="","",IF(H2232&lt;&gt;"",H2232,MAX('Vade Sapması'!$D$3,G2232)))</f>
        <v/>
      </c>
      <c r="L2232" s="30" t="str">
        <f aca="false">IF(F2232="","",K2232-B2232)</f>
        <v/>
      </c>
      <c r="M2232" s="30" t="str">
        <f aca="false">IF(F2232="","",L2232-J2232)</f>
        <v/>
      </c>
      <c r="N2232" s="32" t="str">
        <f aca="false">IF(F2232="","",IF(H2232&lt;&gt;"","Kapandı",IF('Vade Sapması'!$D$3&gt;G2232,"Açık · vadesi geçti","Açık · vadesi gelmedi")))</f>
        <v/>
      </c>
      <c r="O2232" s="30" t="str">
        <f aca="false">IF(F2232="","",IF(AND(H2232="",'Vade Sapması'!$D$3&gt;G2232),'Vade Sapması'!$D$3-G2232,0))</f>
        <v/>
      </c>
      <c r="P2232" s="33" t="str">
        <f aca="false">IF(F2232="","",F2232*J2232)</f>
        <v/>
      </c>
      <c r="Q2232" s="33" t="str">
        <f aca="false">IF(F2232="","",F2232*L2232)</f>
        <v/>
      </c>
      <c r="R2232" s="33" t="str">
        <f aca="false">IF(F2232="","",IF(H2232="",F2232,0))</f>
        <v/>
      </c>
      <c r="S2232" s="32" t="str">
        <f aca="false">IF(F2232="","",IF(N(O2232)=0,"",IF(O2232&lt;=30,"1-30",IF(O2232&lt;=60,"31-60",IF(O2232&lt;=90,"61-90","90+")))))</f>
        <v/>
      </c>
      <c r="T2232" s="32" t="str">
        <f aca="false">IF(F2232="","",IF(E2232="","Diğer",E2232))</f>
        <v/>
      </c>
      <c r="U2232" s="32" t="str">
        <f aca="false">IF(OR(F2232="",C2232=""),"",IF(COUNTIF($C$2:C2232,C2232)=1,MAX($U$1:U2231)+1,""))</f>
        <v/>
      </c>
    </row>
    <row r="2233" customFormat="false" ht="15" hidden="false" customHeight="false" outlineLevel="0" collapsed="false">
      <c r="A2233" s="34"/>
      <c r="B2233" s="9"/>
      <c r="C2233" s="34"/>
      <c r="D2233" s="34"/>
      <c r="E2233" s="34"/>
      <c r="F2233" s="35"/>
      <c r="G2233" s="9"/>
      <c r="H2233" s="9"/>
      <c r="I2233" s="34"/>
      <c r="J2233" s="30" t="str">
        <f aca="false">IF(F2233="","",G2233-B2233)</f>
        <v/>
      </c>
      <c r="K2233" s="31" t="str">
        <f aca="false">IF(F2233="","",IF(H2233&lt;&gt;"",H2233,MAX('Vade Sapması'!$D$3,G2233)))</f>
        <v/>
      </c>
      <c r="L2233" s="30" t="str">
        <f aca="false">IF(F2233="","",K2233-B2233)</f>
        <v/>
      </c>
      <c r="M2233" s="30" t="str">
        <f aca="false">IF(F2233="","",L2233-J2233)</f>
        <v/>
      </c>
      <c r="N2233" s="32" t="str">
        <f aca="false">IF(F2233="","",IF(H2233&lt;&gt;"","Kapandı",IF('Vade Sapması'!$D$3&gt;G2233,"Açık · vadesi geçti","Açık · vadesi gelmedi")))</f>
        <v/>
      </c>
      <c r="O2233" s="30" t="str">
        <f aca="false">IF(F2233="","",IF(AND(H2233="",'Vade Sapması'!$D$3&gt;G2233),'Vade Sapması'!$D$3-G2233,0))</f>
        <v/>
      </c>
      <c r="P2233" s="33" t="str">
        <f aca="false">IF(F2233="","",F2233*J2233)</f>
        <v/>
      </c>
      <c r="Q2233" s="33" t="str">
        <f aca="false">IF(F2233="","",F2233*L2233)</f>
        <v/>
      </c>
      <c r="R2233" s="33" t="str">
        <f aca="false">IF(F2233="","",IF(H2233="",F2233,0))</f>
        <v/>
      </c>
      <c r="S2233" s="32" t="str">
        <f aca="false">IF(F2233="","",IF(N(O2233)=0,"",IF(O2233&lt;=30,"1-30",IF(O2233&lt;=60,"31-60",IF(O2233&lt;=90,"61-90","90+")))))</f>
        <v/>
      </c>
      <c r="T2233" s="32" t="str">
        <f aca="false">IF(F2233="","",IF(E2233="","Diğer",E2233))</f>
        <v/>
      </c>
      <c r="U2233" s="32" t="str">
        <f aca="false">IF(OR(F2233="",C2233=""),"",IF(COUNTIF($C$2:C2233,C2233)=1,MAX($U$1:U2232)+1,""))</f>
        <v/>
      </c>
    </row>
    <row r="2234" customFormat="false" ht="15" hidden="false" customHeight="false" outlineLevel="0" collapsed="false">
      <c r="A2234" s="34"/>
      <c r="B2234" s="9"/>
      <c r="C2234" s="34"/>
      <c r="D2234" s="34"/>
      <c r="E2234" s="34"/>
      <c r="F2234" s="35"/>
      <c r="G2234" s="9"/>
      <c r="H2234" s="9"/>
      <c r="I2234" s="34"/>
      <c r="J2234" s="30" t="str">
        <f aca="false">IF(F2234="","",G2234-B2234)</f>
        <v/>
      </c>
      <c r="K2234" s="31" t="str">
        <f aca="false">IF(F2234="","",IF(H2234&lt;&gt;"",H2234,MAX('Vade Sapması'!$D$3,G2234)))</f>
        <v/>
      </c>
      <c r="L2234" s="30" t="str">
        <f aca="false">IF(F2234="","",K2234-B2234)</f>
        <v/>
      </c>
      <c r="M2234" s="30" t="str">
        <f aca="false">IF(F2234="","",L2234-J2234)</f>
        <v/>
      </c>
      <c r="N2234" s="32" t="str">
        <f aca="false">IF(F2234="","",IF(H2234&lt;&gt;"","Kapandı",IF('Vade Sapması'!$D$3&gt;G2234,"Açık · vadesi geçti","Açık · vadesi gelmedi")))</f>
        <v/>
      </c>
      <c r="O2234" s="30" t="str">
        <f aca="false">IF(F2234="","",IF(AND(H2234="",'Vade Sapması'!$D$3&gt;G2234),'Vade Sapması'!$D$3-G2234,0))</f>
        <v/>
      </c>
      <c r="P2234" s="33" t="str">
        <f aca="false">IF(F2234="","",F2234*J2234)</f>
        <v/>
      </c>
      <c r="Q2234" s="33" t="str">
        <f aca="false">IF(F2234="","",F2234*L2234)</f>
        <v/>
      </c>
      <c r="R2234" s="33" t="str">
        <f aca="false">IF(F2234="","",IF(H2234="",F2234,0))</f>
        <v/>
      </c>
      <c r="S2234" s="32" t="str">
        <f aca="false">IF(F2234="","",IF(N(O2234)=0,"",IF(O2234&lt;=30,"1-30",IF(O2234&lt;=60,"31-60",IF(O2234&lt;=90,"61-90","90+")))))</f>
        <v/>
      </c>
      <c r="T2234" s="32" t="str">
        <f aca="false">IF(F2234="","",IF(E2234="","Diğer",E2234))</f>
        <v/>
      </c>
      <c r="U2234" s="32" t="str">
        <f aca="false">IF(OR(F2234="",C2234=""),"",IF(COUNTIF($C$2:C2234,C2234)=1,MAX($U$1:U2233)+1,""))</f>
        <v/>
      </c>
    </row>
    <row r="2235" customFormat="false" ht="15" hidden="false" customHeight="false" outlineLevel="0" collapsed="false">
      <c r="A2235" s="34"/>
      <c r="B2235" s="9"/>
      <c r="C2235" s="34"/>
      <c r="D2235" s="34"/>
      <c r="E2235" s="34"/>
      <c r="F2235" s="35"/>
      <c r="G2235" s="9"/>
      <c r="H2235" s="9"/>
      <c r="I2235" s="34"/>
      <c r="J2235" s="30" t="str">
        <f aca="false">IF(F2235="","",G2235-B2235)</f>
        <v/>
      </c>
      <c r="K2235" s="31" t="str">
        <f aca="false">IF(F2235="","",IF(H2235&lt;&gt;"",H2235,MAX('Vade Sapması'!$D$3,G2235)))</f>
        <v/>
      </c>
      <c r="L2235" s="30" t="str">
        <f aca="false">IF(F2235="","",K2235-B2235)</f>
        <v/>
      </c>
      <c r="M2235" s="30" t="str">
        <f aca="false">IF(F2235="","",L2235-J2235)</f>
        <v/>
      </c>
      <c r="N2235" s="32" t="str">
        <f aca="false">IF(F2235="","",IF(H2235&lt;&gt;"","Kapandı",IF('Vade Sapması'!$D$3&gt;G2235,"Açık · vadesi geçti","Açık · vadesi gelmedi")))</f>
        <v/>
      </c>
      <c r="O2235" s="30" t="str">
        <f aca="false">IF(F2235="","",IF(AND(H2235="",'Vade Sapması'!$D$3&gt;G2235),'Vade Sapması'!$D$3-G2235,0))</f>
        <v/>
      </c>
      <c r="P2235" s="33" t="str">
        <f aca="false">IF(F2235="","",F2235*J2235)</f>
        <v/>
      </c>
      <c r="Q2235" s="33" t="str">
        <f aca="false">IF(F2235="","",F2235*L2235)</f>
        <v/>
      </c>
      <c r="R2235" s="33" t="str">
        <f aca="false">IF(F2235="","",IF(H2235="",F2235,0))</f>
        <v/>
      </c>
      <c r="S2235" s="32" t="str">
        <f aca="false">IF(F2235="","",IF(N(O2235)=0,"",IF(O2235&lt;=30,"1-30",IF(O2235&lt;=60,"31-60",IF(O2235&lt;=90,"61-90","90+")))))</f>
        <v/>
      </c>
      <c r="T2235" s="32" t="str">
        <f aca="false">IF(F2235="","",IF(E2235="","Diğer",E2235))</f>
        <v/>
      </c>
      <c r="U2235" s="32" t="str">
        <f aca="false">IF(OR(F2235="",C2235=""),"",IF(COUNTIF($C$2:C2235,C2235)=1,MAX($U$1:U2234)+1,""))</f>
        <v/>
      </c>
    </row>
    <row r="2236" customFormat="false" ht="15" hidden="false" customHeight="false" outlineLevel="0" collapsed="false">
      <c r="A2236" s="34"/>
      <c r="B2236" s="9"/>
      <c r="C2236" s="34"/>
      <c r="D2236" s="34"/>
      <c r="E2236" s="34"/>
      <c r="F2236" s="35"/>
      <c r="G2236" s="9"/>
      <c r="H2236" s="9"/>
      <c r="I2236" s="34"/>
      <c r="J2236" s="30" t="str">
        <f aca="false">IF(F2236="","",G2236-B2236)</f>
        <v/>
      </c>
      <c r="K2236" s="31" t="str">
        <f aca="false">IF(F2236="","",IF(H2236&lt;&gt;"",H2236,MAX('Vade Sapması'!$D$3,G2236)))</f>
        <v/>
      </c>
      <c r="L2236" s="30" t="str">
        <f aca="false">IF(F2236="","",K2236-B2236)</f>
        <v/>
      </c>
      <c r="M2236" s="30" t="str">
        <f aca="false">IF(F2236="","",L2236-J2236)</f>
        <v/>
      </c>
      <c r="N2236" s="32" t="str">
        <f aca="false">IF(F2236="","",IF(H2236&lt;&gt;"","Kapandı",IF('Vade Sapması'!$D$3&gt;G2236,"Açık · vadesi geçti","Açık · vadesi gelmedi")))</f>
        <v/>
      </c>
      <c r="O2236" s="30" t="str">
        <f aca="false">IF(F2236="","",IF(AND(H2236="",'Vade Sapması'!$D$3&gt;G2236),'Vade Sapması'!$D$3-G2236,0))</f>
        <v/>
      </c>
      <c r="P2236" s="33" t="str">
        <f aca="false">IF(F2236="","",F2236*J2236)</f>
        <v/>
      </c>
      <c r="Q2236" s="33" t="str">
        <f aca="false">IF(F2236="","",F2236*L2236)</f>
        <v/>
      </c>
      <c r="R2236" s="33" t="str">
        <f aca="false">IF(F2236="","",IF(H2236="",F2236,0))</f>
        <v/>
      </c>
      <c r="S2236" s="32" t="str">
        <f aca="false">IF(F2236="","",IF(N(O2236)=0,"",IF(O2236&lt;=30,"1-30",IF(O2236&lt;=60,"31-60",IF(O2236&lt;=90,"61-90","90+")))))</f>
        <v/>
      </c>
      <c r="T2236" s="32" t="str">
        <f aca="false">IF(F2236="","",IF(E2236="","Diğer",E2236))</f>
        <v/>
      </c>
      <c r="U2236" s="32" t="str">
        <f aca="false">IF(OR(F2236="",C2236=""),"",IF(COUNTIF($C$2:C2236,C2236)=1,MAX($U$1:U2235)+1,""))</f>
        <v/>
      </c>
    </row>
    <row r="2237" customFormat="false" ht="15" hidden="false" customHeight="false" outlineLevel="0" collapsed="false">
      <c r="A2237" s="34"/>
      <c r="B2237" s="9"/>
      <c r="C2237" s="34"/>
      <c r="D2237" s="34"/>
      <c r="E2237" s="34"/>
      <c r="F2237" s="35"/>
      <c r="G2237" s="9"/>
      <c r="H2237" s="9"/>
      <c r="I2237" s="34"/>
      <c r="J2237" s="30" t="str">
        <f aca="false">IF(F2237="","",G2237-B2237)</f>
        <v/>
      </c>
      <c r="K2237" s="31" t="str">
        <f aca="false">IF(F2237="","",IF(H2237&lt;&gt;"",H2237,MAX('Vade Sapması'!$D$3,G2237)))</f>
        <v/>
      </c>
      <c r="L2237" s="30" t="str">
        <f aca="false">IF(F2237="","",K2237-B2237)</f>
        <v/>
      </c>
      <c r="M2237" s="30" t="str">
        <f aca="false">IF(F2237="","",L2237-J2237)</f>
        <v/>
      </c>
      <c r="N2237" s="32" t="str">
        <f aca="false">IF(F2237="","",IF(H2237&lt;&gt;"","Kapandı",IF('Vade Sapması'!$D$3&gt;G2237,"Açık · vadesi geçti","Açık · vadesi gelmedi")))</f>
        <v/>
      </c>
      <c r="O2237" s="30" t="str">
        <f aca="false">IF(F2237="","",IF(AND(H2237="",'Vade Sapması'!$D$3&gt;G2237),'Vade Sapması'!$D$3-G2237,0))</f>
        <v/>
      </c>
      <c r="P2237" s="33" t="str">
        <f aca="false">IF(F2237="","",F2237*J2237)</f>
        <v/>
      </c>
      <c r="Q2237" s="33" t="str">
        <f aca="false">IF(F2237="","",F2237*L2237)</f>
        <v/>
      </c>
      <c r="R2237" s="33" t="str">
        <f aca="false">IF(F2237="","",IF(H2237="",F2237,0))</f>
        <v/>
      </c>
      <c r="S2237" s="32" t="str">
        <f aca="false">IF(F2237="","",IF(N(O2237)=0,"",IF(O2237&lt;=30,"1-30",IF(O2237&lt;=60,"31-60",IF(O2237&lt;=90,"61-90","90+")))))</f>
        <v/>
      </c>
      <c r="T2237" s="32" t="str">
        <f aca="false">IF(F2237="","",IF(E2237="","Diğer",E2237))</f>
        <v/>
      </c>
      <c r="U2237" s="32" t="str">
        <f aca="false">IF(OR(F2237="",C2237=""),"",IF(COUNTIF($C$2:C2237,C2237)=1,MAX($U$1:U2236)+1,""))</f>
        <v/>
      </c>
    </row>
    <row r="2238" customFormat="false" ht="15" hidden="false" customHeight="false" outlineLevel="0" collapsed="false">
      <c r="A2238" s="34"/>
      <c r="B2238" s="9"/>
      <c r="C2238" s="34"/>
      <c r="D2238" s="34"/>
      <c r="E2238" s="34"/>
      <c r="F2238" s="35"/>
      <c r="G2238" s="9"/>
      <c r="H2238" s="9"/>
      <c r="I2238" s="34"/>
      <c r="J2238" s="30" t="str">
        <f aca="false">IF(F2238="","",G2238-B2238)</f>
        <v/>
      </c>
      <c r="K2238" s="31" t="str">
        <f aca="false">IF(F2238="","",IF(H2238&lt;&gt;"",H2238,MAX('Vade Sapması'!$D$3,G2238)))</f>
        <v/>
      </c>
      <c r="L2238" s="30" t="str">
        <f aca="false">IF(F2238="","",K2238-B2238)</f>
        <v/>
      </c>
      <c r="M2238" s="30" t="str">
        <f aca="false">IF(F2238="","",L2238-J2238)</f>
        <v/>
      </c>
      <c r="N2238" s="32" t="str">
        <f aca="false">IF(F2238="","",IF(H2238&lt;&gt;"","Kapandı",IF('Vade Sapması'!$D$3&gt;G2238,"Açık · vadesi geçti","Açık · vadesi gelmedi")))</f>
        <v/>
      </c>
      <c r="O2238" s="30" t="str">
        <f aca="false">IF(F2238="","",IF(AND(H2238="",'Vade Sapması'!$D$3&gt;G2238),'Vade Sapması'!$D$3-G2238,0))</f>
        <v/>
      </c>
      <c r="P2238" s="33" t="str">
        <f aca="false">IF(F2238="","",F2238*J2238)</f>
        <v/>
      </c>
      <c r="Q2238" s="33" t="str">
        <f aca="false">IF(F2238="","",F2238*L2238)</f>
        <v/>
      </c>
      <c r="R2238" s="33" t="str">
        <f aca="false">IF(F2238="","",IF(H2238="",F2238,0))</f>
        <v/>
      </c>
      <c r="S2238" s="32" t="str">
        <f aca="false">IF(F2238="","",IF(N(O2238)=0,"",IF(O2238&lt;=30,"1-30",IF(O2238&lt;=60,"31-60",IF(O2238&lt;=90,"61-90","90+")))))</f>
        <v/>
      </c>
      <c r="T2238" s="32" t="str">
        <f aca="false">IF(F2238="","",IF(E2238="","Diğer",E2238))</f>
        <v/>
      </c>
      <c r="U2238" s="32" t="str">
        <f aca="false">IF(OR(F2238="",C2238=""),"",IF(COUNTIF($C$2:C2238,C2238)=1,MAX($U$1:U2237)+1,""))</f>
        <v/>
      </c>
    </row>
    <row r="2239" customFormat="false" ht="15" hidden="false" customHeight="false" outlineLevel="0" collapsed="false">
      <c r="A2239" s="34"/>
      <c r="B2239" s="9"/>
      <c r="C2239" s="34"/>
      <c r="D2239" s="34"/>
      <c r="E2239" s="34"/>
      <c r="F2239" s="35"/>
      <c r="G2239" s="9"/>
      <c r="H2239" s="9"/>
      <c r="I2239" s="34"/>
      <c r="J2239" s="30" t="str">
        <f aca="false">IF(F2239="","",G2239-B2239)</f>
        <v/>
      </c>
      <c r="K2239" s="31" t="str">
        <f aca="false">IF(F2239="","",IF(H2239&lt;&gt;"",H2239,MAX('Vade Sapması'!$D$3,G2239)))</f>
        <v/>
      </c>
      <c r="L2239" s="30" t="str">
        <f aca="false">IF(F2239="","",K2239-B2239)</f>
        <v/>
      </c>
      <c r="M2239" s="30" t="str">
        <f aca="false">IF(F2239="","",L2239-J2239)</f>
        <v/>
      </c>
      <c r="N2239" s="32" t="str">
        <f aca="false">IF(F2239="","",IF(H2239&lt;&gt;"","Kapandı",IF('Vade Sapması'!$D$3&gt;G2239,"Açık · vadesi geçti","Açık · vadesi gelmedi")))</f>
        <v/>
      </c>
      <c r="O2239" s="30" t="str">
        <f aca="false">IF(F2239="","",IF(AND(H2239="",'Vade Sapması'!$D$3&gt;G2239),'Vade Sapması'!$D$3-G2239,0))</f>
        <v/>
      </c>
      <c r="P2239" s="33" t="str">
        <f aca="false">IF(F2239="","",F2239*J2239)</f>
        <v/>
      </c>
      <c r="Q2239" s="33" t="str">
        <f aca="false">IF(F2239="","",F2239*L2239)</f>
        <v/>
      </c>
      <c r="R2239" s="33" t="str">
        <f aca="false">IF(F2239="","",IF(H2239="",F2239,0))</f>
        <v/>
      </c>
      <c r="S2239" s="32" t="str">
        <f aca="false">IF(F2239="","",IF(N(O2239)=0,"",IF(O2239&lt;=30,"1-30",IF(O2239&lt;=60,"31-60",IF(O2239&lt;=90,"61-90","90+")))))</f>
        <v/>
      </c>
      <c r="T2239" s="32" t="str">
        <f aca="false">IF(F2239="","",IF(E2239="","Diğer",E2239))</f>
        <v/>
      </c>
      <c r="U2239" s="32" t="str">
        <f aca="false">IF(OR(F2239="",C2239=""),"",IF(COUNTIF($C$2:C2239,C2239)=1,MAX($U$1:U2238)+1,""))</f>
        <v/>
      </c>
    </row>
    <row r="2240" customFormat="false" ht="15" hidden="false" customHeight="false" outlineLevel="0" collapsed="false">
      <c r="A2240" s="34"/>
      <c r="B2240" s="9"/>
      <c r="C2240" s="34"/>
      <c r="D2240" s="34"/>
      <c r="E2240" s="34"/>
      <c r="F2240" s="35"/>
      <c r="G2240" s="9"/>
      <c r="H2240" s="9"/>
      <c r="I2240" s="34"/>
      <c r="J2240" s="30" t="str">
        <f aca="false">IF(F2240="","",G2240-B2240)</f>
        <v/>
      </c>
      <c r="K2240" s="31" t="str">
        <f aca="false">IF(F2240="","",IF(H2240&lt;&gt;"",H2240,MAX('Vade Sapması'!$D$3,G2240)))</f>
        <v/>
      </c>
      <c r="L2240" s="30" t="str">
        <f aca="false">IF(F2240="","",K2240-B2240)</f>
        <v/>
      </c>
      <c r="M2240" s="30" t="str">
        <f aca="false">IF(F2240="","",L2240-J2240)</f>
        <v/>
      </c>
      <c r="N2240" s="32" t="str">
        <f aca="false">IF(F2240="","",IF(H2240&lt;&gt;"","Kapandı",IF('Vade Sapması'!$D$3&gt;G2240,"Açık · vadesi geçti","Açık · vadesi gelmedi")))</f>
        <v/>
      </c>
      <c r="O2240" s="30" t="str">
        <f aca="false">IF(F2240="","",IF(AND(H2240="",'Vade Sapması'!$D$3&gt;G2240),'Vade Sapması'!$D$3-G2240,0))</f>
        <v/>
      </c>
      <c r="P2240" s="33" t="str">
        <f aca="false">IF(F2240="","",F2240*J2240)</f>
        <v/>
      </c>
      <c r="Q2240" s="33" t="str">
        <f aca="false">IF(F2240="","",F2240*L2240)</f>
        <v/>
      </c>
      <c r="R2240" s="33" t="str">
        <f aca="false">IF(F2240="","",IF(H2240="",F2240,0))</f>
        <v/>
      </c>
      <c r="S2240" s="32" t="str">
        <f aca="false">IF(F2240="","",IF(N(O2240)=0,"",IF(O2240&lt;=30,"1-30",IF(O2240&lt;=60,"31-60",IF(O2240&lt;=90,"61-90","90+")))))</f>
        <v/>
      </c>
      <c r="T2240" s="32" t="str">
        <f aca="false">IF(F2240="","",IF(E2240="","Diğer",E2240))</f>
        <v/>
      </c>
      <c r="U2240" s="32" t="str">
        <f aca="false">IF(OR(F2240="",C2240=""),"",IF(COUNTIF($C$2:C2240,C2240)=1,MAX($U$1:U2239)+1,""))</f>
        <v/>
      </c>
    </row>
    <row r="2241" customFormat="false" ht="15" hidden="false" customHeight="false" outlineLevel="0" collapsed="false">
      <c r="A2241" s="34"/>
      <c r="B2241" s="9"/>
      <c r="C2241" s="34"/>
      <c r="D2241" s="34"/>
      <c r="E2241" s="34"/>
      <c r="F2241" s="35"/>
      <c r="G2241" s="9"/>
      <c r="H2241" s="9"/>
      <c r="I2241" s="34"/>
      <c r="J2241" s="30" t="str">
        <f aca="false">IF(F2241="","",G2241-B2241)</f>
        <v/>
      </c>
      <c r="K2241" s="31" t="str">
        <f aca="false">IF(F2241="","",IF(H2241&lt;&gt;"",H2241,MAX('Vade Sapması'!$D$3,G2241)))</f>
        <v/>
      </c>
      <c r="L2241" s="30" t="str">
        <f aca="false">IF(F2241="","",K2241-B2241)</f>
        <v/>
      </c>
      <c r="M2241" s="30" t="str">
        <f aca="false">IF(F2241="","",L2241-J2241)</f>
        <v/>
      </c>
      <c r="N2241" s="32" t="str">
        <f aca="false">IF(F2241="","",IF(H2241&lt;&gt;"","Kapandı",IF('Vade Sapması'!$D$3&gt;G2241,"Açık · vadesi geçti","Açık · vadesi gelmedi")))</f>
        <v/>
      </c>
      <c r="O2241" s="30" t="str">
        <f aca="false">IF(F2241="","",IF(AND(H2241="",'Vade Sapması'!$D$3&gt;G2241),'Vade Sapması'!$D$3-G2241,0))</f>
        <v/>
      </c>
      <c r="P2241" s="33" t="str">
        <f aca="false">IF(F2241="","",F2241*J2241)</f>
        <v/>
      </c>
      <c r="Q2241" s="33" t="str">
        <f aca="false">IF(F2241="","",F2241*L2241)</f>
        <v/>
      </c>
      <c r="R2241" s="33" t="str">
        <f aca="false">IF(F2241="","",IF(H2241="",F2241,0))</f>
        <v/>
      </c>
      <c r="S2241" s="32" t="str">
        <f aca="false">IF(F2241="","",IF(N(O2241)=0,"",IF(O2241&lt;=30,"1-30",IF(O2241&lt;=60,"31-60",IF(O2241&lt;=90,"61-90","90+")))))</f>
        <v/>
      </c>
      <c r="T2241" s="32" t="str">
        <f aca="false">IF(F2241="","",IF(E2241="","Diğer",E2241))</f>
        <v/>
      </c>
      <c r="U2241" s="32" t="str">
        <f aca="false">IF(OR(F2241="",C2241=""),"",IF(COUNTIF($C$2:C2241,C2241)=1,MAX($U$1:U2240)+1,""))</f>
        <v/>
      </c>
    </row>
    <row r="2242" customFormat="false" ht="15" hidden="false" customHeight="false" outlineLevel="0" collapsed="false">
      <c r="A2242" s="34"/>
      <c r="B2242" s="9"/>
      <c r="C2242" s="34"/>
      <c r="D2242" s="34"/>
      <c r="E2242" s="34"/>
      <c r="F2242" s="35"/>
      <c r="G2242" s="9"/>
      <c r="H2242" s="9"/>
      <c r="I2242" s="34"/>
      <c r="J2242" s="30" t="str">
        <f aca="false">IF(F2242="","",G2242-B2242)</f>
        <v/>
      </c>
      <c r="K2242" s="31" t="str">
        <f aca="false">IF(F2242="","",IF(H2242&lt;&gt;"",H2242,MAX('Vade Sapması'!$D$3,G2242)))</f>
        <v/>
      </c>
      <c r="L2242" s="30" t="str">
        <f aca="false">IF(F2242="","",K2242-B2242)</f>
        <v/>
      </c>
      <c r="M2242" s="30" t="str">
        <f aca="false">IF(F2242="","",L2242-J2242)</f>
        <v/>
      </c>
      <c r="N2242" s="32" t="str">
        <f aca="false">IF(F2242="","",IF(H2242&lt;&gt;"","Kapandı",IF('Vade Sapması'!$D$3&gt;G2242,"Açık · vadesi geçti","Açık · vadesi gelmedi")))</f>
        <v/>
      </c>
      <c r="O2242" s="30" t="str">
        <f aca="false">IF(F2242="","",IF(AND(H2242="",'Vade Sapması'!$D$3&gt;G2242),'Vade Sapması'!$D$3-G2242,0))</f>
        <v/>
      </c>
      <c r="P2242" s="33" t="str">
        <f aca="false">IF(F2242="","",F2242*J2242)</f>
        <v/>
      </c>
      <c r="Q2242" s="33" t="str">
        <f aca="false">IF(F2242="","",F2242*L2242)</f>
        <v/>
      </c>
      <c r="R2242" s="33" t="str">
        <f aca="false">IF(F2242="","",IF(H2242="",F2242,0))</f>
        <v/>
      </c>
      <c r="S2242" s="32" t="str">
        <f aca="false">IF(F2242="","",IF(N(O2242)=0,"",IF(O2242&lt;=30,"1-30",IF(O2242&lt;=60,"31-60",IF(O2242&lt;=90,"61-90","90+")))))</f>
        <v/>
      </c>
      <c r="T2242" s="32" t="str">
        <f aca="false">IF(F2242="","",IF(E2242="","Diğer",E2242))</f>
        <v/>
      </c>
      <c r="U2242" s="32" t="str">
        <f aca="false">IF(OR(F2242="",C2242=""),"",IF(COUNTIF($C$2:C2242,C2242)=1,MAX($U$1:U2241)+1,""))</f>
        <v/>
      </c>
    </row>
    <row r="2243" customFormat="false" ht="15" hidden="false" customHeight="false" outlineLevel="0" collapsed="false">
      <c r="A2243" s="34"/>
      <c r="B2243" s="9"/>
      <c r="C2243" s="34"/>
      <c r="D2243" s="34"/>
      <c r="E2243" s="34"/>
      <c r="F2243" s="35"/>
      <c r="G2243" s="9"/>
      <c r="H2243" s="9"/>
      <c r="I2243" s="34"/>
      <c r="J2243" s="30" t="str">
        <f aca="false">IF(F2243="","",G2243-B2243)</f>
        <v/>
      </c>
      <c r="K2243" s="31" t="str">
        <f aca="false">IF(F2243="","",IF(H2243&lt;&gt;"",H2243,MAX('Vade Sapması'!$D$3,G2243)))</f>
        <v/>
      </c>
      <c r="L2243" s="30" t="str">
        <f aca="false">IF(F2243="","",K2243-B2243)</f>
        <v/>
      </c>
      <c r="M2243" s="30" t="str">
        <f aca="false">IF(F2243="","",L2243-J2243)</f>
        <v/>
      </c>
      <c r="N2243" s="32" t="str">
        <f aca="false">IF(F2243="","",IF(H2243&lt;&gt;"","Kapandı",IF('Vade Sapması'!$D$3&gt;G2243,"Açık · vadesi geçti","Açık · vadesi gelmedi")))</f>
        <v/>
      </c>
      <c r="O2243" s="30" t="str">
        <f aca="false">IF(F2243="","",IF(AND(H2243="",'Vade Sapması'!$D$3&gt;G2243),'Vade Sapması'!$D$3-G2243,0))</f>
        <v/>
      </c>
      <c r="P2243" s="33" t="str">
        <f aca="false">IF(F2243="","",F2243*J2243)</f>
        <v/>
      </c>
      <c r="Q2243" s="33" t="str">
        <f aca="false">IF(F2243="","",F2243*L2243)</f>
        <v/>
      </c>
      <c r="R2243" s="33" t="str">
        <f aca="false">IF(F2243="","",IF(H2243="",F2243,0))</f>
        <v/>
      </c>
      <c r="S2243" s="32" t="str">
        <f aca="false">IF(F2243="","",IF(N(O2243)=0,"",IF(O2243&lt;=30,"1-30",IF(O2243&lt;=60,"31-60",IF(O2243&lt;=90,"61-90","90+")))))</f>
        <v/>
      </c>
      <c r="T2243" s="32" t="str">
        <f aca="false">IF(F2243="","",IF(E2243="","Diğer",E2243))</f>
        <v/>
      </c>
      <c r="U2243" s="32" t="str">
        <f aca="false">IF(OR(F2243="",C2243=""),"",IF(COUNTIF($C$2:C2243,C2243)=1,MAX($U$1:U2242)+1,""))</f>
        <v/>
      </c>
    </row>
    <row r="2244" customFormat="false" ht="15" hidden="false" customHeight="false" outlineLevel="0" collapsed="false">
      <c r="A2244" s="34"/>
      <c r="B2244" s="9"/>
      <c r="C2244" s="34"/>
      <c r="D2244" s="34"/>
      <c r="E2244" s="34"/>
      <c r="F2244" s="35"/>
      <c r="G2244" s="9"/>
      <c r="H2244" s="9"/>
      <c r="I2244" s="34"/>
      <c r="J2244" s="30" t="str">
        <f aca="false">IF(F2244="","",G2244-B2244)</f>
        <v/>
      </c>
      <c r="K2244" s="31" t="str">
        <f aca="false">IF(F2244="","",IF(H2244&lt;&gt;"",H2244,MAX('Vade Sapması'!$D$3,G2244)))</f>
        <v/>
      </c>
      <c r="L2244" s="30" t="str">
        <f aca="false">IF(F2244="","",K2244-B2244)</f>
        <v/>
      </c>
      <c r="M2244" s="30" t="str">
        <f aca="false">IF(F2244="","",L2244-J2244)</f>
        <v/>
      </c>
      <c r="N2244" s="32" t="str">
        <f aca="false">IF(F2244="","",IF(H2244&lt;&gt;"","Kapandı",IF('Vade Sapması'!$D$3&gt;G2244,"Açık · vadesi geçti","Açık · vadesi gelmedi")))</f>
        <v/>
      </c>
      <c r="O2244" s="30" t="str">
        <f aca="false">IF(F2244="","",IF(AND(H2244="",'Vade Sapması'!$D$3&gt;G2244),'Vade Sapması'!$D$3-G2244,0))</f>
        <v/>
      </c>
      <c r="P2244" s="33" t="str">
        <f aca="false">IF(F2244="","",F2244*J2244)</f>
        <v/>
      </c>
      <c r="Q2244" s="33" t="str">
        <f aca="false">IF(F2244="","",F2244*L2244)</f>
        <v/>
      </c>
      <c r="R2244" s="33" t="str">
        <f aca="false">IF(F2244="","",IF(H2244="",F2244,0))</f>
        <v/>
      </c>
      <c r="S2244" s="32" t="str">
        <f aca="false">IF(F2244="","",IF(N(O2244)=0,"",IF(O2244&lt;=30,"1-30",IF(O2244&lt;=60,"31-60",IF(O2244&lt;=90,"61-90","90+")))))</f>
        <v/>
      </c>
      <c r="T2244" s="32" t="str">
        <f aca="false">IF(F2244="","",IF(E2244="","Diğer",E2244))</f>
        <v/>
      </c>
      <c r="U2244" s="32" t="str">
        <f aca="false">IF(OR(F2244="",C2244=""),"",IF(COUNTIF($C$2:C2244,C2244)=1,MAX($U$1:U2243)+1,""))</f>
        <v/>
      </c>
    </row>
    <row r="2245" customFormat="false" ht="15" hidden="false" customHeight="false" outlineLevel="0" collapsed="false">
      <c r="A2245" s="34"/>
      <c r="B2245" s="9"/>
      <c r="C2245" s="34"/>
      <c r="D2245" s="34"/>
      <c r="E2245" s="34"/>
      <c r="F2245" s="35"/>
      <c r="G2245" s="9"/>
      <c r="H2245" s="9"/>
      <c r="I2245" s="34"/>
      <c r="J2245" s="30" t="str">
        <f aca="false">IF(F2245="","",G2245-B2245)</f>
        <v/>
      </c>
      <c r="K2245" s="31" t="str">
        <f aca="false">IF(F2245="","",IF(H2245&lt;&gt;"",H2245,MAX('Vade Sapması'!$D$3,G2245)))</f>
        <v/>
      </c>
      <c r="L2245" s="30" t="str">
        <f aca="false">IF(F2245="","",K2245-B2245)</f>
        <v/>
      </c>
      <c r="M2245" s="30" t="str">
        <f aca="false">IF(F2245="","",L2245-J2245)</f>
        <v/>
      </c>
      <c r="N2245" s="32" t="str">
        <f aca="false">IF(F2245="","",IF(H2245&lt;&gt;"","Kapandı",IF('Vade Sapması'!$D$3&gt;G2245,"Açık · vadesi geçti","Açık · vadesi gelmedi")))</f>
        <v/>
      </c>
      <c r="O2245" s="30" t="str">
        <f aca="false">IF(F2245="","",IF(AND(H2245="",'Vade Sapması'!$D$3&gt;G2245),'Vade Sapması'!$D$3-G2245,0))</f>
        <v/>
      </c>
      <c r="P2245" s="33" t="str">
        <f aca="false">IF(F2245="","",F2245*J2245)</f>
        <v/>
      </c>
      <c r="Q2245" s="33" t="str">
        <f aca="false">IF(F2245="","",F2245*L2245)</f>
        <v/>
      </c>
      <c r="R2245" s="33" t="str">
        <f aca="false">IF(F2245="","",IF(H2245="",F2245,0))</f>
        <v/>
      </c>
      <c r="S2245" s="32" t="str">
        <f aca="false">IF(F2245="","",IF(N(O2245)=0,"",IF(O2245&lt;=30,"1-30",IF(O2245&lt;=60,"31-60",IF(O2245&lt;=90,"61-90","90+")))))</f>
        <v/>
      </c>
      <c r="T2245" s="32" t="str">
        <f aca="false">IF(F2245="","",IF(E2245="","Diğer",E2245))</f>
        <v/>
      </c>
      <c r="U2245" s="32" t="str">
        <f aca="false">IF(OR(F2245="",C2245=""),"",IF(COUNTIF($C$2:C2245,C2245)=1,MAX($U$1:U2244)+1,""))</f>
        <v/>
      </c>
    </row>
    <row r="2246" customFormat="false" ht="15" hidden="false" customHeight="false" outlineLevel="0" collapsed="false">
      <c r="A2246" s="34"/>
      <c r="B2246" s="9"/>
      <c r="C2246" s="34"/>
      <c r="D2246" s="34"/>
      <c r="E2246" s="34"/>
      <c r="F2246" s="35"/>
      <c r="G2246" s="9"/>
      <c r="H2246" s="9"/>
      <c r="I2246" s="34"/>
      <c r="J2246" s="30" t="str">
        <f aca="false">IF(F2246="","",G2246-B2246)</f>
        <v/>
      </c>
      <c r="K2246" s="31" t="str">
        <f aca="false">IF(F2246="","",IF(H2246&lt;&gt;"",H2246,MAX('Vade Sapması'!$D$3,G2246)))</f>
        <v/>
      </c>
      <c r="L2246" s="30" t="str">
        <f aca="false">IF(F2246="","",K2246-B2246)</f>
        <v/>
      </c>
      <c r="M2246" s="30" t="str">
        <f aca="false">IF(F2246="","",L2246-J2246)</f>
        <v/>
      </c>
      <c r="N2246" s="32" t="str">
        <f aca="false">IF(F2246="","",IF(H2246&lt;&gt;"","Kapandı",IF('Vade Sapması'!$D$3&gt;G2246,"Açık · vadesi geçti","Açık · vadesi gelmedi")))</f>
        <v/>
      </c>
      <c r="O2246" s="30" t="str">
        <f aca="false">IF(F2246="","",IF(AND(H2246="",'Vade Sapması'!$D$3&gt;G2246),'Vade Sapması'!$D$3-G2246,0))</f>
        <v/>
      </c>
      <c r="P2246" s="33" t="str">
        <f aca="false">IF(F2246="","",F2246*J2246)</f>
        <v/>
      </c>
      <c r="Q2246" s="33" t="str">
        <f aca="false">IF(F2246="","",F2246*L2246)</f>
        <v/>
      </c>
      <c r="R2246" s="33" t="str">
        <f aca="false">IF(F2246="","",IF(H2246="",F2246,0))</f>
        <v/>
      </c>
      <c r="S2246" s="32" t="str">
        <f aca="false">IF(F2246="","",IF(N(O2246)=0,"",IF(O2246&lt;=30,"1-30",IF(O2246&lt;=60,"31-60",IF(O2246&lt;=90,"61-90","90+")))))</f>
        <v/>
      </c>
      <c r="T2246" s="32" t="str">
        <f aca="false">IF(F2246="","",IF(E2246="","Diğer",E2246))</f>
        <v/>
      </c>
      <c r="U2246" s="32" t="str">
        <f aca="false">IF(OR(F2246="",C2246=""),"",IF(COUNTIF($C$2:C2246,C2246)=1,MAX($U$1:U2245)+1,""))</f>
        <v/>
      </c>
    </row>
    <row r="2247" customFormat="false" ht="15" hidden="false" customHeight="false" outlineLevel="0" collapsed="false">
      <c r="A2247" s="34"/>
      <c r="B2247" s="9"/>
      <c r="C2247" s="34"/>
      <c r="D2247" s="34"/>
      <c r="E2247" s="34"/>
      <c r="F2247" s="35"/>
      <c r="G2247" s="9"/>
      <c r="H2247" s="9"/>
      <c r="I2247" s="34"/>
      <c r="J2247" s="30" t="str">
        <f aca="false">IF(F2247="","",G2247-B2247)</f>
        <v/>
      </c>
      <c r="K2247" s="31" t="str">
        <f aca="false">IF(F2247="","",IF(H2247&lt;&gt;"",H2247,MAX('Vade Sapması'!$D$3,G2247)))</f>
        <v/>
      </c>
      <c r="L2247" s="30" t="str">
        <f aca="false">IF(F2247="","",K2247-B2247)</f>
        <v/>
      </c>
      <c r="M2247" s="30" t="str">
        <f aca="false">IF(F2247="","",L2247-J2247)</f>
        <v/>
      </c>
      <c r="N2247" s="32" t="str">
        <f aca="false">IF(F2247="","",IF(H2247&lt;&gt;"","Kapandı",IF('Vade Sapması'!$D$3&gt;G2247,"Açık · vadesi geçti","Açık · vadesi gelmedi")))</f>
        <v/>
      </c>
      <c r="O2247" s="30" t="str">
        <f aca="false">IF(F2247="","",IF(AND(H2247="",'Vade Sapması'!$D$3&gt;G2247),'Vade Sapması'!$D$3-G2247,0))</f>
        <v/>
      </c>
      <c r="P2247" s="33" t="str">
        <f aca="false">IF(F2247="","",F2247*J2247)</f>
        <v/>
      </c>
      <c r="Q2247" s="33" t="str">
        <f aca="false">IF(F2247="","",F2247*L2247)</f>
        <v/>
      </c>
      <c r="R2247" s="33" t="str">
        <f aca="false">IF(F2247="","",IF(H2247="",F2247,0))</f>
        <v/>
      </c>
      <c r="S2247" s="32" t="str">
        <f aca="false">IF(F2247="","",IF(N(O2247)=0,"",IF(O2247&lt;=30,"1-30",IF(O2247&lt;=60,"31-60",IF(O2247&lt;=90,"61-90","90+")))))</f>
        <v/>
      </c>
      <c r="T2247" s="32" t="str">
        <f aca="false">IF(F2247="","",IF(E2247="","Diğer",E2247))</f>
        <v/>
      </c>
      <c r="U2247" s="32" t="str">
        <f aca="false">IF(OR(F2247="",C2247=""),"",IF(COUNTIF($C$2:C2247,C2247)=1,MAX($U$1:U2246)+1,""))</f>
        <v/>
      </c>
    </row>
    <row r="2248" customFormat="false" ht="15" hidden="false" customHeight="false" outlineLevel="0" collapsed="false">
      <c r="A2248" s="34"/>
      <c r="B2248" s="9"/>
      <c r="C2248" s="34"/>
      <c r="D2248" s="34"/>
      <c r="E2248" s="34"/>
      <c r="F2248" s="35"/>
      <c r="G2248" s="9"/>
      <c r="H2248" s="9"/>
      <c r="I2248" s="34"/>
      <c r="J2248" s="30" t="str">
        <f aca="false">IF(F2248="","",G2248-B2248)</f>
        <v/>
      </c>
      <c r="K2248" s="31" t="str">
        <f aca="false">IF(F2248="","",IF(H2248&lt;&gt;"",H2248,MAX('Vade Sapması'!$D$3,G2248)))</f>
        <v/>
      </c>
      <c r="L2248" s="30" t="str">
        <f aca="false">IF(F2248="","",K2248-B2248)</f>
        <v/>
      </c>
      <c r="M2248" s="30" t="str">
        <f aca="false">IF(F2248="","",L2248-J2248)</f>
        <v/>
      </c>
      <c r="N2248" s="32" t="str">
        <f aca="false">IF(F2248="","",IF(H2248&lt;&gt;"","Kapandı",IF('Vade Sapması'!$D$3&gt;G2248,"Açık · vadesi geçti","Açık · vadesi gelmedi")))</f>
        <v/>
      </c>
      <c r="O2248" s="30" t="str">
        <f aca="false">IF(F2248="","",IF(AND(H2248="",'Vade Sapması'!$D$3&gt;G2248),'Vade Sapması'!$D$3-G2248,0))</f>
        <v/>
      </c>
      <c r="P2248" s="33" t="str">
        <f aca="false">IF(F2248="","",F2248*J2248)</f>
        <v/>
      </c>
      <c r="Q2248" s="33" t="str">
        <f aca="false">IF(F2248="","",F2248*L2248)</f>
        <v/>
      </c>
      <c r="R2248" s="33" t="str">
        <f aca="false">IF(F2248="","",IF(H2248="",F2248,0))</f>
        <v/>
      </c>
      <c r="S2248" s="32" t="str">
        <f aca="false">IF(F2248="","",IF(N(O2248)=0,"",IF(O2248&lt;=30,"1-30",IF(O2248&lt;=60,"31-60",IF(O2248&lt;=90,"61-90","90+")))))</f>
        <v/>
      </c>
      <c r="T2248" s="32" t="str">
        <f aca="false">IF(F2248="","",IF(E2248="","Diğer",E2248))</f>
        <v/>
      </c>
      <c r="U2248" s="32" t="str">
        <f aca="false">IF(OR(F2248="",C2248=""),"",IF(COUNTIF($C$2:C2248,C2248)=1,MAX($U$1:U2247)+1,""))</f>
        <v/>
      </c>
    </row>
    <row r="2249" customFormat="false" ht="15" hidden="false" customHeight="false" outlineLevel="0" collapsed="false">
      <c r="A2249" s="34"/>
      <c r="B2249" s="9"/>
      <c r="C2249" s="34"/>
      <c r="D2249" s="34"/>
      <c r="E2249" s="34"/>
      <c r="F2249" s="35"/>
      <c r="G2249" s="9"/>
      <c r="H2249" s="9"/>
      <c r="I2249" s="34"/>
      <c r="J2249" s="30" t="str">
        <f aca="false">IF(F2249="","",G2249-B2249)</f>
        <v/>
      </c>
      <c r="K2249" s="31" t="str">
        <f aca="false">IF(F2249="","",IF(H2249&lt;&gt;"",H2249,MAX('Vade Sapması'!$D$3,G2249)))</f>
        <v/>
      </c>
      <c r="L2249" s="30" t="str">
        <f aca="false">IF(F2249="","",K2249-B2249)</f>
        <v/>
      </c>
      <c r="M2249" s="30" t="str">
        <f aca="false">IF(F2249="","",L2249-J2249)</f>
        <v/>
      </c>
      <c r="N2249" s="32" t="str">
        <f aca="false">IF(F2249="","",IF(H2249&lt;&gt;"","Kapandı",IF('Vade Sapması'!$D$3&gt;G2249,"Açık · vadesi geçti","Açık · vadesi gelmedi")))</f>
        <v/>
      </c>
      <c r="O2249" s="30" t="str">
        <f aca="false">IF(F2249="","",IF(AND(H2249="",'Vade Sapması'!$D$3&gt;G2249),'Vade Sapması'!$D$3-G2249,0))</f>
        <v/>
      </c>
      <c r="P2249" s="33" t="str">
        <f aca="false">IF(F2249="","",F2249*J2249)</f>
        <v/>
      </c>
      <c r="Q2249" s="33" t="str">
        <f aca="false">IF(F2249="","",F2249*L2249)</f>
        <v/>
      </c>
      <c r="R2249" s="33" t="str">
        <f aca="false">IF(F2249="","",IF(H2249="",F2249,0))</f>
        <v/>
      </c>
      <c r="S2249" s="32" t="str">
        <f aca="false">IF(F2249="","",IF(N(O2249)=0,"",IF(O2249&lt;=30,"1-30",IF(O2249&lt;=60,"31-60",IF(O2249&lt;=90,"61-90","90+")))))</f>
        <v/>
      </c>
      <c r="T2249" s="32" t="str">
        <f aca="false">IF(F2249="","",IF(E2249="","Diğer",E2249))</f>
        <v/>
      </c>
      <c r="U2249" s="32" t="str">
        <f aca="false">IF(OR(F2249="",C2249=""),"",IF(COUNTIF($C$2:C2249,C2249)=1,MAX($U$1:U2248)+1,""))</f>
        <v/>
      </c>
    </row>
    <row r="2250" customFormat="false" ht="15" hidden="false" customHeight="false" outlineLevel="0" collapsed="false">
      <c r="A2250" s="34"/>
      <c r="B2250" s="9"/>
      <c r="C2250" s="34"/>
      <c r="D2250" s="34"/>
      <c r="E2250" s="34"/>
      <c r="F2250" s="35"/>
      <c r="G2250" s="9"/>
      <c r="H2250" s="9"/>
      <c r="I2250" s="34"/>
      <c r="J2250" s="30" t="str">
        <f aca="false">IF(F2250="","",G2250-B2250)</f>
        <v/>
      </c>
      <c r="K2250" s="31" t="str">
        <f aca="false">IF(F2250="","",IF(H2250&lt;&gt;"",H2250,MAX('Vade Sapması'!$D$3,G2250)))</f>
        <v/>
      </c>
      <c r="L2250" s="30" t="str">
        <f aca="false">IF(F2250="","",K2250-B2250)</f>
        <v/>
      </c>
      <c r="M2250" s="30" t="str">
        <f aca="false">IF(F2250="","",L2250-J2250)</f>
        <v/>
      </c>
      <c r="N2250" s="32" t="str">
        <f aca="false">IF(F2250="","",IF(H2250&lt;&gt;"","Kapandı",IF('Vade Sapması'!$D$3&gt;G2250,"Açık · vadesi geçti","Açık · vadesi gelmedi")))</f>
        <v/>
      </c>
      <c r="O2250" s="30" t="str">
        <f aca="false">IF(F2250="","",IF(AND(H2250="",'Vade Sapması'!$D$3&gt;G2250),'Vade Sapması'!$D$3-G2250,0))</f>
        <v/>
      </c>
      <c r="P2250" s="33" t="str">
        <f aca="false">IF(F2250="","",F2250*J2250)</f>
        <v/>
      </c>
      <c r="Q2250" s="33" t="str">
        <f aca="false">IF(F2250="","",F2250*L2250)</f>
        <v/>
      </c>
      <c r="R2250" s="33" t="str">
        <f aca="false">IF(F2250="","",IF(H2250="",F2250,0))</f>
        <v/>
      </c>
      <c r="S2250" s="32" t="str">
        <f aca="false">IF(F2250="","",IF(N(O2250)=0,"",IF(O2250&lt;=30,"1-30",IF(O2250&lt;=60,"31-60",IF(O2250&lt;=90,"61-90","90+")))))</f>
        <v/>
      </c>
      <c r="T2250" s="32" t="str">
        <f aca="false">IF(F2250="","",IF(E2250="","Diğer",E2250))</f>
        <v/>
      </c>
      <c r="U2250" s="32" t="str">
        <f aca="false">IF(OR(F2250="",C2250=""),"",IF(COUNTIF($C$2:C2250,C2250)=1,MAX($U$1:U2249)+1,""))</f>
        <v/>
      </c>
    </row>
    <row r="2251" customFormat="false" ht="15" hidden="false" customHeight="false" outlineLevel="0" collapsed="false">
      <c r="A2251" s="34"/>
      <c r="B2251" s="9"/>
      <c r="C2251" s="34"/>
      <c r="D2251" s="34"/>
      <c r="E2251" s="34"/>
      <c r="F2251" s="35"/>
      <c r="G2251" s="9"/>
      <c r="H2251" s="9"/>
      <c r="I2251" s="34"/>
      <c r="J2251" s="30" t="str">
        <f aca="false">IF(F2251="","",G2251-B2251)</f>
        <v/>
      </c>
      <c r="K2251" s="31" t="str">
        <f aca="false">IF(F2251="","",IF(H2251&lt;&gt;"",H2251,MAX('Vade Sapması'!$D$3,G2251)))</f>
        <v/>
      </c>
      <c r="L2251" s="30" t="str">
        <f aca="false">IF(F2251="","",K2251-B2251)</f>
        <v/>
      </c>
      <c r="M2251" s="30" t="str">
        <f aca="false">IF(F2251="","",L2251-J2251)</f>
        <v/>
      </c>
      <c r="N2251" s="32" t="str">
        <f aca="false">IF(F2251="","",IF(H2251&lt;&gt;"","Kapandı",IF('Vade Sapması'!$D$3&gt;G2251,"Açık · vadesi geçti","Açık · vadesi gelmedi")))</f>
        <v/>
      </c>
      <c r="O2251" s="30" t="str">
        <f aca="false">IF(F2251="","",IF(AND(H2251="",'Vade Sapması'!$D$3&gt;G2251),'Vade Sapması'!$D$3-G2251,0))</f>
        <v/>
      </c>
      <c r="P2251" s="33" t="str">
        <f aca="false">IF(F2251="","",F2251*J2251)</f>
        <v/>
      </c>
      <c r="Q2251" s="33" t="str">
        <f aca="false">IF(F2251="","",F2251*L2251)</f>
        <v/>
      </c>
      <c r="R2251" s="33" t="str">
        <f aca="false">IF(F2251="","",IF(H2251="",F2251,0))</f>
        <v/>
      </c>
      <c r="S2251" s="32" t="str">
        <f aca="false">IF(F2251="","",IF(N(O2251)=0,"",IF(O2251&lt;=30,"1-30",IF(O2251&lt;=60,"31-60",IF(O2251&lt;=90,"61-90","90+")))))</f>
        <v/>
      </c>
      <c r="T2251" s="32" t="str">
        <f aca="false">IF(F2251="","",IF(E2251="","Diğer",E2251))</f>
        <v/>
      </c>
      <c r="U2251" s="32" t="str">
        <f aca="false">IF(OR(F2251="",C2251=""),"",IF(COUNTIF($C$2:C2251,C2251)=1,MAX($U$1:U2250)+1,""))</f>
        <v/>
      </c>
    </row>
    <row r="2252" customFormat="false" ht="15" hidden="false" customHeight="false" outlineLevel="0" collapsed="false">
      <c r="A2252" s="34"/>
      <c r="B2252" s="9"/>
      <c r="C2252" s="34"/>
      <c r="D2252" s="34"/>
      <c r="E2252" s="34"/>
      <c r="F2252" s="35"/>
      <c r="G2252" s="9"/>
      <c r="H2252" s="9"/>
      <c r="I2252" s="34"/>
      <c r="J2252" s="30" t="str">
        <f aca="false">IF(F2252="","",G2252-B2252)</f>
        <v/>
      </c>
      <c r="K2252" s="31" t="str">
        <f aca="false">IF(F2252="","",IF(H2252&lt;&gt;"",H2252,MAX('Vade Sapması'!$D$3,G2252)))</f>
        <v/>
      </c>
      <c r="L2252" s="30" t="str">
        <f aca="false">IF(F2252="","",K2252-B2252)</f>
        <v/>
      </c>
      <c r="M2252" s="30" t="str">
        <f aca="false">IF(F2252="","",L2252-J2252)</f>
        <v/>
      </c>
      <c r="N2252" s="32" t="str">
        <f aca="false">IF(F2252="","",IF(H2252&lt;&gt;"","Kapandı",IF('Vade Sapması'!$D$3&gt;G2252,"Açık · vadesi geçti","Açık · vadesi gelmedi")))</f>
        <v/>
      </c>
      <c r="O2252" s="30" t="str">
        <f aca="false">IF(F2252="","",IF(AND(H2252="",'Vade Sapması'!$D$3&gt;G2252),'Vade Sapması'!$D$3-G2252,0))</f>
        <v/>
      </c>
      <c r="P2252" s="33" t="str">
        <f aca="false">IF(F2252="","",F2252*J2252)</f>
        <v/>
      </c>
      <c r="Q2252" s="33" t="str">
        <f aca="false">IF(F2252="","",F2252*L2252)</f>
        <v/>
      </c>
      <c r="R2252" s="33" t="str">
        <f aca="false">IF(F2252="","",IF(H2252="",F2252,0))</f>
        <v/>
      </c>
      <c r="S2252" s="32" t="str">
        <f aca="false">IF(F2252="","",IF(N(O2252)=0,"",IF(O2252&lt;=30,"1-30",IF(O2252&lt;=60,"31-60",IF(O2252&lt;=90,"61-90","90+")))))</f>
        <v/>
      </c>
      <c r="T2252" s="32" t="str">
        <f aca="false">IF(F2252="","",IF(E2252="","Diğer",E2252))</f>
        <v/>
      </c>
      <c r="U2252" s="32" t="str">
        <f aca="false">IF(OR(F2252="",C2252=""),"",IF(COUNTIF($C$2:C2252,C2252)=1,MAX($U$1:U2251)+1,""))</f>
        <v/>
      </c>
    </row>
    <row r="2253" customFormat="false" ht="15" hidden="false" customHeight="false" outlineLevel="0" collapsed="false">
      <c r="A2253" s="34"/>
      <c r="B2253" s="9"/>
      <c r="C2253" s="34"/>
      <c r="D2253" s="34"/>
      <c r="E2253" s="34"/>
      <c r="F2253" s="35"/>
      <c r="G2253" s="9"/>
      <c r="H2253" s="9"/>
      <c r="I2253" s="34"/>
      <c r="J2253" s="30" t="str">
        <f aca="false">IF(F2253="","",G2253-B2253)</f>
        <v/>
      </c>
      <c r="K2253" s="31" t="str">
        <f aca="false">IF(F2253="","",IF(H2253&lt;&gt;"",H2253,MAX('Vade Sapması'!$D$3,G2253)))</f>
        <v/>
      </c>
      <c r="L2253" s="30" t="str">
        <f aca="false">IF(F2253="","",K2253-B2253)</f>
        <v/>
      </c>
      <c r="M2253" s="30" t="str">
        <f aca="false">IF(F2253="","",L2253-J2253)</f>
        <v/>
      </c>
      <c r="N2253" s="32" t="str">
        <f aca="false">IF(F2253="","",IF(H2253&lt;&gt;"","Kapandı",IF('Vade Sapması'!$D$3&gt;G2253,"Açık · vadesi geçti","Açık · vadesi gelmedi")))</f>
        <v/>
      </c>
      <c r="O2253" s="30" t="str">
        <f aca="false">IF(F2253="","",IF(AND(H2253="",'Vade Sapması'!$D$3&gt;G2253),'Vade Sapması'!$D$3-G2253,0))</f>
        <v/>
      </c>
      <c r="P2253" s="33" t="str">
        <f aca="false">IF(F2253="","",F2253*J2253)</f>
        <v/>
      </c>
      <c r="Q2253" s="33" t="str">
        <f aca="false">IF(F2253="","",F2253*L2253)</f>
        <v/>
      </c>
      <c r="R2253" s="33" t="str">
        <f aca="false">IF(F2253="","",IF(H2253="",F2253,0))</f>
        <v/>
      </c>
      <c r="S2253" s="32" t="str">
        <f aca="false">IF(F2253="","",IF(N(O2253)=0,"",IF(O2253&lt;=30,"1-30",IF(O2253&lt;=60,"31-60",IF(O2253&lt;=90,"61-90","90+")))))</f>
        <v/>
      </c>
      <c r="T2253" s="32" t="str">
        <f aca="false">IF(F2253="","",IF(E2253="","Diğer",E2253))</f>
        <v/>
      </c>
      <c r="U2253" s="32" t="str">
        <f aca="false">IF(OR(F2253="",C2253=""),"",IF(COUNTIF($C$2:C2253,C2253)=1,MAX($U$1:U2252)+1,""))</f>
        <v/>
      </c>
    </row>
    <row r="2254" customFormat="false" ht="15" hidden="false" customHeight="false" outlineLevel="0" collapsed="false">
      <c r="A2254" s="34"/>
      <c r="B2254" s="9"/>
      <c r="C2254" s="34"/>
      <c r="D2254" s="34"/>
      <c r="E2254" s="34"/>
      <c r="F2254" s="35"/>
      <c r="G2254" s="9"/>
      <c r="H2254" s="9"/>
      <c r="I2254" s="34"/>
      <c r="J2254" s="30" t="str">
        <f aca="false">IF(F2254="","",G2254-B2254)</f>
        <v/>
      </c>
      <c r="K2254" s="31" t="str">
        <f aca="false">IF(F2254="","",IF(H2254&lt;&gt;"",H2254,MAX('Vade Sapması'!$D$3,G2254)))</f>
        <v/>
      </c>
      <c r="L2254" s="30" t="str">
        <f aca="false">IF(F2254="","",K2254-B2254)</f>
        <v/>
      </c>
      <c r="M2254" s="30" t="str">
        <f aca="false">IF(F2254="","",L2254-J2254)</f>
        <v/>
      </c>
      <c r="N2254" s="32" t="str">
        <f aca="false">IF(F2254="","",IF(H2254&lt;&gt;"","Kapandı",IF('Vade Sapması'!$D$3&gt;G2254,"Açık · vadesi geçti","Açık · vadesi gelmedi")))</f>
        <v/>
      </c>
      <c r="O2254" s="30" t="str">
        <f aca="false">IF(F2254="","",IF(AND(H2254="",'Vade Sapması'!$D$3&gt;G2254),'Vade Sapması'!$D$3-G2254,0))</f>
        <v/>
      </c>
      <c r="P2254" s="33" t="str">
        <f aca="false">IF(F2254="","",F2254*J2254)</f>
        <v/>
      </c>
      <c r="Q2254" s="33" t="str">
        <f aca="false">IF(F2254="","",F2254*L2254)</f>
        <v/>
      </c>
      <c r="R2254" s="33" t="str">
        <f aca="false">IF(F2254="","",IF(H2254="",F2254,0))</f>
        <v/>
      </c>
      <c r="S2254" s="32" t="str">
        <f aca="false">IF(F2254="","",IF(N(O2254)=0,"",IF(O2254&lt;=30,"1-30",IF(O2254&lt;=60,"31-60",IF(O2254&lt;=90,"61-90","90+")))))</f>
        <v/>
      </c>
      <c r="T2254" s="32" t="str">
        <f aca="false">IF(F2254="","",IF(E2254="","Diğer",E2254))</f>
        <v/>
      </c>
      <c r="U2254" s="32" t="str">
        <f aca="false">IF(OR(F2254="",C2254=""),"",IF(COUNTIF($C$2:C2254,C2254)=1,MAX($U$1:U2253)+1,""))</f>
        <v/>
      </c>
    </row>
    <row r="2255" customFormat="false" ht="15" hidden="false" customHeight="false" outlineLevel="0" collapsed="false">
      <c r="A2255" s="34"/>
      <c r="B2255" s="9"/>
      <c r="C2255" s="34"/>
      <c r="D2255" s="34"/>
      <c r="E2255" s="34"/>
      <c r="F2255" s="35"/>
      <c r="G2255" s="9"/>
      <c r="H2255" s="9"/>
      <c r="I2255" s="34"/>
      <c r="J2255" s="30" t="str">
        <f aca="false">IF(F2255="","",G2255-B2255)</f>
        <v/>
      </c>
      <c r="K2255" s="31" t="str">
        <f aca="false">IF(F2255="","",IF(H2255&lt;&gt;"",H2255,MAX('Vade Sapması'!$D$3,G2255)))</f>
        <v/>
      </c>
      <c r="L2255" s="30" t="str">
        <f aca="false">IF(F2255="","",K2255-B2255)</f>
        <v/>
      </c>
      <c r="M2255" s="30" t="str">
        <f aca="false">IF(F2255="","",L2255-J2255)</f>
        <v/>
      </c>
      <c r="N2255" s="32" t="str">
        <f aca="false">IF(F2255="","",IF(H2255&lt;&gt;"","Kapandı",IF('Vade Sapması'!$D$3&gt;G2255,"Açık · vadesi geçti","Açık · vadesi gelmedi")))</f>
        <v/>
      </c>
      <c r="O2255" s="30" t="str">
        <f aca="false">IF(F2255="","",IF(AND(H2255="",'Vade Sapması'!$D$3&gt;G2255),'Vade Sapması'!$D$3-G2255,0))</f>
        <v/>
      </c>
      <c r="P2255" s="33" t="str">
        <f aca="false">IF(F2255="","",F2255*J2255)</f>
        <v/>
      </c>
      <c r="Q2255" s="33" t="str">
        <f aca="false">IF(F2255="","",F2255*L2255)</f>
        <v/>
      </c>
      <c r="R2255" s="33" t="str">
        <f aca="false">IF(F2255="","",IF(H2255="",F2255,0))</f>
        <v/>
      </c>
      <c r="S2255" s="32" t="str">
        <f aca="false">IF(F2255="","",IF(N(O2255)=0,"",IF(O2255&lt;=30,"1-30",IF(O2255&lt;=60,"31-60",IF(O2255&lt;=90,"61-90","90+")))))</f>
        <v/>
      </c>
      <c r="T2255" s="32" t="str">
        <f aca="false">IF(F2255="","",IF(E2255="","Diğer",E2255))</f>
        <v/>
      </c>
      <c r="U2255" s="32" t="str">
        <f aca="false">IF(OR(F2255="",C2255=""),"",IF(COUNTIF($C$2:C2255,C2255)=1,MAX($U$1:U2254)+1,""))</f>
        <v/>
      </c>
    </row>
    <row r="2256" customFormat="false" ht="15" hidden="false" customHeight="false" outlineLevel="0" collapsed="false">
      <c r="A2256" s="34"/>
      <c r="B2256" s="9"/>
      <c r="C2256" s="34"/>
      <c r="D2256" s="34"/>
      <c r="E2256" s="34"/>
      <c r="F2256" s="35"/>
      <c r="G2256" s="9"/>
      <c r="H2256" s="9"/>
      <c r="I2256" s="34"/>
      <c r="J2256" s="30" t="str">
        <f aca="false">IF(F2256="","",G2256-B2256)</f>
        <v/>
      </c>
      <c r="K2256" s="31" t="str">
        <f aca="false">IF(F2256="","",IF(H2256&lt;&gt;"",H2256,MAX('Vade Sapması'!$D$3,G2256)))</f>
        <v/>
      </c>
      <c r="L2256" s="30" t="str">
        <f aca="false">IF(F2256="","",K2256-B2256)</f>
        <v/>
      </c>
      <c r="M2256" s="30" t="str">
        <f aca="false">IF(F2256="","",L2256-J2256)</f>
        <v/>
      </c>
      <c r="N2256" s="32" t="str">
        <f aca="false">IF(F2256="","",IF(H2256&lt;&gt;"","Kapandı",IF('Vade Sapması'!$D$3&gt;G2256,"Açık · vadesi geçti","Açık · vadesi gelmedi")))</f>
        <v/>
      </c>
      <c r="O2256" s="30" t="str">
        <f aca="false">IF(F2256="","",IF(AND(H2256="",'Vade Sapması'!$D$3&gt;G2256),'Vade Sapması'!$D$3-G2256,0))</f>
        <v/>
      </c>
      <c r="P2256" s="33" t="str">
        <f aca="false">IF(F2256="","",F2256*J2256)</f>
        <v/>
      </c>
      <c r="Q2256" s="33" t="str">
        <f aca="false">IF(F2256="","",F2256*L2256)</f>
        <v/>
      </c>
      <c r="R2256" s="33" t="str">
        <f aca="false">IF(F2256="","",IF(H2256="",F2256,0))</f>
        <v/>
      </c>
      <c r="S2256" s="32" t="str">
        <f aca="false">IF(F2256="","",IF(N(O2256)=0,"",IF(O2256&lt;=30,"1-30",IF(O2256&lt;=60,"31-60",IF(O2256&lt;=90,"61-90","90+")))))</f>
        <v/>
      </c>
      <c r="T2256" s="32" t="str">
        <f aca="false">IF(F2256="","",IF(E2256="","Diğer",E2256))</f>
        <v/>
      </c>
      <c r="U2256" s="32" t="str">
        <f aca="false">IF(OR(F2256="",C2256=""),"",IF(COUNTIF($C$2:C2256,C2256)=1,MAX($U$1:U2255)+1,""))</f>
        <v/>
      </c>
    </row>
    <row r="2257" customFormat="false" ht="15" hidden="false" customHeight="false" outlineLevel="0" collapsed="false">
      <c r="A2257" s="34"/>
      <c r="B2257" s="9"/>
      <c r="C2257" s="34"/>
      <c r="D2257" s="34"/>
      <c r="E2257" s="34"/>
      <c r="F2257" s="35"/>
      <c r="G2257" s="9"/>
      <c r="H2257" s="9"/>
      <c r="I2257" s="34"/>
      <c r="J2257" s="30" t="str">
        <f aca="false">IF(F2257="","",G2257-B2257)</f>
        <v/>
      </c>
      <c r="K2257" s="31" t="str">
        <f aca="false">IF(F2257="","",IF(H2257&lt;&gt;"",H2257,MAX('Vade Sapması'!$D$3,G2257)))</f>
        <v/>
      </c>
      <c r="L2257" s="30" t="str">
        <f aca="false">IF(F2257="","",K2257-B2257)</f>
        <v/>
      </c>
      <c r="M2257" s="30" t="str">
        <f aca="false">IF(F2257="","",L2257-J2257)</f>
        <v/>
      </c>
      <c r="N2257" s="32" t="str">
        <f aca="false">IF(F2257="","",IF(H2257&lt;&gt;"","Kapandı",IF('Vade Sapması'!$D$3&gt;G2257,"Açık · vadesi geçti","Açık · vadesi gelmedi")))</f>
        <v/>
      </c>
      <c r="O2257" s="30" t="str">
        <f aca="false">IF(F2257="","",IF(AND(H2257="",'Vade Sapması'!$D$3&gt;G2257),'Vade Sapması'!$D$3-G2257,0))</f>
        <v/>
      </c>
      <c r="P2257" s="33" t="str">
        <f aca="false">IF(F2257="","",F2257*J2257)</f>
        <v/>
      </c>
      <c r="Q2257" s="33" t="str">
        <f aca="false">IF(F2257="","",F2257*L2257)</f>
        <v/>
      </c>
      <c r="R2257" s="33" t="str">
        <f aca="false">IF(F2257="","",IF(H2257="",F2257,0))</f>
        <v/>
      </c>
      <c r="S2257" s="32" t="str">
        <f aca="false">IF(F2257="","",IF(N(O2257)=0,"",IF(O2257&lt;=30,"1-30",IF(O2257&lt;=60,"31-60",IF(O2257&lt;=90,"61-90","90+")))))</f>
        <v/>
      </c>
      <c r="T2257" s="32" t="str">
        <f aca="false">IF(F2257="","",IF(E2257="","Diğer",E2257))</f>
        <v/>
      </c>
      <c r="U2257" s="32" t="str">
        <f aca="false">IF(OR(F2257="",C2257=""),"",IF(COUNTIF($C$2:C2257,C2257)=1,MAX($U$1:U2256)+1,""))</f>
        <v/>
      </c>
    </row>
    <row r="2258" customFormat="false" ht="15" hidden="false" customHeight="false" outlineLevel="0" collapsed="false">
      <c r="A2258" s="34"/>
      <c r="B2258" s="9"/>
      <c r="C2258" s="34"/>
      <c r="D2258" s="34"/>
      <c r="E2258" s="34"/>
      <c r="F2258" s="35"/>
      <c r="G2258" s="9"/>
      <c r="H2258" s="9"/>
      <c r="I2258" s="34"/>
      <c r="J2258" s="30" t="str">
        <f aca="false">IF(F2258="","",G2258-B2258)</f>
        <v/>
      </c>
      <c r="K2258" s="31" t="str">
        <f aca="false">IF(F2258="","",IF(H2258&lt;&gt;"",H2258,MAX('Vade Sapması'!$D$3,G2258)))</f>
        <v/>
      </c>
      <c r="L2258" s="30" t="str">
        <f aca="false">IF(F2258="","",K2258-B2258)</f>
        <v/>
      </c>
      <c r="M2258" s="30" t="str">
        <f aca="false">IF(F2258="","",L2258-J2258)</f>
        <v/>
      </c>
      <c r="N2258" s="32" t="str">
        <f aca="false">IF(F2258="","",IF(H2258&lt;&gt;"","Kapandı",IF('Vade Sapması'!$D$3&gt;G2258,"Açık · vadesi geçti","Açık · vadesi gelmedi")))</f>
        <v/>
      </c>
      <c r="O2258" s="30" t="str">
        <f aca="false">IF(F2258="","",IF(AND(H2258="",'Vade Sapması'!$D$3&gt;G2258),'Vade Sapması'!$D$3-G2258,0))</f>
        <v/>
      </c>
      <c r="P2258" s="33" t="str">
        <f aca="false">IF(F2258="","",F2258*J2258)</f>
        <v/>
      </c>
      <c r="Q2258" s="33" t="str">
        <f aca="false">IF(F2258="","",F2258*L2258)</f>
        <v/>
      </c>
      <c r="R2258" s="33" t="str">
        <f aca="false">IF(F2258="","",IF(H2258="",F2258,0))</f>
        <v/>
      </c>
      <c r="S2258" s="32" t="str">
        <f aca="false">IF(F2258="","",IF(N(O2258)=0,"",IF(O2258&lt;=30,"1-30",IF(O2258&lt;=60,"31-60",IF(O2258&lt;=90,"61-90","90+")))))</f>
        <v/>
      </c>
      <c r="T2258" s="32" t="str">
        <f aca="false">IF(F2258="","",IF(E2258="","Diğer",E2258))</f>
        <v/>
      </c>
      <c r="U2258" s="32" t="str">
        <f aca="false">IF(OR(F2258="",C2258=""),"",IF(COUNTIF($C$2:C2258,C2258)=1,MAX($U$1:U2257)+1,""))</f>
        <v/>
      </c>
    </row>
    <row r="2259" customFormat="false" ht="15" hidden="false" customHeight="false" outlineLevel="0" collapsed="false">
      <c r="A2259" s="34"/>
      <c r="B2259" s="9"/>
      <c r="C2259" s="34"/>
      <c r="D2259" s="34"/>
      <c r="E2259" s="34"/>
      <c r="F2259" s="35"/>
      <c r="G2259" s="9"/>
      <c r="H2259" s="9"/>
      <c r="I2259" s="34"/>
      <c r="J2259" s="30" t="str">
        <f aca="false">IF(F2259="","",G2259-B2259)</f>
        <v/>
      </c>
      <c r="K2259" s="31" t="str">
        <f aca="false">IF(F2259="","",IF(H2259&lt;&gt;"",H2259,MAX('Vade Sapması'!$D$3,G2259)))</f>
        <v/>
      </c>
      <c r="L2259" s="30" t="str">
        <f aca="false">IF(F2259="","",K2259-B2259)</f>
        <v/>
      </c>
      <c r="M2259" s="30" t="str">
        <f aca="false">IF(F2259="","",L2259-J2259)</f>
        <v/>
      </c>
      <c r="N2259" s="32" t="str">
        <f aca="false">IF(F2259="","",IF(H2259&lt;&gt;"","Kapandı",IF('Vade Sapması'!$D$3&gt;G2259,"Açık · vadesi geçti","Açık · vadesi gelmedi")))</f>
        <v/>
      </c>
      <c r="O2259" s="30" t="str">
        <f aca="false">IF(F2259="","",IF(AND(H2259="",'Vade Sapması'!$D$3&gt;G2259),'Vade Sapması'!$D$3-G2259,0))</f>
        <v/>
      </c>
      <c r="P2259" s="33" t="str">
        <f aca="false">IF(F2259="","",F2259*J2259)</f>
        <v/>
      </c>
      <c r="Q2259" s="33" t="str">
        <f aca="false">IF(F2259="","",F2259*L2259)</f>
        <v/>
      </c>
      <c r="R2259" s="33" t="str">
        <f aca="false">IF(F2259="","",IF(H2259="",F2259,0))</f>
        <v/>
      </c>
      <c r="S2259" s="32" t="str">
        <f aca="false">IF(F2259="","",IF(N(O2259)=0,"",IF(O2259&lt;=30,"1-30",IF(O2259&lt;=60,"31-60",IF(O2259&lt;=90,"61-90","90+")))))</f>
        <v/>
      </c>
      <c r="T2259" s="32" t="str">
        <f aca="false">IF(F2259="","",IF(E2259="","Diğer",E2259))</f>
        <v/>
      </c>
      <c r="U2259" s="32" t="str">
        <f aca="false">IF(OR(F2259="",C2259=""),"",IF(COUNTIF($C$2:C2259,C2259)=1,MAX($U$1:U2258)+1,""))</f>
        <v/>
      </c>
    </row>
    <row r="2260" customFormat="false" ht="15" hidden="false" customHeight="false" outlineLevel="0" collapsed="false">
      <c r="A2260" s="34"/>
      <c r="B2260" s="9"/>
      <c r="C2260" s="34"/>
      <c r="D2260" s="34"/>
      <c r="E2260" s="34"/>
      <c r="F2260" s="35"/>
      <c r="G2260" s="9"/>
      <c r="H2260" s="9"/>
      <c r="I2260" s="34"/>
      <c r="J2260" s="30" t="str">
        <f aca="false">IF(F2260="","",G2260-B2260)</f>
        <v/>
      </c>
      <c r="K2260" s="31" t="str">
        <f aca="false">IF(F2260="","",IF(H2260&lt;&gt;"",H2260,MAX('Vade Sapması'!$D$3,G2260)))</f>
        <v/>
      </c>
      <c r="L2260" s="30" t="str">
        <f aca="false">IF(F2260="","",K2260-B2260)</f>
        <v/>
      </c>
      <c r="M2260" s="30" t="str">
        <f aca="false">IF(F2260="","",L2260-J2260)</f>
        <v/>
      </c>
      <c r="N2260" s="32" t="str">
        <f aca="false">IF(F2260="","",IF(H2260&lt;&gt;"","Kapandı",IF('Vade Sapması'!$D$3&gt;G2260,"Açık · vadesi geçti","Açık · vadesi gelmedi")))</f>
        <v/>
      </c>
      <c r="O2260" s="30" t="str">
        <f aca="false">IF(F2260="","",IF(AND(H2260="",'Vade Sapması'!$D$3&gt;G2260),'Vade Sapması'!$D$3-G2260,0))</f>
        <v/>
      </c>
      <c r="P2260" s="33" t="str">
        <f aca="false">IF(F2260="","",F2260*J2260)</f>
        <v/>
      </c>
      <c r="Q2260" s="33" t="str">
        <f aca="false">IF(F2260="","",F2260*L2260)</f>
        <v/>
      </c>
      <c r="R2260" s="33" t="str">
        <f aca="false">IF(F2260="","",IF(H2260="",F2260,0))</f>
        <v/>
      </c>
      <c r="S2260" s="32" t="str">
        <f aca="false">IF(F2260="","",IF(N(O2260)=0,"",IF(O2260&lt;=30,"1-30",IF(O2260&lt;=60,"31-60",IF(O2260&lt;=90,"61-90","90+")))))</f>
        <v/>
      </c>
      <c r="T2260" s="32" t="str">
        <f aca="false">IF(F2260="","",IF(E2260="","Diğer",E2260))</f>
        <v/>
      </c>
      <c r="U2260" s="32" t="str">
        <f aca="false">IF(OR(F2260="",C2260=""),"",IF(COUNTIF($C$2:C2260,C2260)=1,MAX($U$1:U2259)+1,""))</f>
        <v/>
      </c>
    </row>
    <row r="2261" customFormat="false" ht="15" hidden="false" customHeight="false" outlineLevel="0" collapsed="false">
      <c r="A2261" s="34"/>
      <c r="B2261" s="9"/>
      <c r="C2261" s="34"/>
      <c r="D2261" s="34"/>
      <c r="E2261" s="34"/>
      <c r="F2261" s="35"/>
      <c r="G2261" s="9"/>
      <c r="H2261" s="9"/>
      <c r="I2261" s="34"/>
      <c r="J2261" s="30" t="str">
        <f aca="false">IF(F2261="","",G2261-B2261)</f>
        <v/>
      </c>
      <c r="K2261" s="31" t="str">
        <f aca="false">IF(F2261="","",IF(H2261&lt;&gt;"",H2261,MAX('Vade Sapması'!$D$3,G2261)))</f>
        <v/>
      </c>
      <c r="L2261" s="30" t="str">
        <f aca="false">IF(F2261="","",K2261-B2261)</f>
        <v/>
      </c>
      <c r="M2261" s="30" t="str">
        <f aca="false">IF(F2261="","",L2261-J2261)</f>
        <v/>
      </c>
      <c r="N2261" s="32" t="str">
        <f aca="false">IF(F2261="","",IF(H2261&lt;&gt;"","Kapandı",IF('Vade Sapması'!$D$3&gt;G2261,"Açık · vadesi geçti","Açık · vadesi gelmedi")))</f>
        <v/>
      </c>
      <c r="O2261" s="30" t="str">
        <f aca="false">IF(F2261="","",IF(AND(H2261="",'Vade Sapması'!$D$3&gt;G2261),'Vade Sapması'!$D$3-G2261,0))</f>
        <v/>
      </c>
      <c r="P2261" s="33" t="str">
        <f aca="false">IF(F2261="","",F2261*J2261)</f>
        <v/>
      </c>
      <c r="Q2261" s="33" t="str">
        <f aca="false">IF(F2261="","",F2261*L2261)</f>
        <v/>
      </c>
      <c r="R2261" s="33" t="str">
        <f aca="false">IF(F2261="","",IF(H2261="",F2261,0))</f>
        <v/>
      </c>
      <c r="S2261" s="32" t="str">
        <f aca="false">IF(F2261="","",IF(N(O2261)=0,"",IF(O2261&lt;=30,"1-30",IF(O2261&lt;=60,"31-60",IF(O2261&lt;=90,"61-90","90+")))))</f>
        <v/>
      </c>
      <c r="T2261" s="32" t="str">
        <f aca="false">IF(F2261="","",IF(E2261="","Diğer",E2261))</f>
        <v/>
      </c>
      <c r="U2261" s="32" t="str">
        <f aca="false">IF(OR(F2261="",C2261=""),"",IF(COUNTIF($C$2:C2261,C2261)=1,MAX($U$1:U2260)+1,""))</f>
        <v/>
      </c>
    </row>
    <row r="2262" customFormat="false" ht="15" hidden="false" customHeight="false" outlineLevel="0" collapsed="false">
      <c r="A2262" s="34"/>
      <c r="B2262" s="9"/>
      <c r="C2262" s="34"/>
      <c r="D2262" s="34"/>
      <c r="E2262" s="34"/>
      <c r="F2262" s="35"/>
      <c r="G2262" s="9"/>
      <c r="H2262" s="9"/>
      <c r="I2262" s="34"/>
      <c r="J2262" s="30" t="str">
        <f aca="false">IF(F2262="","",G2262-B2262)</f>
        <v/>
      </c>
      <c r="K2262" s="31" t="str">
        <f aca="false">IF(F2262="","",IF(H2262&lt;&gt;"",H2262,MAX('Vade Sapması'!$D$3,G2262)))</f>
        <v/>
      </c>
      <c r="L2262" s="30" t="str">
        <f aca="false">IF(F2262="","",K2262-B2262)</f>
        <v/>
      </c>
      <c r="M2262" s="30" t="str">
        <f aca="false">IF(F2262="","",L2262-J2262)</f>
        <v/>
      </c>
      <c r="N2262" s="32" t="str">
        <f aca="false">IF(F2262="","",IF(H2262&lt;&gt;"","Kapandı",IF('Vade Sapması'!$D$3&gt;G2262,"Açık · vadesi geçti","Açık · vadesi gelmedi")))</f>
        <v/>
      </c>
      <c r="O2262" s="30" t="str">
        <f aca="false">IF(F2262="","",IF(AND(H2262="",'Vade Sapması'!$D$3&gt;G2262),'Vade Sapması'!$D$3-G2262,0))</f>
        <v/>
      </c>
      <c r="P2262" s="33" t="str">
        <f aca="false">IF(F2262="","",F2262*J2262)</f>
        <v/>
      </c>
      <c r="Q2262" s="33" t="str">
        <f aca="false">IF(F2262="","",F2262*L2262)</f>
        <v/>
      </c>
      <c r="R2262" s="33" t="str">
        <f aca="false">IF(F2262="","",IF(H2262="",F2262,0))</f>
        <v/>
      </c>
      <c r="S2262" s="32" t="str">
        <f aca="false">IF(F2262="","",IF(N(O2262)=0,"",IF(O2262&lt;=30,"1-30",IF(O2262&lt;=60,"31-60",IF(O2262&lt;=90,"61-90","90+")))))</f>
        <v/>
      </c>
      <c r="T2262" s="32" t="str">
        <f aca="false">IF(F2262="","",IF(E2262="","Diğer",E2262))</f>
        <v/>
      </c>
      <c r="U2262" s="32" t="str">
        <f aca="false">IF(OR(F2262="",C2262=""),"",IF(COUNTIF($C$2:C2262,C2262)=1,MAX($U$1:U2261)+1,""))</f>
        <v/>
      </c>
    </row>
    <row r="2263" customFormat="false" ht="15" hidden="false" customHeight="false" outlineLevel="0" collapsed="false">
      <c r="A2263" s="34"/>
      <c r="B2263" s="9"/>
      <c r="C2263" s="34"/>
      <c r="D2263" s="34"/>
      <c r="E2263" s="34"/>
      <c r="F2263" s="35"/>
      <c r="G2263" s="9"/>
      <c r="H2263" s="9"/>
      <c r="I2263" s="34"/>
      <c r="J2263" s="30" t="str">
        <f aca="false">IF(F2263="","",G2263-B2263)</f>
        <v/>
      </c>
      <c r="K2263" s="31" t="str">
        <f aca="false">IF(F2263="","",IF(H2263&lt;&gt;"",H2263,MAX('Vade Sapması'!$D$3,G2263)))</f>
        <v/>
      </c>
      <c r="L2263" s="30" t="str">
        <f aca="false">IF(F2263="","",K2263-B2263)</f>
        <v/>
      </c>
      <c r="M2263" s="30" t="str">
        <f aca="false">IF(F2263="","",L2263-J2263)</f>
        <v/>
      </c>
      <c r="N2263" s="32" t="str">
        <f aca="false">IF(F2263="","",IF(H2263&lt;&gt;"","Kapandı",IF('Vade Sapması'!$D$3&gt;G2263,"Açık · vadesi geçti","Açık · vadesi gelmedi")))</f>
        <v/>
      </c>
      <c r="O2263" s="30" t="str">
        <f aca="false">IF(F2263="","",IF(AND(H2263="",'Vade Sapması'!$D$3&gt;G2263),'Vade Sapması'!$D$3-G2263,0))</f>
        <v/>
      </c>
      <c r="P2263" s="33" t="str">
        <f aca="false">IF(F2263="","",F2263*J2263)</f>
        <v/>
      </c>
      <c r="Q2263" s="33" t="str">
        <f aca="false">IF(F2263="","",F2263*L2263)</f>
        <v/>
      </c>
      <c r="R2263" s="33" t="str">
        <f aca="false">IF(F2263="","",IF(H2263="",F2263,0))</f>
        <v/>
      </c>
      <c r="S2263" s="32" t="str">
        <f aca="false">IF(F2263="","",IF(N(O2263)=0,"",IF(O2263&lt;=30,"1-30",IF(O2263&lt;=60,"31-60",IF(O2263&lt;=90,"61-90","90+")))))</f>
        <v/>
      </c>
      <c r="T2263" s="32" t="str">
        <f aca="false">IF(F2263="","",IF(E2263="","Diğer",E2263))</f>
        <v/>
      </c>
      <c r="U2263" s="32" t="str">
        <f aca="false">IF(OR(F2263="",C2263=""),"",IF(COUNTIF($C$2:C2263,C2263)=1,MAX($U$1:U2262)+1,""))</f>
        <v/>
      </c>
    </row>
    <row r="2264" customFormat="false" ht="15" hidden="false" customHeight="false" outlineLevel="0" collapsed="false">
      <c r="A2264" s="34"/>
      <c r="B2264" s="9"/>
      <c r="C2264" s="34"/>
      <c r="D2264" s="34"/>
      <c r="E2264" s="34"/>
      <c r="F2264" s="35"/>
      <c r="G2264" s="9"/>
      <c r="H2264" s="9"/>
      <c r="I2264" s="34"/>
      <c r="J2264" s="30" t="str">
        <f aca="false">IF(F2264="","",G2264-B2264)</f>
        <v/>
      </c>
      <c r="K2264" s="31" t="str">
        <f aca="false">IF(F2264="","",IF(H2264&lt;&gt;"",H2264,MAX('Vade Sapması'!$D$3,G2264)))</f>
        <v/>
      </c>
      <c r="L2264" s="30" t="str">
        <f aca="false">IF(F2264="","",K2264-B2264)</f>
        <v/>
      </c>
      <c r="M2264" s="30" t="str">
        <f aca="false">IF(F2264="","",L2264-J2264)</f>
        <v/>
      </c>
      <c r="N2264" s="32" t="str">
        <f aca="false">IF(F2264="","",IF(H2264&lt;&gt;"","Kapandı",IF('Vade Sapması'!$D$3&gt;G2264,"Açık · vadesi geçti","Açık · vadesi gelmedi")))</f>
        <v/>
      </c>
      <c r="O2264" s="30" t="str">
        <f aca="false">IF(F2264="","",IF(AND(H2264="",'Vade Sapması'!$D$3&gt;G2264),'Vade Sapması'!$D$3-G2264,0))</f>
        <v/>
      </c>
      <c r="P2264" s="33" t="str">
        <f aca="false">IF(F2264="","",F2264*J2264)</f>
        <v/>
      </c>
      <c r="Q2264" s="33" t="str">
        <f aca="false">IF(F2264="","",F2264*L2264)</f>
        <v/>
      </c>
      <c r="R2264" s="33" t="str">
        <f aca="false">IF(F2264="","",IF(H2264="",F2264,0))</f>
        <v/>
      </c>
      <c r="S2264" s="32" t="str">
        <f aca="false">IF(F2264="","",IF(N(O2264)=0,"",IF(O2264&lt;=30,"1-30",IF(O2264&lt;=60,"31-60",IF(O2264&lt;=90,"61-90","90+")))))</f>
        <v/>
      </c>
      <c r="T2264" s="32" t="str">
        <f aca="false">IF(F2264="","",IF(E2264="","Diğer",E2264))</f>
        <v/>
      </c>
      <c r="U2264" s="32" t="str">
        <f aca="false">IF(OR(F2264="",C2264=""),"",IF(COUNTIF($C$2:C2264,C2264)=1,MAX($U$1:U2263)+1,""))</f>
        <v/>
      </c>
    </row>
    <row r="2265" customFormat="false" ht="15" hidden="false" customHeight="false" outlineLevel="0" collapsed="false">
      <c r="A2265" s="34"/>
      <c r="B2265" s="9"/>
      <c r="C2265" s="34"/>
      <c r="D2265" s="34"/>
      <c r="E2265" s="34"/>
      <c r="F2265" s="35"/>
      <c r="G2265" s="9"/>
      <c r="H2265" s="9"/>
      <c r="I2265" s="34"/>
      <c r="J2265" s="30" t="str">
        <f aca="false">IF(F2265="","",G2265-B2265)</f>
        <v/>
      </c>
      <c r="K2265" s="31" t="str">
        <f aca="false">IF(F2265="","",IF(H2265&lt;&gt;"",H2265,MAX('Vade Sapması'!$D$3,G2265)))</f>
        <v/>
      </c>
      <c r="L2265" s="30" t="str">
        <f aca="false">IF(F2265="","",K2265-B2265)</f>
        <v/>
      </c>
      <c r="M2265" s="30" t="str">
        <f aca="false">IF(F2265="","",L2265-J2265)</f>
        <v/>
      </c>
      <c r="N2265" s="32" t="str">
        <f aca="false">IF(F2265="","",IF(H2265&lt;&gt;"","Kapandı",IF('Vade Sapması'!$D$3&gt;G2265,"Açık · vadesi geçti","Açık · vadesi gelmedi")))</f>
        <v/>
      </c>
      <c r="O2265" s="30" t="str">
        <f aca="false">IF(F2265="","",IF(AND(H2265="",'Vade Sapması'!$D$3&gt;G2265),'Vade Sapması'!$D$3-G2265,0))</f>
        <v/>
      </c>
      <c r="P2265" s="33" t="str">
        <f aca="false">IF(F2265="","",F2265*J2265)</f>
        <v/>
      </c>
      <c r="Q2265" s="33" t="str">
        <f aca="false">IF(F2265="","",F2265*L2265)</f>
        <v/>
      </c>
      <c r="R2265" s="33" t="str">
        <f aca="false">IF(F2265="","",IF(H2265="",F2265,0))</f>
        <v/>
      </c>
      <c r="S2265" s="32" t="str">
        <f aca="false">IF(F2265="","",IF(N(O2265)=0,"",IF(O2265&lt;=30,"1-30",IF(O2265&lt;=60,"31-60",IF(O2265&lt;=90,"61-90","90+")))))</f>
        <v/>
      </c>
      <c r="T2265" s="32" t="str">
        <f aca="false">IF(F2265="","",IF(E2265="","Diğer",E2265))</f>
        <v/>
      </c>
      <c r="U2265" s="32" t="str">
        <f aca="false">IF(OR(F2265="",C2265=""),"",IF(COUNTIF($C$2:C2265,C2265)=1,MAX($U$1:U2264)+1,""))</f>
        <v/>
      </c>
    </row>
    <row r="2266" customFormat="false" ht="15" hidden="false" customHeight="false" outlineLevel="0" collapsed="false">
      <c r="A2266" s="34"/>
      <c r="B2266" s="9"/>
      <c r="C2266" s="34"/>
      <c r="D2266" s="34"/>
      <c r="E2266" s="34"/>
      <c r="F2266" s="35"/>
      <c r="G2266" s="9"/>
      <c r="H2266" s="9"/>
      <c r="I2266" s="34"/>
      <c r="J2266" s="30" t="str">
        <f aca="false">IF(F2266="","",G2266-B2266)</f>
        <v/>
      </c>
      <c r="K2266" s="31" t="str">
        <f aca="false">IF(F2266="","",IF(H2266&lt;&gt;"",H2266,MAX('Vade Sapması'!$D$3,G2266)))</f>
        <v/>
      </c>
      <c r="L2266" s="30" t="str">
        <f aca="false">IF(F2266="","",K2266-B2266)</f>
        <v/>
      </c>
      <c r="M2266" s="30" t="str">
        <f aca="false">IF(F2266="","",L2266-J2266)</f>
        <v/>
      </c>
      <c r="N2266" s="32" t="str">
        <f aca="false">IF(F2266="","",IF(H2266&lt;&gt;"","Kapandı",IF('Vade Sapması'!$D$3&gt;G2266,"Açık · vadesi geçti","Açık · vadesi gelmedi")))</f>
        <v/>
      </c>
      <c r="O2266" s="30" t="str">
        <f aca="false">IF(F2266="","",IF(AND(H2266="",'Vade Sapması'!$D$3&gt;G2266),'Vade Sapması'!$D$3-G2266,0))</f>
        <v/>
      </c>
      <c r="P2266" s="33" t="str">
        <f aca="false">IF(F2266="","",F2266*J2266)</f>
        <v/>
      </c>
      <c r="Q2266" s="33" t="str">
        <f aca="false">IF(F2266="","",F2266*L2266)</f>
        <v/>
      </c>
      <c r="R2266" s="33" t="str">
        <f aca="false">IF(F2266="","",IF(H2266="",F2266,0))</f>
        <v/>
      </c>
      <c r="S2266" s="32" t="str">
        <f aca="false">IF(F2266="","",IF(N(O2266)=0,"",IF(O2266&lt;=30,"1-30",IF(O2266&lt;=60,"31-60",IF(O2266&lt;=90,"61-90","90+")))))</f>
        <v/>
      </c>
      <c r="T2266" s="32" t="str">
        <f aca="false">IF(F2266="","",IF(E2266="","Diğer",E2266))</f>
        <v/>
      </c>
      <c r="U2266" s="32" t="str">
        <f aca="false">IF(OR(F2266="",C2266=""),"",IF(COUNTIF($C$2:C2266,C2266)=1,MAX($U$1:U2265)+1,""))</f>
        <v/>
      </c>
    </row>
    <row r="2267" customFormat="false" ht="15" hidden="false" customHeight="false" outlineLevel="0" collapsed="false">
      <c r="A2267" s="34"/>
      <c r="B2267" s="9"/>
      <c r="C2267" s="34"/>
      <c r="D2267" s="34"/>
      <c r="E2267" s="34"/>
      <c r="F2267" s="35"/>
      <c r="G2267" s="9"/>
      <c r="H2267" s="9"/>
      <c r="I2267" s="34"/>
      <c r="J2267" s="30" t="str">
        <f aca="false">IF(F2267="","",G2267-B2267)</f>
        <v/>
      </c>
      <c r="K2267" s="31" t="str">
        <f aca="false">IF(F2267="","",IF(H2267&lt;&gt;"",H2267,MAX('Vade Sapması'!$D$3,G2267)))</f>
        <v/>
      </c>
      <c r="L2267" s="30" t="str">
        <f aca="false">IF(F2267="","",K2267-B2267)</f>
        <v/>
      </c>
      <c r="M2267" s="30" t="str">
        <f aca="false">IF(F2267="","",L2267-J2267)</f>
        <v/>
      </c>
      <c r="N2267" s="32" t="str">
        <f aca="false">IF(F2267="","",IF(H2267&lt;&gt;"","Kapandı",IF('Vade Sapması'!$D$3&gt;G2267,"Açık · vadesi geçti","Açık · vadesi gelmedi")))</f>
        <v/>
      </c>
      <c r="O2267" s="30" t="str">
        <f aca="false">IF(F2267="","",IF(AND(H2267="",'Vade Sapması'!$D$3&gt;G2267),'Vade Sapması'!$D$3-G2267,0))</f>
        <v/>
      </c>
      <c r="P2267" s="33" t="str">
        <f aca="false">IF(F2267="","",F2267*J2267)</f>
        <v/>
      </c>
      <c r="Q2267" s="33" t="str">
        <f aca="false">IF(F2267="","",F2267*L2267)</f>
        <v/>
      </c>
      <c r="R2267" s="33" t="str">
        <f aca="false">IF(F2267="","",IF(H2267="",F2267,0))</f>
        <v/>
      </c>
      <c r="S2267" s="32" t="str">
        <f aca="false">IF(F2267="","",IF(N(O2267)=0,"",IF(O2267&lt;=30,"1-30",IF(O2267&lt;=60,"31-60",IF(O2267&lt;=90,"61-90","90+")))))</f>
        <v/>
      </c>
      <c r="T2267" s="32" t="str">
        <f aca="false">IF(F2267="","",IF(E2267="","Diğer",E2267))</f>
        <v/>
      </c>
      <c r="U2267" s="32" t="str">
        <f aca="false">IF(OR(F2267="",C2267=""),"",IF(COUNTIF($C$2:C2267,C2267)=1,MAX($U$1:U2266)+1,""))</f>
        <v/>
      </c>
    </row>
    <row r="2268" customFormat="false" ht="15" hidden="false" customHeight="false" outlineLevel="0" collapsed="false">
      <c r="A2268" s="34"/>
      <c r="B2268" s="9"/>
      <c r="C2268" s="34"/>
      <c r="D2268" s="34"/>
      <c r="E2268" s="34"/>
      <c r="F2268" s="35"/>
      <c r="G2268" s="9"/>
      <c r="H2268" s="9"/>
      <c r="I2268" s="34"/>
      <c r="J2268" s="30" t="str">
        <f aca="false">IF(F2268="","",G2268-B2268)</f>
        <v/>
      </c>
      <c r="K2268" s="31" t="str">
        <f aca="false">IF(F2268="","",IF(H2268&lt;&gt;"",H2268,MAX('Vade Sapması'!$D$3,G2268)))</f>
        <v/>
      </c>
      <c r="L2268" s="30" t="str">
        <f aca="false">IF(F2268="","",K2268-B2268)</f>
        <v/>
      </c>
      <c r="M2268" s="30" t="str">
        <f aca="false">IF(F2268="","",L2268-J2268)</f>
        <v/>
      </c>
      <c r="N2268" s="32" t="str">
        <f aca="false">IF(F2268="","",IF(H2268&lt;&gt;"","Kapandı",IF('Vade Sapması'!$D$3&gt;G2268,"Açık · vadesi geçti","Açık · vadesi gelmedi")))</f>
        <v/>
      </c>
      <c r="O2268" s="30" t="str">
        <f aca="false">IF(F2268="","",IF(AND(H2268="",'Vade Sapması'!$D$3&gt;G2268),'Vade Sapması'!$D$3-G2268,0))</f>
        <v/>
      </c>
      <c r="P2268" s="33" t="str">
        <f aca="false">IF(F2268="","",F2268*J2268)</f>
        <v/>
      </c>
      <c r="Q2268" s="33" t="str">
        <f aca="false">IF(F2268="","",F2268*L2268)</f>
        <v/>
      </c>
      <c r="R2268" s="33" t="str">
        <f aca="false">IF(F2268="","",IF(H2268="",F2268,0))</f>
        <v/>
      </c>
      <c r="S2268" s="32" t="str">
        <f aca="false">IF(F2268="","",IF(N(O2268)=0,"",IF(O2268&lt;=30,"1-30",IF(O2268&lt;=60,"31-60",IF(O2268&lt;=90,"61-90","90+")))))</f>
        <v/>
      </c>
      <c r="T2268" s="32" t="str">
        <f aca="false">IF(F2268="","",IF(E2268="","Diğer",E2268))</f>
        <v/>
      </c>
      <c r="U2268" s="32" t="str">
        <f aca="false">IF(OR(F2268="",C2268=""),"",IF(COUNTIF($C$2:C2268,C2268)=1,MAX($U$1:U2267)+1,""))</f>
        <v/>
      </c>
    </row>
    <row r="2269" customFormat="false" ht="15" hidden="false" customHeight="false" outlineLevel="0" collapsed="false">
      <c r="A2269" s="34"/>
      <c r="B2269" s="9"/>
      <c r="C2269" s="34"/>
      <c r="D2269" s="34"/>
      <c r="E2269" s="34"/>
      <c r="F2269" s="35"/>
      <c r="G2269" s="9"/>
      <c r="H2269" s="9"/>
      <c r="I2269" s="34"/>
      <c r="J2269" s="30" t="str">
        <f aca="false">IF(F2269="","",G2269-B2269)</f>
        <v/>
      </c>
      <c r="K2269" s="31" t="str">
        <f aca="false">IF(F2269="","",IF(H2269&lt;&gt;"",H2269,MAX('Vade Sapması'!$D$3,G2269)))</f>
        <v/>
      </c>
      <c r="L2269" s="30" t="str">
        <f aca="false">IF(F2269="","",K2269-B2269)</f>
        <v/>
      </c>
      <c r="M2269" s="30" t="str">
        <f aca="false">IF(F2269="","",L2269-J2269)</f>
        <v/>
      </c>
      <c r="N2269" s="32" t="str">
        <f aca="false">IF(F2269="","",IF(H2269&lt;&gt;"","Kapandı",IF('Vade Sapması'!$D$3&gt;G2269,"Açık · vadesi geçti","Açık · vadesi gelmedi")))</f>
        <v/>
      </c>
      <c r="O2269" s="30" t="str">
        <f aca="false">IF(F2269="","",IF(AND(H2269="",'Vade Sapması'!$D$3&gt;G2269),'Vade Sapması'!$D$3-G2269,0))</f>
        <v/>
      </c>
      <c r="P2269" s="33" t="str">
        <f aca="false">IF(F2269="","",F2269*J2269)</f>
        <v/>
      </c>
      <c r="Q2269" s="33" t="str">
        <f aca="false">IF(F2269="","",F2269*L2269)</f>
        <v/>
      </c>
      <c r="R2269" s="33" t="str">
        <f aca="false">IF(F2269="","",IF(H2269="",F2269,0))</f>
        <v/>
      </c>
      <c r="S2269" s="32" t="str">
        <f aca="false">IF(F2269="","",IF(N(O2269)=0,"",IF(O2269&lt;=30,"1-30",IF(O2269&lt;=60,"31-60",IF(O2269&lt;=90,"61-90","90+")))))</f>
        <v/>
      </c>
      <c r="T2269" s="32" t="str">
        <f aca="false">IF(F2269="","",IF(E2269="","Diğer",E2269))</f>
        <v/>
      </c>
      <c r="U2269" s="32" t="str">
        <f aca="false">IF(OR(F2269="",C2269=""),"",IF(COUNTIF($C$2:C2269,C2269)=1,MAX($U$1:U2268)+1,""))</f>
        <v/>
      </c>
    </row>
    <row r="2270" customFormat="false" ht="15" hidden="false" customHeight="false" outlineLevel="0" collapsed="false">
      <c r="A2270" s="34"/>
      <c r="B2270" s="9"/>
      <c r="C2270" s="34"/>
      <c r="D2270" s="34"/>
      <c r="E2270" s="34"/>
      <c r="F2270" s="35"/>
      <c r="G2270" s="9"/>
      <c r="H2270" s="9"/>
      <c r="I2270" s="34"/>
      <c r="J2270" s="30" t="str">
        <f aca="false">IF(F2270="","",G2270-B2270)</f>
        <v/>
      </c>
      <c r="K2270" s="31" t="str">
        <f aca="false">IF(F2270="","",IF(H2270&lt;&gt;"",H2270,MAX('Vade Sapması'!$D$3,G2270)))</f>
        <v/>
      </c>
      <c r="L2270" s="30" t="str">
        <f aca="false">IF(F2270="","",K2270-B2270)</f>
        <v/>
      </c>
      <c r="M2270" s="30" t="str">
        <f aca="false">IF(F2270="","",L2270-J2270)</f>
        <v/>
      </c>
      <c r="N2270" s="32" t="str">
        <f aca="false">IF(F2270="","",IF(H2270&lt;&gt;"","Kapandı",IF('Vade Sapması'!$D$3&gt;G2270,"Açık · vadesi geçti","Açık · vadesi gelmedi")))</f>
        <v/>
      </c>
      <c r="O2270" s="30" t="str">
        <f aca="false">IF(F2270="","",IF(AND(H2270="",'Vade Sapması'!$D$3&gt;G2270),'Vade Sapması'!$D$3-G2270,0))</f>
        <v/>
      </c>
      <c r="P2270" s="33" t="str">
        <f aca="false">IF(F2270="","",F2270*J2270)</f>
        <v/>
      </c>
      <c r="Q2270" s="33" t="str">
        <f aca="false">IF(F2270="","",F2270*L2270)</f>
        <v/>
      </c>
      <c r="R2270" s="33" t="str">
        <f aca="false">IF(F2270="","",IF(H2270="",F2270,0))</f>
        <v/>
      </c>
      <c r="S2270" s="32" t="str">
        <f aca="false">IF(F2270="","",IF(N(O2270)=0,"",IF(O2270&lt;=30,"1-30",IF(O2270&lt;=60,"31-60",IF(O2270&lt;=90,"61-90","90+")))))</f>
        <v/>
      </c>
      <c r="T2270" s="32" t="str">
        <f aca="false">IF(F2270="","",IF(E2270="","Diğer",E2270))</f>
        <v/>
      </c>
      <c r="U2270" s="32" t="str">
        <f aca="false">IF(OR(F2270="",C2270=""),"",IF(COUNTIF($C$2:C2270,C2270)=1,MAX($U$1:U2269)+1,""))</f>
        <v/>
      </c>
    </row>
    <row r="2271" customFormat="false" ht="15" hidden="false" customHeight="false" outlineLevel="0" collapsed="false">
      <c r="A2271" s="34"/>
      <c r="B2271" s="9"/>
      <c r="C2271" s="34"/>
      <c r="D2271" s="34"/>
      <c r="E2271" s="34"/>
      <c r="F2271" s="35"/>
      <c r="G2271" s="9"/>
      <c r="H2271" s="9"/>
      <c r="I2271" s="34"/>
      <c r="J2271" s="30" t="str">
        <f aca="false">IF(F2271="","",G2271-B2271)</f>
        <v/>
      </c>
      <c r="K2271" s="31" t="str">
        <f aca="false">IF(F2271="","",IF(H2271&lt;&gt;"",H2271,MAX('Vade Sapması'!$D$3,G2271)))</f>
        <v/>
      </c>
      <c r="L2271" s="30" t="str">
        <f aca="false">IF(F2271="","",K2271-B2271)</f>
        <v/>
      </c>
      <c r="M2271" s="30" t="str">
        <f aca="false">IF(F2271="","",L2271-J2271)</f>
        <v/>
      </c>
      <c r="N2271" s="32" t="str">
        <f aca="false">IF(F2271="","",IF(H2271&lt;&gt;"","Kapandı",IF('Vade Sapması'!$D$3&gt;G2271,"Açık · vadesi geçti","Açık · vadesi gelmedi")))</f>
        <v/>
      </c>
      <c r="O2271" s="30" t="str">
        <f aca="false">IF(F2271="","",IF(AND(H2271="",'Vade Sapması'!$D$3&gt;G2271),'Vade Sapması'!$D$3-G2271,0))</f>
        <v/>
      </c>
      <c r="P2271" s="33" t="str">
        <f aca="false">IF(F2271="","",F2271*J2271)</f>
        <v/>
      </c>
      <c r="Q2271" s="33" t="str">
        <f aca="false">IF(F2271="","",F2271*L2271)</f>
        <v/>
      </c>
      <c r="R2271" s="33" t="str">
        <f aca="false">IF(F2271="","",IF(H2271="",F2271,0))</f>
        <v/>
      </c>
      <c r="S2271" s="32" t="str">
        <f aca="false">IF(F2271="","",IF(N(O2271)=0,"",IF(O2271&lt;=30,"1-30",IF(O2271&lt;=60,"31-60",IF(O2271&lt;=90,"61-90","90+")))))</f>
        <v/>
      </c>
      <c r="T2271" s="32" t="str">
        <f aca="false">IF(F2271="","",IF(E2271="","Diğer",E2271))</f>
        <v/>
      </c>
      <c r="U2271" s="32" t="str">
        <f aca="false">IF(OR(F2271="",C2271=""),"",IF(COUNTIF($C$2:C2271,C2271)=1,MAX($U$1:U2270)+1,""))</f>
        <v/>
      </c>
    </row>
    <row r="2272" customFormat="false" ht="15" hidden="false" customHeight="false" outlineLevel="0" collapsed="false">
      <c r="A2272" s="34"/>
      <c r="B2272" s="9"/>
      <c r="C2272" s="34"/>
      <c r="D2272" s="34"/>
      <c r="E2272" s="34"/>
      <c r="F2272" s="35"/>
      <c r="G2272" s="9"/>
      <c r="H2272" s="9"/>
      <c r="I2272" s="34"/>
      <c r="J2272" s="30" t="str">
        <f aca="false">IF(F2272="","",G2272-B2272)</f>
        <v/>
      </c>
      <c r="K2272" s="31" t="str">
        <f aca="false">IF(F2272="","",IF(H2272&lt;&gt;"",H2272,MAX('Vade Sapması'!$D$3,G2272)))</f>
        <v/>
      </c>
      <c r="L2272" s="30" t="str">
        <f aca="false">IF(F2272="","",K2272-B2272)</f>
        <v/>
      </c>
      <c r="M2272" s="30" t="str">
        <f aca="false">IF(F2272="","",L2272-J2272)</f>
        <v/>
      </c>
      <c r="N2272" s="32" t="str">
        <f aca="false">IF(F2272="","",IF(H2272&lt;&gt;"","Kapandı",IF('Vade Sapması'!$D$3&gt;G2272,"Açık · vadesi geçti","Açık · vadesi gelmedi")))</f>
        <v/>
      </c>
      <c r="O2272" s="30" t="str">
        <f aca="false">IF(F2272="","",IF(AND(H2272="",'Vade Sapması'!$D$3&gt;G2272),'Vade Sapması'!$D$3-G2272,0))</f>
        <v/>
      </c>
      <c r="P2272" s="33" t="str">
        <f aca="false">IF(F2272="","",F2272*J2272)</f>
        <v/>
      </c>
      <c r="Q2272" s="33" t="str">
        <f aca="false">IF(F2272="","",F2272*L2272)</f>
        <v/>
      </c>
      <c r="R2272" s="33" t="str">
        <f aca="false">IF(F2272="","",IF(H2272="",F2272,0))</f>
        <v/>
      </c>
      <c r="S2272" s="32" t="str">
        <f aca="false">IF(F2272="","",IF(N(O2272)=0,"",IF(O2272&lt;=30,"1-30",IF(O2272&lt;=60,"31-60",IF(O2272&lt;=90,"61-90","90+")))))</f>
        <v/>
      </c>
      <c r="T2272" s="32" t="str">
        <f aca="false">IF(F2272="","",IF(E2272="","Diğer",E2272))</f>
        <v/>
      </c>
      <c r="U2272" s="32" t="str">
        <f aca="false">IF(OR(F2272="",C2272=""),"",IF(COUNTIF($C$2:C2272,C2272)=1,MAX($U$1:U2271)+1,""))</f>
        <v/>
      </c>
    </row>
    <row r="2273" customFormat="false" ht="15" hidden="false" customHeight="false" outlineLevel="0" collapsed="false">
      <c r="A2273" s="34"/>
      <c r="B2273" s="9"/>
      <c r="C2273" s="34"/>
      <c r="D2273" s="34"/>
      <c r="E2273" s="34"/>
      <c r="F2273" s="35"/>
      <c r="G2273" s="9"/>
      <c r="H2273" s="9"/>
      <c r="I2273" s="34"/>
      <c r="J2273" s="30" t="str">
        <f aca="false">IF(F2273="","",G2273-B2273)</f>
        <v/>
      </c>
      <c r="K2273" s="31" t="str">
        <f aca="false">IF(F2273="","",IF(H2273&lt;&gt;"",H2273,MAX('Vade Sapması'!$D$3,G2273)))</f>
        <v/>
      </c>
      <c r="L2273" s="30" t="str">
        <f aca="false">IF(F2273="","",K2273-B2273)</f>
        <v/>
      </c>
      <c r="M2273" s="30" t="str">
        <f aca="false">IF(F2273="","",L2273-J2273)</f>
        <v/>
      </c>
      <c r="N2273" s="32" t="str">
        <f aca="false">IF(F2273="","",IF(H2273&lt;&gt;"","Kapandı",IF('Vade Sapması'!$D$3&gt;G2273,"Açık · vadesi geçti","Açık · vadesi gelmedi")))</f>
        <v/>
      </c>
      <c r="O2273" s="30" t="str">
        <f aca="false">IF(F2273="","",IF(AND(H2273="",'Vade Sapması'!$D$3&gt;G2273),'Vade Sapması'!$D$3-G2273,0))</f>
        <v/>
      </c>
      <c r="P2273" s="33" t="str">
        <f aca="false">IF(F2273="","",F2273*J2273)</f>
        <v/>
      </c>
      <c r="Q2273" s="33" t="str">
        <f aca="false">IF(F2273="","",F2273*L2273)</f>
        <v/>
      </c>
      <c r="R2273" s="33" t="str">
        <f aca="false">IF(F2273="","",IF(H2273="",F2273,0))</f>
        <v/>
      </c>
      <c r="S2273" s="32" t="str">
        <f aca="false">IF(F2273="","",IF(N(O2273)=0,"",IF(O2273&lt;=30,"1-30",IF(O2273&lt;=60,"31-60",IF(O2273&lt;=90,"61-90","90+")))))</f>
        <v/>
      </c>
      <c r="T2273" s="32" t="str">
        <f aca="false">IF(F2273="","",IF(E2273="","Diğer",E2273))</f>
        <v/>
      </c>
      <c r="U2273" s="32" t="str">
        <f aca="false">IF(OR(F2273="",C2273=""),"",IF(COUNTIF($C$2:C2273,C2273)=1,MAX($U$1:U2272)+1,""))</f>
        <v/>
      </c>
    </row>
    <row r="2274" customFormat="false" ht="15" hidden="false" customHeight="false" outlineLevel="0" collapsed="false">
      <c r="A2274" s="34"/>
      <c r="B2274" s="9"/>
      <c r="C2274" s="34"/>
      <c r="D2274" s="34"/>
      <c r="E2274" s="34"/>
      <c r="F2274" s="35"/>
      <c r="G2274" s="9"/>
      <c r="H2274" s="9"/>
      <c r="I2274" s="34"/>
      <c r="J2274" s="30" t="str">
        <f aca="false">IF(F2274="","",G2274-B2274)</f>
        <v/>
      </c>
      <c r="K2274" s="31" t="str">
        <f aca="false">IF(F2274="","",IF(H2274&lt;&gt;"",H2274,MAX('Vade Sapması'!$D$3,G2274)))</f>
        <v/>
      </c>
      <c r="L2274" s="30" t="str">
        <f aca="false">IF(F2274="","",K2274-B2274)</f>
        <v/>
      </c>
      <c r="M2274" s="30" t="str">
        <f aca="false">IF(F2274="","",L2274-J2274)</f>
        <v/>
      </c>
      <c r="N2274" s="32" t="str">
        <f aca="false">IF(F2274="","",IF(H2274&lt;&gt;"","Kapandı",IF('Vade Sapması'!$D$3&gt;G2274,"Açık · vadesi geçti","Açık · vadesi gelmedi")))</f>
        <v/>
      </c>
      <c r="O2274" s="30" t="str">
        <f aca="false">IF(F2274="","",IF(AND(H2274="",'Vade Sapması'!$D$3&gt;G2274),'Vade Sapması'!$D$3-G2274,0))</f>
        <v/>
      </c>
      <c r="P2274" s="33" t="str">
        <f aca="false">IF(F2274="","",F2274*J2274)</f>
        <v/>
      </c>
      <c r="Q2274" s="33" t="str">
        <f aca="false">IF(F2274="","",F2274*L2274)</f>
        <v/>
      </c>
      <c r="R2274" s="33" t="str">
        <f aca="false">IF(F2274="","",IF(H2274="",F2274,0))</f>
        <v/>
      </c>
      <c r="S2274" s="32" t="str">
        <f aca="false">IF(F2274="","",IF(N(O2274)=0,"",IF(O2274&lt;=30,"1-30",IF(O2274&lt;=60,"31-60",IF(O2274&lt;=90,"61-90","90+")))))</f>
        <v/>
      </c>
      <c r="T2274" s="32" t="str">
        <f aca="false">IF(F2274="","",IF(E2274="","Diğer",E2274))</f>
        <v/>
      </c>
      <c r="U2274" s="32" t="str">
        <f aca="false">IF(OR(F2274="",C2274=""),"",IF(COUNTIF($C$2:C2274,C2274)=1,MAX($U$1:U2273)+1,""))</f>
        <v/>
      </c>
    </row>
    <row r="2275" customFormat="false" ht="15" hidden="false" customHeight="false" outlineLevel="0" collapsed="false">
      <c r="A2275" s="34"/>
      <c r="B2275" s="9"/>
      <c r="C2275" s="34"/>
      <c r="D2275" s="34"/>
      <c r="E2275" s="34"/>
      <c r="F2275" s="35"/>
      <c r="G2275" s="9"/>
      <c r="H2275" s="9"/>
      <c r="I2275" s="34"/>
      <c r="J2275" s="30" t="str">
        <f aca="false">IF(F2275="","",G2275-B2275)</f>
        <v/>
      </c>
      <c r="K2275" s="31" t="str">
        <f aca="false">IF(F2275="","",IF(H2275&lt;&gt;"",H2275,MAX('Vade Sapması'!$D$3,G2275)))</f>
        <v/>
      </c>
      <c r="L2275" s="30" t="str">
        <f aca="false">IF(F2275="","",K2275-B2275)</f>
        <v/>
      </c>
      <c r="M2275" s="30" t="str">
        <f aca="false">IF(F2275="","",L2275-J2275)</f>
        <v/>
      </c>
      <c r="N2275" s="32" t="str">
        <f aca="false">IF(F2275="","",IF(H2275&lt;&gt;"","Kapandı",IF('Vade Sapması'!$D$3&gt;G2275,"Açık · vadesi geçti","Açık · vadesi gelmedi")))</f>
        <v/>
      </c>
      <c r="O2275" s="30" t="str">
        <f aca="false">IF(F2275="","",IF(AND(H2275="",'Vade Sapması'!$D$3&gt;G2275),'Vade Sapması'!$D$3-G2275,0))</f>
        <v/>
      </c>
      <c r="P2275" s="33" t="str">
        <f aca="false">IF(F2275="","",F2275*J2275)</f>
        <v/>
      </c>
      <c r="Q2275" s="33" t="str">
        <f aca="false">IF(F2275="","",F2275*L2275)</f>
        <v/>
      </c>
      <c r="R2275" s="33" t="str">
        <f aca="false">IF(F2275="","",IF(H2275="",F2275,0))</f>
        <v/>
      </c>
      <c r="S2275" s="32" t="str">
        <f aca="false">IF(F2275="","",IF(N(O2275)=0,"",IF(O2275&lt;=30,"1-30",IF(O2275&lt;=60,"31-60",IF(O2275&lt;=90,"61-90","90+")))))</f>
        <v/>
      </c>
      <c r="T2275" s="32" t="str">
        <f aca="false">IF(F2275="","",IF(E2275="","Diğer",E2275))</f>
        <v/>
      </c>
      <c r="U2275" s="32" t="str">
        <f aca="false">IF(OR(F2275="",C2275=""),"",IF(COUNTIF($C$2:C2275,C2275)=1,MAX($U$1:U2274)+1,""))</f>
        <v/>
      </c>
    </row>
    <row r="2276" customFormat="false" ht="15" hidden="false" customHeight="false" outlineLevel="0" collapsed="false">
      <c r="A2276" s="34"/>
      <c r="B2276" s="9"/>
      <c r="C2276" s="34"/>
      <c r="D2276" s="34"/>
      <c r="E2276" s="34"/>
      <c r="F2276" s="35"/>
      <c r="G2276" s="9"/>
      <c r="H2276" s="9"/>
      <c r="I2276" s="34"/>
      <c r="J2276" s="30" t="str">
        <f aca="false">IF(F2276="","",G2276-B2276)</f>
        <v/>
      </c>
      <c r="K2276" s="31" t="str">
        <f aca="false">IF(F2276="","",IF(H2276&lt;&gt;"",H2276,MAX('Vade Sapması'!$D$3,G2276)))</f>
        <v/>
      </c>
      <c r="L2276" s="30" t="str">
        <f aca="false">IF(F2276="","",K2276-B2276)</f>
        <v/>
      </c>
      <c r="M2276" s="30" t="str">
        <f aca="false">IF(F2276="","",L2276-J2276)</f>
        <v/>
      </c>
      <c r="N2276" s="32" t="str">
        <f aca="false">IF(F2276="","",IF(H2276&lt;&gt;"","Kapandı",IF('Vade Sapması'!$D$3&gt;G2276,"Açık · vadesi geçti","Açık · vadesi gelmedi")))</f>
        <v/>
      </c>
      <c r="O2276" s="30" t="str">
        <f aca="false">IF(F2276="","",IF(AND(H2276="",'Vade Sapması'!$D$3&gt;G2276),'Vade Sapması'!$D$3-G2276,0))</f>
        <v/>
      </c>
      <c r="P2276" s="33" t="str">
        <f aca="false">IF(F2276="","",F2276*J2276)</f>
        <v/>
      </c>
      <c r="Q2276" s="33" t="str">
        <f aca="false">IF(F2276="","",F2276*L2276)</f>
        <v/>
      </c>
      <c r="R2276" s="33" t="str">
        <f aca="false">IF(F2276="","",IF(H2276="",F2276,0))</f>
        <v/>
      </c>
      <c r="S2276" s="32" t="str">
        <f aca="false">IF(F2276="","",IF(N(O2276)=0,"",IF(O2276&lt;=30,"1-30",IF(O2276&lt;=60,"31-60",IF(O2276&lt;=90,"61-90","90+")))))</f>
        <v/>
      </c>
      <c r="T2276" s="32" t="str">
        <f aca="false">IF(F2276="","",IF(E2276="","Diğer",E2276))</f>
        <v/>
      </c>
      <c r="U2276" s="32" t="str">
        <f aca="false">IF(OR(F2276="",C2276=""),"",IF(COUNTIF($C$2:C2276,C2276)=1,MAX($U$1:U2275)+1,""))</f>
        <v/>
      </c>
    </row>
    <row r="2277" customFormat="false" ht="15" hidden="false" customHeight="false" outlineLevel="0" collapsed="false">
      <c r="A2277" s="34"/>
      <c r="B2277" s="9"/>
      <c r="C2277" s="34"/>
      <c r="D2277" s="34"/>
      <c r="E2277" s="34"/>
      <c r="F2277" s="35"/>
      <c r="G2277" s="9"/>
      <c r="H2277" s="9"/>
      <c r="I2277" s="34"/>
      <c r="J2277" s="30" t="str">
        <f aca="false">IF(F2277="","",G2277-B2277)</f>
        <v/>
      </c>
      <c r="K2277" s="31" t="str">
        <f aca="false">IF(F2277="","",IF(H2277&lt;&gt;"",H2277,MAX('Vade Sapması'!$D$3,G2277)))</f>
        <v/>
      </c>
      <c r="L2277" s="30" t="str">
        <f aca="false">IF(F2277="","",K2277-B2277)</f>
        <v/>
      </c>
      <c r="M2277" s="30" t="str">
        <f aca="false">IF(F2277="","",L2277-J2277)</f>
        <v/>
      </c>
      <c r="N2277" s="32" t="str">
        <f aca="false">IF(F2277="","",IF(H2277&lt;&gt;"","Kapandı",IF('Vade Sapması'!$D$3&gt;G2277,"Açık · vadesi geçti","Açık · vadesi gelmedi")))</f>
        <v/>
      </c>
      <c r="O2277" s="30" t="str">
        <f aca="false">IF(F2277="","",IF(AND(H2277="",'Vade Sapması'!$D$3&gt;G2277),'Vade Sapması'!$D$3-G2277,0))</f>
        <v/>
      </c>
      <c r="P2277" s="33" t="str">
        <f aca="false">IF(F2277="","",F2277*J2277)</f>
        <v/>
      </c>
      <c r="Q2277" s="33" t="str">
        <f aca="false">IF(F2277="","",F2277*L2277)</f>
        <v/>
      </c>
      <c r="R2277" s="33" t="str">
        <f aca="false">IF(F2277="","",IF(H2277="",F2277,0))</f>
        <v/>
      </c>
      <c r="S2277" s="32" t="str">
        <f aca="false">IF(F2277="","",IF(N(O2277)=0,"",IF(O2277&lt;=30,"1-30",IF(O2277&lt;=60,"31-60",IF(O2277&lt;=90,"61-90","90+")))))</f>
        <v/>
      </c>
      <c r="T2277" s="32" t="str">
        <f aca="false">IF(F2277="","",IF(E2277="","Diğer",E2277))</f>
        <v/>
      </c>
      <c r="U2277" s="32" t="str">
        <f aca="false">IF(OR(F2277="",C2277=""),"",IF(COUNTIF($C$2:C2277,C2277)=1,MAX($U$1:U2276)+1,""))</f>
        <v/>
      </c>
    </row>
    <row r="2278" customFormat="false" ht="15" hidden="false" customHeight="false" outlineLevel="0" collapsed="false">
      <c r="A2278" s="34"/>
      <c r="B2278" s="9"/>
      <c r="C2278" s="34"/>
      <c r="D2278" s="34"/>
      <c r="E2278" s="34"/>
      <c r="F2278" s="35"/>
      <c r="G2278" s="9"/>
      <c r="H2278" s="9"/>
      <c r="I2278" s="34"/>
      <c r="J2278" s="30" t="str">
        <f aca="false">IF(F2278="","",G2278-B2278)</f>
        <v/>
      </c>
      <c r="K2278" s="31" t="str">
        <f aca="false">IF(F2278="","",IF(H2278&lt;&gt;"",H2278,MAX('Vade Sapması'!$D$3,G2278)))</f>
        <v/>
      </c>
      <c r="L2278" s="30" t="str">
        <f aca="false">IF(F2278="","",K2278-B2278)</f>
        <v/>
      </c>
      <c r="M2278" s="30" t="str">
        <f aca="false">IF(F2278="","",L2278-J2278)</f>
        <v/>
      </c>
      <c r="N2278" s="32" t="str">
        <f aca="false">IF(F2278="","",IF(H2278&lt;&gt;"","Kapandı",IF('Vade Sapması'!$D$3&gt;G2278,"Açık · vadesi geçti","Açık · vadesi gelmedi")))</f>
        <v/>
      </c>
      <c r="O2278" s="30" t="str">
        <f aca="false">IF(F2278="","",IF(AND(H2278="",'Vade Sapması'!$D$3&gt;G2278),'Vade Sapması'!$D$3-G2278,0))</f>
        <v/>
      </c>
      <c r="P2278" s="33" t="str">
        <f aca="false">IF(F2278="","",F2278*J2278)</f>
        <v/>
      </c>
      <c r="Q2278" s="33" t="str">
        <f aca="false">IF(F2278="","",F2278*L2278)</f>
        <v/>
      </c>
      <c r="R2278" s="33" t="str">
        <f aca="false">IF(F2278="","",IF(H2278="",F2278,0))</f>
        <v/>
      </c>
      <c r="S2278" s="32" t="str">
        <f aca="false">IF(F2278="","",IF(N(O2278)=0,"",IF(O2278&lt;=30,"1-30",IF(O2278&lt;=60,"31-60",IF(O2278&lt;=90,"61-90","90+")))))</f>
        <v/>
      </c>
      <c r="T2278" s="32" t="str">
        <f aca="false">IF(F2278="","",IF(E2278="","Diğer",E2278))</f>
        <v/>
      </c>
      <c r="U2278" s="32" t="str">
        <f aca="false">IF(OR(F2278="",C2278=""),"",IF(COUNTIF($C$2:C2278,C2278)=1,MAX($U$1:U2277)+1,""))</f>
        <v/>
      </c>
    </row>
    <row r="2279" customFormat="false" ht="15" hidden="false" customHeight="false" outlineLevel="0" collapsed="false">
      <c r="A2279" s="34"/>
      <c r="B2279" s="9"/>
      <c r="C2279" s="34"/>
      <c r="D2279" s="34"/>
      <c r="E2279" s="34"/>
      <c r="F2279" s="35"/>
      <c r="G2279" s="9"/>
      <c r="H2279" s="9"/>
      <c r="I2279" s="34"/>
      <c r="J2279" s="30" t="str">
        <f aca="false">IF(F2279="","",G2279-B2279)</f>
        <v/>
      </c>
      <c r="K2279" s="31" t="str">
        <f aca="false">IF(F2279="","",IF(H2279&lt;&gt;"",H2279,MAX('Vade Sapması'!$D$3,G2279)))</f>
        <v/>
      </c>
      <c r="L2279" s="30" t="str">
        <f aca="false">IF(F2279="","",K2279-B2279)</f>
        <v/>
      </c>
      <c r="M2279" s="30" t="str">
        <f aca="false">IF(F2279="","",L2279-J2279)</f>
        <v/>
      </c>
      <c r="N2279" s="32" t="str">
        <f aca="false">IF(F2279="","",IF(H2279&lt;&gt;"","Kapandı",IF('Vade Sapması'!$D$3&gt;G2279,"Açık · vadesi geçti","Açık · vadesi gelmedi")))</f>
        <v/>
      </c>
      <c r="O2279" s="30" t="str">
        <f aca="false">IF(F2279="","",IF(AND(H2279="",'Vade Sapması'!$D$3&gt;G2279),'Vade Sapması'!$D$3-G2279,0))</f>
        <v/>
      </c>
      <c r="P2279" s="33" t="str">
        <f aca="false">IF(F2279="","",F2279*J2279)</f>
        <v/>
      </c>
      <c r="Q2279" s="33" t="str">
        <f aca="false">IF(F2279="","",F2279*L2279)</f>
        <v/>
      </c>
      <c r="R2279" s="33" t="str">
        <f aca="false">IF(F2279="","",IF(H2279="",F2279,0))</f>
        <v/>
      </c>
      <c r="S2279" s="32" t="str">
        <f aca="false">IF(F2279="","",IF(N(O2279)=0,"",IF(O2279&lt;=30,"1-30",IF(O2279&lt;=60,"31-60",IF(O2279&lt;=90,"61-90","90+")))))</f>
        <v/>
      </c>
      <c r="T2279" s="32" t="str">
        <f aca="false">IF(F2279="","",IF(E2279="","Diğer",E2279))</f>
        <v/>
      </c>
      <c r="U2279" s="32" t="str">
        <f aca="false">IF(OR(F2279="",C2279=""),"",IF(COUNTIF($C$2:C2279,C2279)=1,MAX($U$1:U2278)+1,""))</f>
        <v/>
      </c>
    </row>
    <row r="2280" customFormat="false" ht="15" hidden="false" customHeight="false" outlineLevel="0" collapsed="false">
      <c r="A2280" s="34"/>
      <c r="B2280" s="9"/>
      <c r="C2280" s="34"/>
      <c r="D2280" s="34"/>
      <c r="E2280" s="34"/>
      <c r="F2280" s="35"/>
      <c r="G2280" s="9"/>
      <c r="H2280" s="9"/>
      <c r="I2280" s="34"/>
      <c r="J2280" s="30" t="str">
        <f aca="false">IF(F2280="","",G2280-B2280)</f>
        <v/>
      </c>
      <c r="K2280" s="31" t="str">
        <f aca="false">IF(F2280="","",IF(H2280&lt;&gt;"",H2280,MAX('Vade Sapması'!$D$3,G2280)))</f>
        <v/>
      </c>
      <c r="L2280" s="30" t="str">
        <f aca="false">IF(F2280="","",K2280-B2280)</f>
        <v/>
      </c>
      <c r="M2280" s="30" t="str">
        <f aca="false">IF(F2280="","",L2280-J2280)</f>
        <v/>
      </c>
      <c r="N2280" s="32" t="str">
        <f aca="false">IF(F2280="","",IF(H2280&lt;&gt;"","Kapandı",IF('Vade Sapması'!$D$3&gt;G2280,"Açık · vadesi geçti","Açık · vadesi gelmedi")))</f>
        <v/>
      </c>
      <c r="O2280" s="30" t="str">
        <f aca="false">IF(F2280="","",IF(AND(H2280="",'Vade Sapması'!$D$3&gt;G2280),'Vade Sapması'!$D$3-G2280,0))</f>
        <v/>
      </c>
      <c r="P2280" s="33" t="str">
        <f aca="false">IF(F2280="","",F2280*J2280)</f>
        <v/>
      </c>
      <c r="Q2280" s="33" t="str">
        <f aca="false">IF(F2280="","",F2280*L2280)</f>
        <v/>
      </c>
      <c r="R2280" s="33" t="str">
        <f aca="false">IF(F2280="","",IF(H2280="",F2280,0))</f>
        <v/>
      </c>
      <c r="S2280" s="32" t="str">
        <f aca="false">IF(F2280="","",IF(N(O2280)=0,"",IF(O2280&lt;=30,"1-30",IF(O2280&lt;=60,"31-60",IF(O2280&lt;=90,"61-90","90+")))))</f>
        <v/>
      </c>
      <c r="T2280" s="32" t="str">
        <f aca="false">IF(F2280="","",IF(E2280="","Diğer",E2280))</f>
        <v/>
      </c>
      <c r="U2280" s="32" t="str">
        <f aca="false">IF(OR(F2280="",C2280=""),"",IF(COUNTIF($C$2:C2280,C2280)=1,MAX($U$1:U2279)+1,""))</f>
        <v/>
      </c>
    </row>
    <row r="2281" customFormat="false" ht="15" hidden="false" customHeight="false" outlineLevel="0" collapsed="false">
      <c r="A2281" s="34"/>
      <c r="B2281" s="9"/>
      <c r="C2281" s="34"/>
      <c r="D2281" s="34"/>
      <c r="E2281" s="34"/>
      <c r="F2281" s="35"/>
      <c r="G2281" s="9"/>
      <c r="H2281" s="9"/>
      <c r="I2281" s="34"/>
      <c r="J2281" s="30" t="str">
        <f aca="false">IF(F2281="","",G2281-B2281)</f>
        <v/>
      </c>
      <c r="K2281" s="31" t="str">
        <f aca="false">IF(F2281="","",IF(H2281&lt;&gt;"",H2281,MAX('Vade Sapması'!$D$3,G2281)))</f>
        <v/>
      </c>
      <c r="L2281" s="30" t="str">
        <f aca="false">IF(F2281="","",K2281-B2281)</f>
        <v/>
      </c>
      <c r="M2281" s="30" t="str">
        <f aca="false">IF(F2281="","",L2281-J2281)</f>
        <v/>
      </c>
      <c r="N2281" s="32" t="str">
        <f aca="false">IF(F2281="","",IF(H2281&lt;&gt;"","Kapandı",IF('Vade Sapması'!$D$3&gt;G2281,"Açık · vadesi geçti","Açık · vadesi gelmedi")))</f>
        <v/>
      </c>
      <c r="O2281" s="30" t="str">
        <f aca="false">IF(F2281="","",IF(AND(H2281="",'Vade Sapması'!$D$3&gt;G2281),'Vade Sapması'!$D$3-G2281,0))</f>
        <v/>
      </c>
      <c r="P2281" s="33" t="str">
        <f aca="false">IF(F2281="","",F2281*J2281)</f>
        <v/>
      </c>
      <c r="Q2281" s="33" t="str">
        <f aca="false">IF(F2281="","",F2281*L2281)</f>
        <v/>
      </c>
      <c r="R2281" s="33" t="str">
        <f aca="false">IF(F2281="","",IF(H2281="",F2281,0))</f>
        <v/>
      </c>
      <c r="S2281" s="32" t="str">
        <f aca="false">IF(F2281="","",IF(N(O2281)=0,"",IF(O2281&lt;=30,"1-30",IF(O2281&lt;=60,"31-60",IF(O2281&lt;=90,"61-90","90+")))))</f>
        <v/>
      </c>
      <c r="T2281" s="32" t="str">
        <f aca="false">IF(F2281="","",IF(E2281="","Diğer",E2281))</f>
        <v/>
      </c>
      <c r="U2281" s="32" t="str">
        <f aca="false">IF(OR(F2281="",C2281=""),"",IF(COUNTIF($C$2:C2281,C2281)=1,MAX($U$1:U2280)+1,""))</f>
        <v/>
      </c>
    </row>
    <row r="2282" customFormat="false" ht="15" hidden="false" customHeight="false" outlineLevel="0" collapsed="false">
      <c r="A2282" s="34"/>
      <c r="B2282" s="9"/>
      <c r="C2282" s="34"/>
      <c r="D2282" s="34"/>
      <c r="E2282" s="34"/>
      <c r="F2282" s="35"/>
      <c r="G2282" s="9"/>
      <c r="H2282" s="9"/>
      <c r="I2282" s="34"/>
      <c r="J2282" s="30" t="str">
        <f aca="false">IF(F2282="","",G2282-B2282)</f>
        <v/>
      </c>
      <c r="K2282" s="31" t="str">
        <f aca="false">IF(F2282="","",IF(H2282&lt;&gt;"",H2282,MAX('Vade Sapması'!$D$3,G2282)))</f>
        <v/>
      </c>
      <c r="L2282" s="30" t="str">
        <f aca="false">IF(F2282="","",K2282-B2282)</f>
        <v/>
      </c>
      <c r="M2282" s="30" t="str">
        <f aca="false">IF(F2282="","",L2282-J2282)</f>
        <v/>
      </c>
      <c r="N2282" s="32" t="str">
        <f aca="false">IF(F2282="","",IF(H2282&lt;&gt;"","Kapandı",IF('Vade Sapması'!$D$3&gt;G2282,"Açık · vadesi geçti","Açık · vadesi gelmedi")))</f>
        <v/>
      </c>
      <c r="O2282" s="30" t="str">
        <f aca="false">IF(F2282="","",IF(AND(H2282="",'Vade Sapması'!$D$3&gt;G2282),'Vade Sapması'!$D$3-G2282,0))</f>
        <v/>
      </c>
      <c r="P2282" s="33" t="str">
        <f aca="false">IF(F2282="","",F2282*J2282)</f>
        <v/>
      </c>
      <c r="Q2282" s="33" t="str">
        <f aca="false">IF(F2282="","",F2282*L2282)</f>
        <v/>
      </c>
      <c r="R2282" s="33" t="str">
        <f aca="false">IF(F2282="","",IF(H2282="",F2282,0))</f>
        <v/>
      </c>
      <c r="S2282" s="32" t="str">
        <f aca="false">IF(F2282="","",IF(N(O2282)=0,"",IF(O2282&lt;=30,"1-30",IF(O2282&lt;=60,"31-60",IF(O2282&lt;=90,"61-90","90+")))))</f>
        <v/>
      </c>
      <c r="T2282" s="32" t="str">
        <f aca="false">IF(F2282="","",IF(E2282="","Diğer",E2282))</f>
        <v/>
      </c>
      <c r="U2282" s="32" t="str">
        <f aca="false">IF(OR(F2282="",C2282=""),"",IF(COUNTIF($C$2:C2282,C2282)=1,MAX($U$1:U2281)+1,""))</f>
        <v/>
      </c>
    </row>
    <row r="2283" customFormat="false" ht="15" hidden="false" customHeight="false" outlineLevel="0" collapsed="false">
      <c r="A2283" s="34"/>
      <c r="B2283" s="9"/>
      <c r="C2283" s="34"/>
      <c r="D2283" s="34"/>
      <c r="E2283" s="34"/>
      <c r="F2283" s="35"/>
      <c r="G2283" s="9"/>
      <c r="H2283" s="9"/>
      <c r="I2283" s="34"/>
      <c r="J2283" s="30" t="str">
        <f aca="false">IF(F2283="","",G2283-B2283)</f>
        <v/>
      </c>
      <c r="K2283" s="31" t="str">
        <f aca="false">IF(F2283="","",IF(H2283&lt;&gt;"",H2283,MAX('Vade Sapması'!$D$3,G2283)))</f>
        <v/>
      </c>
      <c r="L2283" s="30" t="str">
        <f aca="false">IF(F2283="","",K2283-B2283)</f>
        <v/>
      </c>
      <c r="M2283" s="30" t="str">
        <f aca="false">IF(F2283="","",L2283-J2283)</f>
        <v/>
      </c>
      <c r="N2283" s="32" t="str">
        <f aca="false">IF(F2283="","",IF(H2283&lt;&gt;"","Kapandı",IF('Vade Sapması'!$D$3&gt;G2283,"Açık · vadesi geçti","Açık · vadesi gelmedi")))</f>
        <v/>
      </c>
      <c r="O2283" s="30" t="str">
        <f aca="false">IF(F2283="","",IF(AND(H2283="",'Vade Sapması'!$D$3&gt;G2283),'Vade Sapması'!$D$3-G2283,0))</f>
        <v/>
      </c>
      <c r="P2283" s="33" t="str">
        <f aca="false">IF(F2283="","",F2283*J2283)</f>
        <v/>
      </c>
      <c r="Q2283" s="33" t="str">
        <f aca="false">IF(F2283="","",F2283*L2283)</f>
        <v/>
      </c>
      <c r="R2283" s="33" t="str">
        <f aca="false">IF(F2283="","",IF(H2283="",F2283,0))</f>
        <v/>
      </c>
      <c r="S2283" s="32" t="str">
        <f aca="false">IF(F2283="","",IF(N(O2283)=0,"",IF(O2283&lt;=30,"1-30",IF(O2283&lt;=60,"31-60",IF(O2283&lt;=90,"61-90","90+")))))</f>
        <v/>
      </c>
      <c r="T2283" s="32" t="str">
        <f aca="false">IF(F2283="","",IF(E2283="","Diğer",E2283))</f>
        <v/>
      </c>
      <c r="U2283" s="32" t="str">
        <f aca="false">IF(OR(F2283="",C2283=""),"",IF(COUNTIF($C$2:C2283,C2283)=1,MAX($U$1:U2282)+1,""))</f>
        <v/>
      </c>
    </row>
    <row r="2284" customFormat="false" ht="15" hidden="false" customHeight="false" outlineLevel="0" collapsed="false">
      <c r="A2284" s="34"/>
      <c r="B2284" s="9"/>
      <c r="C2284" s="34"/>
      <c r="D2284" s="34"/>
      <c r="E2284" s="34"/>
      <c r="F2284" s="35"/>
      <c r="G2284" s="9"/>
      <c r="H2284" s="9"/>
      <c r="I2284" s="34"/>
      <c r="J2284" s="30" t="str">
        <f aca="false">IF(F2284="","",G2284-B2284)</f>
        <v/>
      </c>
      <c r="K2284" s="31" t="str">
        <f aca="false">IF(F2284="","",IF(H2284&lt;&gt;"",H2284,MAX('Vade Sapması'!$D$3,G2284)))</f>
        <v/>
      </c>
      <c r="L2284" s="30" t="str">
        <f aca="false">IF(F2284="","",K2284-B2284)</f>
        <v/>
      </c>
      <c r="M2284" s="30" t="str">
        <f aca="false">IF(F2284="","",L2284-J2284)</f>
        <v/>
      </c>
      <c r="N2284" s="32" t="str">
        <f aca="false">IF(F2284="","",IF(H2284&lt;&gt;"","Kapandı",IF('Vade Sapması'!$D$3&gt;G2284,"Açık · vadesi geçti","Açık · vadesi gelmedi")))</f>
        <v/>
      </c>
      <c r="O2284" s="30" t="str">
        <f aca="false">IF(F2284="","",IF(AND(H2284="",'Vade Sapması'!$D$3&gt;G2284),'Vade Sapması'!$D$3-G2284,0))</f>
        <v/>
      </c>
      <c r="P2284" s="33" t="str">
        <f aca="false">IF(F2284="","",F2284*J2284)</f>
        <v/>
      </c>
      <c r="Q2284" s="33" t="str">
        <f aca="false">IF(F2284="","",F2284*L2284)</f>
        <v/>
      </c>
      <c r="R2284" s="33" t="str">
        <f aca="false">IF(F2284="","",IF(H2284="",F2284,0))</f>
        <v/>
      </c>
      <c r="S2284" s="32" t="str">
        <f aca="false">IF(F2284="","",IF(N(O2284)=0,"",IF(O2284&lt;=30,"1-30",IF(O2284&lt;=60,"31-60",IF(O2284&lt;=90,"61-90","90+")))))</f>
        <v/>
      </c>
      <c r="T2284" s="32" t="str">
        <f aca="false">IF(F2284="","",IF(E2284="","Diğer",E2284))</f>
        <v/>
      </c>
      <c r="U2284" s="32" t="str">
        <f aca="false">IF(OR(F2284="",C2284=""),"",IF(COUNTIF($C$2:C2284,C2284)=1,MAX($U$1:U2283)+1,""))</f>
        <v/>
      </c>
    </row>
    <row r="2285" customFormat="false" ht="15" hidden="false" customHeight="false" outlineLevel="0" collapsed="false">
      <c r="A2285" s="34"/>
      <c r="B2285" s="9"/>
      <c r="C2285" s="34"/>
      <c r="D2285" s="34"/>
      <c r="E2285" s="34"/>
      <c r="F2285" s="35"/>
      <c r="G2285" s="9"/>
      <c r="H2285" s="9"/>
      <c r="I2285" s="34"/>
      <c r="J2285" s="30" t="str">
        <f aca="false">IF(F2285="","",G2285-B2285)</f>
        <v/>
      </c>
      <c r="K2285" s="31" t="str">
        <f aca="false">IF(F2285="","",IF(H2285&lt;&gt;"",H2285,MAX('Vade Sapması'!$D$3,G2285)))</f>
        <v/>
      </c>
      <c r="L2285" s="30" t="str">
        <f aca="false">IF(F2285="","",K2285-B2285)</f>
        <v/>
      </c>
      <c r="M2285" s="30" t="str">
        <f aca="false">IF(F2285="","",L2285-J2285)</f>
        <v/>
      </c>
      <c r="N2285" s="32" t="str">
        <f aca="false">IF(F2285="","",IF(H2285&lt;&gt;"","Kapandı",IF('Vade Sapması'!$D$3&gt;G2285,"Açık · vadesi geçti","Açık · vadesi gelmedi")))</f>
        <v/>
      </c>
      <c r="O2285" s="30" t="str">
        <f aca="false">IF(F2285="","",IF(AND(H2285="",'Vade Sapması'!$D$3&gt;G2285),'Vade Sapması'!$D$3-G2285,0))</f>
        <v/>
      </c>
      <c r="P2285" s="33" t="str">
        <f aca="false">IF(F2285="","",F2285*J2285)</f>
        <v/>
      </c>
      <c r="Q2285" s="33" t="str">
        <f aca="false">IF(F2285="","",F2285*L2285)</f>
        <v/>
      </c>
      <c r="R2285" s="33" t="str">
        <f aca="false">IF(F2285="","",IF(H2285="",F2285,0))</f>
        <v/>
      </c>
      <c r="S2285" s="32" t="str">
        <f aca="false">IF(F2285="","",IF(N(O2285)=0,"",IF(O2285&lt;=30,"1-30",IF(O2285&lt;=60,"31-60",IF(O2285&lt;=90,"61-90","90+")))))</f>
        <v/>
      </c>
      <c r="T2285" s="32" t="str">
        <f aca="false">IF(F2285="","",IF(E2285="","Diğer",E2285))</f>
        <v/>
      </c>
      <c r="U2285" s="32" t="str">
        <f aca="false">IF(OR(F2285="",C2285=""),"",IF(COUNTIF($C$2:C2285,C2285)=1,MAX($U$1:U2284)+1,""))</f>
        <v/>
      </c>
    </row>
    <row r="2286" customFormat="false" ht="15" hidden="false" customHeight="false" outlineLevel="0" collapsed="false">
      <c r="A2286" s="34"/>
      <c r="B2286" s="9"/>
      <c r="C2286" s="34"/>
      <c r="D2286" s="34"/>
      <c r="E2286" s="34"/>
      <c r="F2286" s="35"/>
      <c r="G2286" s="9"/>
      <c r="H2286" s="9"/>
      <c r="I2286" s="34"/>
      <c r="J2286" s="30" t="str">
        <f aca="false">IF(F2286="","",G2286-B2286)</f>
        <v/>
      </c>
      <c r="K2286" s="31" t="str">
        <f aca="false">IF(F2286="","",IF(H2286&lt;&gt;"",H2286,MAX('Vade Sapması'!$D$3,G2286)))</f>
        <v/>
      </c>
      <c r="L2286" s="30" t="str">
        <f aca="false">IF(F2286="","",K2286-B2286)</f>
        <v/>
      </c>
      <c r="M2286" s="30" t="str">
        <f aca="false">IF(F2286="","",L2286-J2286)</f>
        <v/>
      </c>
      <c r="N2286" s="32" t="str">
        <f aca="false">IF(F2286="","",IF(H2286&lt;&gt;"","Kapandı",IF('Vade Sapması'!$D$3&gt;G2286,"Açık · vadesi geçti","Açık · vadesi gelmedi")))</f>
        <v/>
      </c>
      <c r="O2286" s="30" t="str">
        <f aca="false">IF(F2286="","",IF(AND(H2286="",'Vade Sapması'!$D$3&gt;G2286),'Vade Sapması'!$D$3-G2286,0))</f>
        <v/>
      </c>
      <c r="P2286" s="33" t="str">
        <f aca="false">IF(F2286="","",F2286*J2286)</f>
        <v/>
      </c>
      <c r="Q2286" s="33" t="str">
        <f aca="false">IF(F2286="","",F2286*L2286)</f>
        <v/>
      </c>
      <c r="R2286" s="33" t="str">
        <f aca="false">IF(F2286="","",IF(H2286="",F2286,0))</f>
        <v/>
      </c>
      <c r="S2286" s="32" t="str">
        <f aca="false">IF(F2286="","",IF(N(O2286)=0,"",IF(O2286&lt;=30,"1-30",IF(O2286&lt;=60,"31-60",IF(O2286&lt;=90,"61-90","90+")))))</f>
        <v/>
      </c>
      <c r="T2286" s="32" t="str">
        <f aca="false">IF(F2286="","",IF(E2286="","Diğer",E2286))</f>
        <v/>
      </c>
      <c r="U2286" s="32" t="str">
        <f aca="false">IF(OR(F2286="",C2286=""),"",IF(COUNTIF($C$2:C2286,C2286)=1,MAX($U$1:U2285)+1,""))</f>
        <v/>
      </c>
    </row>
    <row r="2287" customFormat="false" ht="15" hidden="false" customHeight="false" outlineLevel="0" collapsed="false">
      <c r="A2287" s="34"/>
      <c r="B2287" s="9"/>
      <c r="C2287" s="34"/>
      <c r="D2287" s="34"/>
      <c r="E2287" s="34"/>
      <c r="F2287" s="35"/>
      <c r="G2287" s="9"/>
      <c r="H2287" s="9"/>
      <c r="I2287" s="34"/>
      <c r="J2287" s="30" t="str">
        <f aca="false">IF(F2287="","",G2287-B2287)</f>
        <v/>
      </c>
      <c r="K2287" s="31" t="str">
        <f aca="false">IF(F2287="","",IF(H2287&lt;&gt;"",H2287,MAX('Vade Sapması'!$D$3,G2287)))</f>
        <v/>
      </c>
      <c r="L2287" s="30" t="str">
        <f aca="false">IF(F2287="","",K2287-B2287)</f>
        <v/>
      </c>
      <c r="M2287" s="30" t="str">
        <f aca="false">IF(F2287="","",L2287-J2287)</f>
        <v/>
      </c>
      <c r="N2287" s="32" t="str">
        <f aca="false">IF(F2287="","",IF(H2287&lt;&gt;"","Kapandı",IF('Vade Sapması'!$D$3&gt;G2287,"Açık · vadesi geçti","Açık · vadesi gelmedi")))</f>
        <v/>
      </c>
      <c r="O2287" s="30" t="str">
        <f aca="false">IF(F2287="","",IF(AND(H2287="",'Vade Sapması'!$D$3&gt;G2287),'Vade Sapması'!$D$3-G2287,0))</f>
        <v/>
      </c>
      <c r="P2287" s="33" t="str">
        <f aca="false">IF(F2287="","",F2287*J2287)</f>
        <v/>
      </c>
      <c r="Q2287" s="33" t="str">
        <f aca="false">IF(F2287="","",F2287*L2287)</f>
        <v/>
      </c>
      <c r="R2287" s="33" t="str">
        <f aca="false">IF(F2287="","",IF(H2287="",F2287,0))</f>
        <v/>
      </c>
      <c r="S2287" s="32" t="str">
        <f aca="false">IF(F2287="","",IF(N(O2287)=0,"",IF(O2287&lt;=30,"1-30",IF(O2287&lt;=60,"31-60",IF(O2287&lt;=90,"61-90","90+")))))</f>
        <v/>
      </c>
      <c r="T2287" s="32" t="str">
        <f aca="false">IF(F2287="","",IF(E2287="","Diğer",E2287))</f>
        <v/>
      </c>
      <c r="U2287" s="32" t="str">
        <f aca="false">IF(OR(F2287="",C2287=""),"",IF(COUNTIF($C$2:C2287,C2287)=1,MAX($U$1:U2286)+1,""))</f>
        <v/>
      </c>
    </row>
    <row r="2288" customFormat="false" ht="15" hidden="false" customHeight="false" outlineLevel="0" collapsed="false">
      <c r="A2288" s="34"/>
      <c r="B2288" s="9"/>
      <c r="C2288" s="34"/>
      <c r="D2288" s="34"/>
      <c r="E2288" s="34"/>
      <c r="F2288" s="35"/>
      <c r="G2288" s="9"/>
      <c r="H2288" s="9"/>
      <c r="I2288" s="34"/>
      <c r="J2288" s="30" t="str">
        <f aca="false">IF(F2288="","",G2288-B2288)</f>
        <v/>
      </c>
      <c r="K2288" s="31" t="str">
        <f aca="false">IF(F2288="","",IF(H2288&lt;&gt;"",H2288,MAX('Vade Sapması'!$D$3,G2288)))</f>
        <v/>
      </c>
      <c r="L2288" s="30" t="str">
        <f aca="false">IF(F2288="","",K2288-B2288)</f>
        <v/>
      </c>
      <c r="M2288" s="30" t="str">
        <f aca="false">IF(F2288="","",L2288-J2288)</f>
        <v/>
      </c>
      <c r="N2288" s="32" t="str">
        <f aca="false">IF(F2288="","",IF(H2288&lt;&gt;"","Kapandı",IF('Vade Sapması'!$D$3&gt;G2288,"Açık · vadesi geçti","Açık · vadesi gelmedi")))</f>
        <v/>
      </c>
      <c r="O2288" s="30" t="str">
        <f aca="false">IF(F2288="","",IF(AND(H2288="",'Vade Sapması'!$D$3&gt;G2288),'Vade Sapması'!$D$3-G2288,0))</f>
        <v/>
      </c>
      <c r="P2288" s="33" t="str">
        <f aca="false">IF(F2288="","",F2288*J2288)</f>
        <v/>
      </c>
      <c r="Q2288" s="33" t="str">
        <f aca="false">IF(F2288="","",F2288*L2288)</f>
        <v/>
      </c>
      <c r="R2288" s="33" t="str">
        <f aca="false">IF(F2288="","",IF(H2288="",F2288,0))</f>
        <v/>
      </c>
      <c r="S2288" s="32" t="str">
        <f aca="false">IF(F2288="","",IF(N(O2288)=0,"",IF(O2288&lt;=30,"1-30",IF(O2288&lt;=60,"31-60",IF(O2288&lt;=90,"61-90","90+")))))</f>
        <v/>
      </c>
      <c r="T2288" s="32" t="str">
        <f aca="false">IF(F2288="","",IF(E2288="","Diğer",E2288))</f>
        <v/>
      </c>
      <c r="U2288" s="32" t="str">
        <f aca="false">IF(OR(F2288="",C2288=""),"",IF(COUNTIF($C$2:C2288,C2288)=1,MAX($U$1:U2287)+1,""))</f>
        <v/>
      </c>
    </row>
    <row r="2289" customFormat="false" ht="15" hidden="false" customHeight="false" outlineLevel="0" collapsed="false">
      <c r="A2289" s="34"/>
      <c r="B2289" s="9"/>
      <c r="C2289" s="34"/>
      <c r="D2289" s="34"/>
      <c r="E2289" s="34"/>
      <c r="F2289" s="35"/>
      <c r="G2289" s="9"/>
      <c r="H2289" s="9"/>
      <c r="I2289" s="34"/>
      <c r="J2289" s="30" t="str">
        <f aca="false">IF(F2289="","",G2289-B2289)</f>
        <v/>
      </c>
      <c r="K2289" s="31" t="str">
        <f aca="false">IF(F2289="","",IF(H2289&lt;&gt;"",H2289,MAX('Vade Sapması'!$D$3,G2289)))</f>
        <v/>
      </c>
      <c r="L2289" s="30" t="str">
        <f aca="false">IF(F2289="","",K2289-B2289)</f>
        <v/>
      </c>
      <c r="M2289" s="30" t="str">
        <f aca="false">IF(F2289="","",L2289-J2289)</f>
        <v/>
      </c>
      <c r="N2289" s="32" t="str">
        <f aca="false">IF(F2289="","",IF(H2289&lt;&gt;"","Kapandı",IF('Vade Sapması'!$D$3&gt;G2289,"Açık · vadesi geçti","Açık · vadesi gelmedi")))</f>
        <v/>
      </c>
      <c r="O2289" s="30" t="str">
        <f aca="false">IF(F2289="","",IF(AND(H2289="",'Vade Sapması'!$D$3&gt;G2289),'Vade Sapması'!$D$3-G2289,0))</f>
        <v/>
      </c>
      <c r="P2289" s="33" t="str">
        <f aca="false">IF(F2289="","",F2289*J2289)</f>
        <v/>
      </c>
      <c r="Q2289" s="33" t="str">
        <f aca="false">IF(F2289="","",F2289*L2289)</f>
        <v/>
      </c>
      <c r="R2289" s="33" t="str">
        <f aca="false">IF(F2289="","",IF(H2289="",F2289,0))</f>
        <v/>
      </c>
      <c r="S2289" s="32" t="str">
        <f aca="false">IF(F2289="","",IF(N(O2289)=0,"",IF(O2289&lt;=30,"1-30",IF(O2289&lt;=60,"31-60",IF(O2289&lt;=90,"61-90","90+")))))</f>
        <v/>
      </c>
      <c r="T2289" s="32" t="str">
        <f aca="false">IF(F2289="","",IF(E2289="","Diğer",E2289))</f>
        <v/>
      </c>
      <c r="U2289" s="32" t="str">
        <f aca="false">IF(OR(F2289="",C2289=""),"",IF(COUNTIF($C$2:C2289,C2289)=1,MAX($U$1:U2288)+1,""))</f>
        <v/>
      </c>
    </row>
    <row r="2290" customFormat="false" ht="15" hidden="false" customHeight="false" outlineLevel="0" collapsed="false">
      <c r="A2290" s="34"/>
      <c r="B2290" s="9"/>
      <c r="C2290" s="34"/>
      <c r="D2290" s="34"/>
      <c r="E2290" s="34"/>
      <c r="F2290" s="35"/>
      <c r="G2290" s="9"/>
      <c r="H2290" s="9"/>
      <c r="I2290" s="34"/>
      <c r="J2290" s="30" t="str">
        <f aca="false">IF(F2290="","",G2290-B2290)</f>
        <v/>
      </c>
      <c r="K2290" s="31" t="str">
        <f aca="false">IF(F2290="","",IF(H2290&lt;&gt;"",H2290,MAX('Vade Sapması'!$D$3,G2290)))</f>
        <v/>
      </c>
      <c r="L2290" s="30" t="str">
        <f aca="false">IF(F2290="","",K2290-B2290)</f>
        <v/>
      </c>
      <c r="M2290" s="30" t="str">
        <f aca="false">IF(F2290="","",L2290-J2290)</f>
        <v/>
      </c>
      <c r="N2290" s="32" t="str">
        <f aca="false">IF(F2290="","",IF(H2290&lt;&gt;"","Kapandı",IF('Vade Sapması'!$D$3&gt;G2290,"Açık · vadesi geçti","Açık · vadesi gelmedi")))</f>
        <v/>
      </c>
      <c r="O2290" s="30" t="str">
        <f aca="false">IF(F2290="","",IF(AND(H2290="",'Vade Sapması'!$D$3&gt;G2290),'Vade Sapması'!$D$3-G2290,0))</f>
        <v/>
      </c>
      <c r="P2290" s="33" t="str">
        <f aca="false">IF(F2290="","",F2290*J2290)</f>
        <v/>
      </c>
      <c r="Q2290" s="33" t="str">
        <f aca="false">IF(F2290="","",F2290*L2290)</f>
        <v/>
      </c>
      <c r="R2290" s="33" t="str">
        <f aca="false">IF(F2290="","",IF(H2290="",F2290,0))</f>
        <v/>
      </c>
      <c r="S2290" s="32" t="str">
        <f aca="false">IF(F2290="","",IF(N(O2290)=0,"",IF(O2290&lt;=30,"1-30",IF(O2290&lt;=60,"31-60",IF(O2290&lt;=90,"61-90","90+")))))</f>
        <v/>
      </c>
      <c r="T2290" s="32" t="str">
        <f aca="false">IF(F2290="","",IF(E2290="","Diğer",E2290))</f>
        <v/>
      </c>
      <c r="U2290" s="32" t="str">
        <f aca="false">IF(OR(F2290="",C2290=""),"",IF(COUNTIF($C$2:C2290,C2290)=1,MAX($U$1:U2289)+1,""))</f>
        <v/>
      </c>
    </row>
    <row r="2291" customFormat="false" ht="15" hidden="false" customHeight="false" outlineLevel="0" collapsed="false">
      <c r="A2291" s="34"/>
      <c r="B2291" s="9"/>
      <c r="C2291" s="34"/>
      <c r="D2291" s="34"/>
      <c r="E2291" s="34"/>
      <c r="F2291" s="35"/>
      <c r="G2291" s="9"/>
      <c r="H2291" s="9"/>
      <c r="I2291" s="34"/>
      <c r="J2291" s="30" t="str">
        <f aca="false">IF(F2291="","",G2291-B2291)</f>
        <v/>
      </c>
      <c r="K2291" s="31" t="str">
        <f aca="false">IF(F2291="","",IF(H2291&lt;&gt;"",H2291,MAX('Vade Sapması'!$D$3,G2291)))</f>
        <v/>
      </c>
      <c r="L2291" s="30" t="str">
        <f aca="false">IF(F2291="","",K2291-B2291)</f>
        <v/>
      </c>
      <c r="M2291" s="30" t="str">
        <f aca="false">IF(F2291="","",L2291-J2291)</f>
        <v/>
      </c>
      <c r="N2291" s="32" t="str">
        <f aca="false">IF(F2291="","",IF(H2291&lt;&gt;"","Kapandı",IF('Vade Sapması'!$D$3&gt;G2291,"Açık · vadesi geçti","Açık · vadesi gelmedi")))</f>
        <v/>
      </c>
      <c r="O2291" s="30" t="str">
        <f aca="false">IF(F2291="","",IF(AND(H2291="",'Vade Sapması'!$D$3&gt;G2291),'Vade Sapması'!$D$3-G2291,0))</f>
        <v/>
      </c>
      <c r="P2291" s="33" t="str">
        <f aca="false">IF(F2291="","",F2291*J2291)</f>
        <v/>
      </c>
      <c r="Q2291" s="33" t="str">
        <f aca="false">IF(F2291="","",F2291*L2291)</f>
        <v/>
      </c>
      <c r="R2291" s="33" t="str">
        <f aca="false">IF(F2291="","",IF(H2291="",F2291,0))</f>
        <v/>
      </c>
      <c r="S2291" s="32" t="str">
        <f aca="false">IF(F2291="","",IF(N(O2291)=0,"",IF(O2291&lt;=30,"1-30",IF(O2291&lt;=60,"31-60",IF(O2291&lt;=90,"61-90","90+")))))</f>
        <v/>
      </c>
      <c r="T2291" s="32" t="str">
        <f aca="false">IF(F2291="","",IF(E2291="","Diğer",E2291))</f>
        <v/>
      </c>
      <c r="U2291" s="32" t="str">
        <f aca="false">IF(OR(F2291="",C2291=""),"",IF(COUNTIF($C$2:C2291,C2291)=1,MAX($U$1:U2290)+1,""))</f>
        <v/>
      </c>
    </row>
    <row r="2292" customFormat="false" ht="15" hidden="false" customHeight="false" outlineLevel="0" collapsed="false">
      <c r="A2292" s="34"/>
      <c r="B2292" s="9"/>
      <c r="C2292" s="34"/>
      <c r="D2292" s="34"/>
      <c r="E2292" s="34"/>
      <c r="F2292" s="35"/>
      <c r="G2292" s="9"/>
      <c r="H2292" s="9"/>
      <c r="I2292" s="34"/>
      <c r="J2292" s="30" t="str">
        <f aca="false">IF(F2292="","",G2292-B2292)</f>
        <v/>
      </c>
      <c r="K2292" s="31" t="str">
        <f aca="false">IF(F2292="","",IF(H2292&lt;&gt;"",H2292,MAX('Vade Sapması'!$D$3,G2292)))</f>
        <v/>
      </c>
      <c r="L2292" s="30" t="str">
        <f aca="false">IF(F2292="","",K2292-B2292)</f>
        <v/>
      </c>
      <c r="M2292" s="30" t="str">
        <f aca="false">IF(F2292="","",L2292-J2292)</f>
        <v/>
      </c>
      <c r="N2292" s="32" t="str">
        <f aca="false">IF(F2292="","",IF(H2292&lt;&gt;"","Kapandı",IF('Vade Sapması'!$D$3&gt;G2292,"Açık · vadesi geçti","Açık · vadesi gelmedi")))</f>
        <v/>
      </c>
      <c r="O2292" s="30" t="str">
        <f aca="false">IF(F2292="","",IF(AND(H2292="",'Vade Sapması'!$D$3&gt;G2292),'Vade Sapması'!$D$3-G2292,0))</f>
        <v/>
      </c>
      <c r="P2292" s="33" t="str">
        <f aca="false">IF(F2292="","",F2292*J2292)</f>
        <v/>
      </c>
      <c r="Q2292" s="33" t="str">
        <f aca="false">IF(F2292="","",F2292*L2292)</f>
        <v/>
      </c>
      <c r="R2292" s="33" t="str">
        <f aca="false">IF(F2292="","",IF(H2292="",F2292,0))</f>
        <v/>
      </c>
      <c r="S2292" s="32" t="str">
        <f aca="false">IF(F2292="","",IF(N(O2292)=0,"",IF(O2292&lt;=30,"1-30",IF(O2292&lt;=60,"31-60",IF(O2292&lt;=90,"61-90","90+")))))</f>
        <v/>
      </c>
      <c r="T2292" s="32" t="str">
        <f aca="false">IF(F2292="","",IF(E2292="","Diğer",E2292))</f>
        <v/>
      </c>
      <c r="U2292" s="32" t="str">
        <f aca="false">IF(OR(F2292="",C2292=""),"",IF(COUNTIF($C$2:C2292,C2292)=1,MAX($U$1:U2291)+1,""))</f>
        <v/>
      </c>
    </row>
    <row r="2293" customFormat="false" ht="15" hidden="false" customHeight="false" outlineLevel="0" collapsed="false">
      <c r="A2293" s="34"/>
      <c r="B2293" s="9"/>
      <c r="C2293" s="34"/>
      <c r="D2293" s="34"/>
      <c r="E2293" s="34"/>
      <c r="F2293" s="35"/>
      <c r="G2293" s="9"/>
      <c r="H2293" s="9"/>
      <c r="I2293" s="34"/>
      <c r="J2293" s="30" t="str">
        <f aca="false">IF(F2293="","",G2293-B2293)</f>
        <v/>
      </c>
      <c r="K2293" s="31" t="str">
        <f aca="false">IF(F2293="","",IF(H2293&lt;&gt;"",H2293,MAX('Vade Sapması'!$D$3,G2293)))</f>
        <v/>
      </c>
      <c r="L2293" s="30" t="str">
        <f aca="false">IF(F2293="","",K2293-B2293)</f>
        <v/>
      </c>
      <c r="M2293" s="30" t="str">
        <f aca="false">IF(F2293="","",L2293-J2293)</f>
        <v/>
      </c>
      <c r="N2293" s="32" t="str">
        <f aca="false">IF(F2293="","",IF(H2293&lt;&gt;"","Kapandı",IF('Vade Sapması'!$D$3&gt;G2293,"Açık · vadesi geçti","Açık · vadesi gelmedi")))</f>
        <v/>
      </c>
      <c r="O2293" s="30" t="str">
        <f aca="false">IF(F2293="","",IF(AND(H2293="",'Vade Sapması'!$D$3&gt;G2293),'Vade Sapması'!$D$3-G2293,0))</f>
        <v/>
      </c>
      <c r="P2293" s="33" t="str">
        <f aca="false">IF(F2293="","",F2293*J2293)</f>
        <v/>
      </c>
      <c r="Q2293" s="33" t="str">
        <f aca="false">IF(F2293="","",F2293*L2293)</f>
        <v/>
      </c>
      <c r="R2293" s="33" t="str">
        <f aca="false">IF(F2293="","",IF(H2293="",F2293,0))</f>
        <v/>
      </c>
      <c r="S2293" s="32" t="str">
        <f aca="false">IF(F2293="","",IF(N(O2293)=0,"",IF(O2293&lt;=30,"1-30",IF(O2293&lt;=60,"31-60",IF(O2293&lt;=90,"61-90","90+")))))</f>
        <v/>
      </c>
      <c r="T2293" s="32" t="str">
        <f aca="false">IF(F2293="","",IF(E2293="","Diğer",E2293))</f>
        <v/>
      </c>
      <c r="U2293" s="32" t="str">
        <f aca="false">IF(OR(F2293="",C2293=""),"",IF(COUNTIF($C$2:C2293,C2293)=1,MAX($U$1:U2292)+1,""))</f>
        <v/>
      </c>
    </row>
    <row r="2294" customFormat="false" ht="15" hidden="false" customHeight="false" outlineLevel="0" collapsed="false">
      <c r="A2294" s="34"/>
      <c r="B2294" s="9"/>
      <c r="C2294" s="34"/>
      <c r="D2294" s="34"/>
      <c r="E2294" s="34"/>
      <c r="F2294" s="35"/>
      <c r="G2294" s="9"/>
      <c r="H2294" s="9"/>
      <c r="I2294" s="34"/>
      <c r="J2294" s="30" t="str">
        <f aca="false">IF(F2294="","",G2294-B2294)</f>
        <v/>
      </c>
      <c r="K2294" s="31" t="str">
        <f aca="false">IF(F2294="","",IF(H2294&lt;&gt;"",H2294,MAX('Vade Sapması'!$D$3,G2294)))</f>
        <v/>
      </c>
      <c r="L2294" s="30" t="str">
        <f aca="false">IF(F2294="","",K2294-B2294)</f>
        <v/>
      </c>
      <c r="M2294" s="30" t="str">
        <f aca="false">IF(F2294="","",L2294-J2294)</f>
        <v/>
      </c>
      <c r="N2294" s="32" t="str">
        <f aca="false">IF(F2294="","",IF(H2294&lt;&gt;"","Kapandı",IF('Vade Sapması'!$D$3&gt;G2294,"Açık · vadesi geçti","Açık · vadesi gelmedi")))</f>
        <v/>
      </c>
      <c r="O2294" s="30" t="str">
        <f aca="false">IF(F2294="","",IF(AND(H2294="",'Vade Sapması'!$D$3&gt;G2294),'Vade Sapması'!$D$3-G2294,0))</f>
        <v/>
      </c>
      <c r="P2294" s="33" t="str">
        <f aca="false">IF(F2294="","",F2294*J2294)</f>
        <v/>
      </c>
      <c r="Q2294" s="33" t="str">
        <f aca="false">IF(F2294="","",F2294*L2294)</f>
        <v/>
      </c>
      <c r="R2294" s="33" t="str">
        <f aca="false">IF(F2294="","",IF(H2294="",F2294,0))</f>
        <v/>
      </c>
      <c r="S2294" s="32" t="str">
        <f aca="false">IF(F2294="","",IF(N(O2294)=0,"",IF(O2294&lt;=30,"1-30",IF(O2294&lt;=60,"31-60",IF(O2294&lt;=90,"61-90","90+")))))</f>
        <v/>
      </c>
      <c r="T2294" s="32" t="str">
        <f aca="false">IF(F2294="","",IF(E2294="","Diğer",E2294))</f>
        <v/>
      </c>
      <c r="U2294" s="32" t="str">
        <f aca="false">IF(OR(F2294="",C2294=""),"",IF(COUNTIF($C$2:C2294,C2294)=1,MAX($U$1:U2293)+1,""))</f>
        <v/>
      </c>
    </row>
    <row r="2295" customFormat="false" ht="15" hidden="false" customHeight="false" outlineLevel="0" collapsed="false">
      <c r="A2295" s="34"/>
      <c r="B2295" s="9"/>
      <c r="C2295" s="34"/>
      <c r="D2295" s="34"/>
      <c r="E2295" s="34"/>
      <c r="F2295" s="35"/>
      <c r="G2295" s="9"/>
      <c r="H2295" s="9"/>
      <c r="I2295" s="34"/>
      <c r="J2295" s="30" t="str">
        <f aca="false">IF(F2295="","",G2295-B2295)</f>
        <v/>
      </c>
      <c r="K2295" s="31" t="str">
        <f aca="false">IF(F2295="","",IF(H2295&lt;&gt;"",H2295,MAX('Vade Sapması'!$D$3,G2295)))</f>
        <v/>
      </c>
      <c r="L2295" s="30" t="str">
        <f aca="false">IF(F2295="","",K2295-B2295)</f>
        <v/>
      </c>
      <c r="M2295" s="30" t="str">
        <f aca="false">IF(F2295="","",L2295-J2295)</f>
        <v/>
      </c>
      <c r="N2295" s="32" t="str">
        <f aca="false">IF(F2295="","",IF(H2295&lt;&gt;"","Kapandı",IF('Vade Sapması'!$D$3&gt;G2295,"Açık · vadesi geçti","Açık · vadesi gelmedi")))</f>
        <v/>
      </c>
      <c r="O2295" s="30" t="str">
        <f aca="false">IF(F2295="","",IF(AND(H2295="",'Vade Sapması'!$D$3&gt;G2295),'Vade Sapması'!$D$3-G2295,0))</f>
        <v/>
      </c>
      <c r="P2295" s="33" t="str">
        <f aca="false">IF(F2295="","",F2295*J2295)</f>
        <v/>
      </c>
      <c r="Q2295" s="33" t="str">
        <f aca="false">IF(F2295="","",F2295*L2295)</f>
        <v/>
      </c>
      <c r="R2295" s="33" t="str">
        <f aca="false">IF(F2295="","",IF(H2295="",F2295,0))</f>
        <v/>
      </c>
      <c r="S2295" s="32" t="str">
        <f aca="false">IF(F2295="","",IF(N(O2295)=0,"",IF(O2295&lt;=30,"1-30",IF(O2295&lt;=60,"31-60",IF(O2295&lt;=90,"61-90","90+")))))</f>
        <v/>
      </c>
      <c r="T2295" s="32" t="str">
        <f aca="false">IF(F2295="","",IF(E2295="","Diğer",E2295))</f>
        <v/>
      </c>
      <c r="U2295" s="32" t="str">
        <f aca="false">IF(OR(F2295="",C2295=""),"",IF(COUNTIF($C$2:C2295,C2295)=1,MAX($U$1:U2294)+1,""))</f>
        <v/>
      </c>
    </row>
    <row r="2296" customFormat="false" ht="15" hidden="false" customHeight="false" outlineLevel="0" collapsed="false">
      <c r="A2296" s="34"/>
      <c r="B2296" s="9"/>
      <c r="C2296" s="34"/>
      <c r="D2296" s="34"/>
      <c r="E2296" s="34"/>
      <c r="F2296" s="35"/>
      <c r="G2296" s="9"/>
      <c r="H2296" s="9"/>
      <c r="I2296" s="34"/>
      <c r="J2296" s="30" t="str">
        <f aca="false">IF(F2296="","",G2296-B2296)</f>
        <v/>
      </c>
      <c r="K2296" s="31" t="str">
        <f aca="false">IF(F2296="","",IF(H2296&lt;&gt;"",H2296,MAX('Vade Sapması'!$D$3,G2296)))</f>
        <v/>
      </c>
      <c r="L2296" s="30" t="str">
        <f aca="false">IF(F2296="","",K2296-B2296)</f>
        <v/>
      </c>
      <c r="M2296" s="30" t="str">
        <f aca="false">IF(F2296="","",L2296-J2296)</f>
        <v/>
      </c>
      <c r="N2296" s="32" t="str">
        <f aca="false">IF(F2296="","",IF(H2296&lt;&gt;"","Kapandı",IF('Vade Sapması'!$D$3&gt;G2296,"Açık · vadesi geçti","Açık · vadesi gelmedi")))</f>
        <v/>
      </c>
      <c r="O2296" s="30" t="str">
        <f aca="false">IF(F2296="","",IF(AND(H2296="",'Vade Sapması'!$D$3&gt;G2296),'Vade Sapması'!$D$3-G2296,0))</f>
        <v/>
      </c>
      <c r="P2296" s="33" t="str">
        <f aca="false">IF(F2296="","",F2296*J2296)</f>
        <v/>
      </c>
      <c r="Q2296" s="33" t="str">
        <f aca="false">IF(F2296="","",F2296*L2296)</f>
        <v/>
      </c>
      <c r="R2296" s="33" t="str">
        <f aca="false">IF(F2296="","",IF(H2296="",F2296,0))</f>
        <v/>
      </c>
      <c r="S2296" s="32" t="str">
        <f aca="false">IF(F2296="","",IF(N(O2296)=0,"",IF(O2296&lt;=30,"1-30",IF(O2296&lt;=60,"31-60",IF(O2296&lt;=90,"61-90","90+")))))</f>
        <v/>
      </c>
      <c r="T2296" s="32" t="str">
        <f aca="false">IF(F2296="","",IF(E2296="","Diğer",E2296))</f>
        <v/>
      </c>
      <c r="U2296" s="32" t="str">
        <f aca="false">IF(OR(F2296="",C2296=""),"",IF(COUNTIF($C$2:C2296,C2296)=1,MAX($U$1:U2295)+1,""))</f>
        <v/>
      </c>
    </row>
    <row r="2297" customFormat="false" ht="15" hidden="false" customHeight="false" outlineLevel="0" collapsed="false">
      <c r="A2297" s="34"/>
      <c r="B2297" s="9"/>
      <c r="C2297" s="34"/>
      <c r="D2297" s="34"/>
      <c r="E2297" s="34"/>
      <c r="F2297" s="35"/>
      <c r="G2297" s="9"/>
      <c r="H2297" s="9"/>
      <c r="I2297" s="34"/>
      <c r="J2297" s="30" t="str">
        <f aca="false">IF(F2297="","",G2297-B2297)</f>
        <v/>
      </c>
      <c r="K2297" s="31" t="str">
        <f aca="false">IF(F2297="","",IF(H2297&lt;&gt;"",H2297,MAX('Vade Sapması'!$D$3,G2297)))</f>
        <v/>
      </c>
      <c r="L2297" s="30" t="str">
        <f aca="false">IF(F2297="","",K2297-B2297)</f>
        <v/>
      </c>
      <c r="M2297" s="30" t="str">
        <f aca="false">IF(F2297="","",L2297-J2297)</f>
        <v/>
      </c>
      <c r="N2297" s="32" t="str">
        <f aca="false">IF(F2297="","",IF(H2297&lt;&gt;"","Kapandı",IF('Vade Sapması'!$D$3&gt;G2297,"Açık · vadesi geçti","Açık · vadesi gelmedi")))</f>
        <v/>
      </c>
      <c r="O2297" s="30" t="str">
        <f aca="false">IF(F2297="","",IF(AND(H2297="",'Vade Sapması'!$D$3&gt;G2297),'Vade Sapması'!$D$3-G2297,0))</f>
        <v/>
      </c>
      <c r="P2297" s="33" t="str">
        <f aca="false">IF(F2297="","",F2297*J2297)</f>
        <v/>
      </c>
      <c r="Q2297" s="33" t="str">
        <f aca="false">IF(F2297="","",F2297*L2297)</f>
        <v/>
      </c>
      <c r="R2297" s="33" t="str">
        <f aca="false">IF(F2297="","",IF(H2297="",F2297,0))</f>
        <v/>
      </c>
      <c r="S2297" s="32" t="str">
        <f aca="false">IF(F2297="","",IF(N(O2297)=0,"",IF(O2297&lt;=30,"1-30",IF(O2297&lt;=60,"31-60",IF(O2297&lt;=90,"61-90","90+")))))</f>
        <v/>
      </c>
      <c r="T2297" s="32" t="str">
        <f aca="false">IF(F2297="","",IF(E2297="","Diğer",E2297))</f>
        <v/>
      </c>
      <c r="U2297" s="32" t="str">
        <f aca="false">IF(OR(F2297="",C2297=""),"",IF(COUNTIF($C$2:C2297,C2297)=1,MAX($U$1:U2296)+1,""))</f>
        <v/>
      </c>
    </row>
    <row r="2298" customFormat="false" ht="15" hidden="false" customHeight="false" outlineLevel="0" collapsed="false">
      <c r="A2298" s="34"/>
      <c r="B2298" s="9"/>
      <c r="C2298" s="34"/>
      <c r="D2298" s="34"/>
      <c r="E2298" s="34"/>
      <c r="F2298" s="35"/>
      <c r="G2298" s="9"/>
      <c r="H2298" s="9"/>
      <c r="I2298" s="34"/>
      <c r="J2298" s="30" t="str">
        <f aca="false">IF(F2298="","",G2298-B2298)</f>
        <v/>
      </c>
      <c r="K2298" s="31" t="str">
        <f aca="false">IF(F2298="","",IF(H2298&lt;&gt;"",H2298,MAX('Vade Sapması'!$D$3,G2298)))</f>
        <v/>
      </c>
      <c r="L2298" s="30" t="str">
        <f aca="false">IF(F2298="","",K2298-B2298)</f>
        <v/>
      </c>
      <c r="M2298" s="30" t="str">
        <f aca="false">IF(F2298="","",L2298-J2298)</f>
        <v/>
      </c>
      <c r="N2298" s="32" t="str">
        <f aca="false">IF(F2298="","",IF(H2298&lt;&gt;"","Kapandı",IF('Vade Sapması'!$D$3&gt;G2298,"Açık · vadesi geçti","Açık · vadesi gelmedi")))</f>
        <v/>
      </c>
      <c r="O2298" s="30" t="str">
        <f aca="false">IF(F2298="","",IF(AND(H2298="",'Vade Sapması'!$D$3&gt;G2298),'Vade Sapması'!$D$3-G2298,0))</f>
        <v/>
      </c>
      <c r="P2298" s="33" t="str">
        <f aca="false">IF(F2298="","",F2298*J2298)</f>
        <v/>
      </c>
      <c r="Q2298" s="33" t="str">
        <f aca="false">IF(F2298="","",F2298*L2298)</f>
        <v/>
      </c>
      <c r="R2298" s="33" t="str">
        <f aca="false">IF(F2298="","",IF(H2298="",F2298,0))</f>
        <v/>
      </c>
      <c r="S2298" s="32" t="str">
        <f aca="false">IF(F2298="","",IF(N(O2298)=0,"",IF(O2298&lt;=30,"1-30",IF(O2298&lt;=60,"31-60",IF(O2298&lt;=90,"61-90","90+")))))</f>
        <v/>
      </c>
      <c r="T2298" s="32" t="str">
        <f aca="false">IF(F2298="","",IF(E2298="","Diğer",E2298))</f>
        <v/>
      </c>
      <c r="U2298" s="32" t="str">
        <f aca="false">IF(OR(F2298="",C2298=""),"",IF(COUNTIF($C$2:C2298,C2298)=1,MAX($U$1:U2297)+1,""))</f>
        <v/>
      </c>
    </row>
    <row r="2299" customFormat="false" ht="15" hidden="false" customHeight="false" outlineLevel="0" collapsed="false">
      <c r="A2299" s="34"/>
      <c r="B2299" s="9"/>
      <c r="C2299" s="34"/>
      <c r="D2299" s="34"/>
      <c r="E2299" s="34"/>
      <c r="F2299" s="35"/>
      <c r="G2299" s="9"/>
      <c r="H2299" s="9"/>
      <c r="I2299" s="34"/>
      <c r="J2299" s="30" t="str">
        <f aca="false">IF(F2299="","",G2299-B2299)</f>
        <v/>
      </c>
      <c r="K2299" s="31" t="str">
        <f aca="false">IF(F2299="","",IF(H2299&lt;&gt;"",H2299,MAX('Vade Sapması'!$D$3,G2299)))</f>
        <v/>
      </c>
      <c r="L2299" s="30" t="str">
        <f aca="false">IF(F2299="","",K2299-B2299)</f>
        <v/>
      </c>
      <c r="M2299" s="30" t="str">
        <f aca="false">IF(F2299="","",L2299-J2299)</f>
        <v/>
      </c>
      <c r="N2299" s="32" t="str">
        <f aca="false">IF(F2299="","",IF(H2299&lt;&gt;"","Kapandı",IF('Vade Sapması'!$D$3&gt;G2299,"Açık · vadesi geçti","Açık · vadesi gelmedi")))</f>
        <v/>
      </c>
      <c r="O2299" s="30" t="str">
        <f aca="false">IF(F2299="","",IF(AND(H2299="",'Vade Sapması'!$D$3&gt;G2299),'Vade Sapması'!$D$3-G2299,0))</f>
        <v/>
      </c>
      <c r="P2299" s="33" t="str">
        <f aca="false">IF(F2299="","",F2299*J2299)</f>
        <v/>
      </c>
      <c r="Q2299" s="33" t="str">
        <f aca="false">IF(F2299="","",F2299*L2299)</f>
        <v/>
      </c>
      <c r="R2299" s="33" t="str">
        <f aca="false">IF(F2299="","",IF(H2299="",F2299,0))</f>
        <v/>
      </c>
      <c r="S2299" s="32" t="str">
        <f aca="false">IF(F2299="","",IF(N(O2299)=0,"",IF(O2299&lt;=30,"1-30",IF(O2299&lt;=60,"31-60",IF(O2299&lt;=90,"61-90","90+")))))</f>
        <v/>
      </c>
      <c r="T2299" s="32" t="str">
        <f aca="false">IF(F2299="","",IF(E2299="","Diğer",E2299))</f>
        <v/>
      </c>
      <c r="U2299" s="32" t="str">
        <f aca="false">IF(OR(F2299="",C2299=""),"",IF(COUNTIF($C$2:C2299,C2299)=1,MAX($U$1:U2298)+1,""))</f>
        <v/>
      </c>
    </row>
    <row r="2300" customFormat="false" ht="15" hidden="false" customHeight="false" outlineLevel="0" collapsed="false">
      <c r="A2300" s="34"/>
      <c r="B2300" s="9"/>
      <c r="C2300" s="34"/>
      <c r="D2300" s="34"/>
      <c r="E2300" s="34"/>
      <c r="F2300" s="35"/>
      <c r="G2300" s="9"/>
      <c r="H2300" s="9"/>
      <c r="I2300" s="34"/>
      <c r="J2300" s="30" t="str">
        <f aca="false">IF(F2300="","",G2300-B2300)</f>
        <v/>
      </c>
      <c r="K2300" s="31" t="str">
        <f aca="false">IF(F2300="","",IF(H2300&lt;&gt;"",H2300,MAX('Vade Sapması'!$D$3,G2300)))</f>
        <v/>
      </c>
      <c r="L2300" s="30" t="str">
        <f aca="false">IF(F2300="","",K2300-B2300)</f>
        <v/>
      </c>
      <c r="M2300" s="30" t="str">
        <f aca="false">IF(F2300="","",L2300-J2300)</f>
        <v/>
      </c>
      <c r="N2300" s="32" t="str">
        <f aca="false">IF(F2300="","",IF(H2300&lt;&gt;"","Kapandı",IF('Vade Sapması'!$D$3&gt;G2300,"Açık · vadesi geçti","Açık · vadesi gelmedi")))</f>
        <v/>
      </c>
      <c r="O2300" s="30" t="str">
        <f aca="false">IF(F2300="","",IF(AND(H2300="",'Vade Sapması'!$D$3&gt;G2300),'Vade Sapması'!$D$3-G2300,0))</f>
        <v/>
      </c>
      <c r="P2300" s="33" t="str">
        <f aca="false">IF(F2300="","",F2300*J2300)</f>
        <v/>
      </c>
      <c r="Q2300" s="33" t="str">
        <f aca="false">IF(F2300="","",F2300*L2300)</f>
        <v/>
      </c>
      <c r="R2300" s="33" t="str">
        <f aca="false">IF(F2300="","",IF(H2300="",F2300,0))</f>
        <v/>
      </c>
      <c r="S2300" s="32" t="str">
        <f aca="false">IF(F2300="","",IF(N(O2300)=0,"",IF(O2300&lt;=30,"1-30",IF(O2300&lt;=60,"31-60",IF(O2300&lt;=90,"61-90","90+")))))</f>
        <v/>
      </c>
      <c r="T2300" s="32" t="str">
        <f aca="false">IF(F2300="","",IF(E2300="","Diğer",E2300))</f>
        <v/>
      </c>
      <c r="U2300" s="32" t="str">
        <f aca="false">IF(OR(F2300="",C2300=""),"",IF(COUNTIF($C$2:C2300,C2300)=1,MAX($U$1:U2299)+1,""))</f>
        <v/>
      </c>
    </row>
    <row r="2301" customFormat="false" ht="15" hidden="false" customHeight="false" outlineLevel="0" collapsed="false">
      <c r="A2301" s="34"/>
      <c r="B2301" s="9"/>
      <c r="C2301" s="34"/>
      <c r="D2301" s="34"/>
      <c r="E2301" s="34"/>
      <c r="F2301" s="35"/>
      <c r="G2301" s="9"/>
      <c r="H2301" s="9"/>
      <c r="I2301" s="34"/>
      <c r="J2301" s="30" t="str">
        <f aca="false">IF(F2301="","",G2301-B2301)</f>
        <v/>
      </c>
      <c r="K2301" s="31" t="str">
        <f aca="false">IF(F2301="","",IF(H2301&lt;&gt;"",H2301,MAX('Vade Sapması'!$D$3,G2301)))</f>
        <v/>
      </c>
      <c r="L2301" s="30" t="str">
        <f aca="false">IF(F2301="","",K2301-B2301)</f>
        <v/>
      </c>
      <c r="M2301" s="30" t="str">
        <f aca="false">IF(F2301="","",L2301-J2301)</f>
        <v/>
      </c>
      <c r="N2301" s="32" t="str">
        <f aca="false">IF(F2301="","",IF(H2301&lt;&gt;"","Kapandı",IF('Vade Sapması'!$D$3&gt;G2301,"Açık · vadesi geçti","Açık · vadesi gelmedi")))</f>
        <v/>
      </c>
      <c r="O2301" s="30" t="str">
        <f aca="false">IF(F2301="","",IF(AND(H2301="",'Vade Sapması'!$D$3&gt;G2301),'Vade Sapması'!$D$3-G2301,0))</f>
        <v/>
      </c>
      <c r="P2301" s="33" t="str">
        <f aca="false">IF(F2301="","",F2301*J2301)</f>
        <v/>
      </c>
      <c r="Q2301" s="33" t="str">
        <f aca="false">IF(F2301="","",F2301*L2301)</f>
        <v/>
      </c>
      <c r="R2301" s="33" t="str">
        <f aca="false">IF(F2301="","",IF(H2301="",F2301,0))</f>
        <v/>
      </c>
      <c r="S2301" s="32" t="str">
        <f aca="false">IF(F2301="","",IF(N(O2301)=0,"",IF(O2301&lt;=30,"1-30",IF(O2301&lt;=60,"31-60",IF(O2301&lt;=90,"61-90","90+")))))</f>
        <v/>
      </c>
      <c r="T2301" s="32" t="str">
        <f aca="false">IF(F2301="","",IF(E2301="","Diğer",E2301))</f>
        <v/>
      </c>
      <c r="U2301" s="32" t="str">
        <f aca="false">IF(OR(F2301="",C2301=""),"",IF(COUNTIF($C$2:C2301,C2301)=1,MAX($U$1:U2300)+1,""))</f>
        <v/>
      </c>
    </row>
    <row r="2302" customFormat="false" ht="15" hidden="false" customHeight="false" outlineLevel="0" collapsed="false">
      <c r="A2302" s="34"/>
      <c r="B2302" s="9"/>
      <c r="C2302" s="34"/>
      <c r="D2302" s="34"/>
      <c r="E2302" s="34"/>
      <c r="F2302" s="35"/>
      <c r="G2302" s="9"/>
      <c r="H2302" s="9"/>
      <c r="I2302" s="34"/>
      <c r="J2302" s="30" t="str">
        <f aca="false">IF(F2302="","",G2302-B2302)</f>
        <v/>
      </c>
      <c r="K2302" s="31" t="str">
        <f aca="false">IF(F2302="","",IF(H2302&lt;&gt;"",H2302,MAX('Vade Sapması'!$D$3,G2302)))</f>
        <v/>
      </c>
      <c r="L2302" s="30" t="str">
        <f aca="false">IF(F2302="","",K2302-B2302)</f>
        <v/>
      </c>
      <c r="M2302" s="30" t="str">
        <f aca="false">IF(F2302="","",L2302-J2302)</f>
        <v/>
      </c>
      <c r="N2302" s="32" t="str">
        <f aca="false">IF(F2302="","",IF(H2302&lt;&gt;"","Kapandı",IF('Vade Sapması'!$D$3&gt;G2302,"Açık · vadesi geçti","Açık · vadesi gelmedi")))</f>
        <v/>
      </c>
      <c r="O2302" s="30" t="str">
        <f aca="false">IF(F2302="","",IF(AND(H2302="",'Vade Sapması'!$D$3&gt;G2302),'Vade Sapması'!$D$3-G2302,0))</f>
        <v/>
      </c>
      <c r="P2302" s="33" t="str">
        <f aca="false">IF(F2302="","",F2302*J2302)</f>
        <v/>
      </c>
      <c r="Q2302" s="33" t="str">
        <f aca="false">IF(F2302="","",F2302*L2302)</f>
        <v/>
      </c>
      <c r="R2302" s="33" t="str">
        <f aca="false">IF(F2302="","",IF(H2302="",F2302,0))</f>
        <v/>
      </c>
      <c r="S2302" s="32" t="str">
        <f aca="false">IF(F2302="","",IF(N(O2302)=0,"",IF(O2302&lt;=30,"1-30",IF(O2302&lt;=60,"31-60",IF(O2302&lt;=90,"61-90","90+")))))</f>
        <v/>
      </c>
      <c r="T2302" s="32" t="str">
        <f aca="false">IF(F2302="","",IF(E2302="","Diğer",E2302))</f>
        <v/>
      </c>
      <c r="U2302" s="32" t="str">
        <f aca="false">IF(OR(F2302="",C2302=""),"",IF(COUNTIF($C$2:C2302,C2302)=1,MAX($U$1:U2301)+1,""))</f>
        <v/>
      </c>
    </row>
    <row r="2303" customFormat="false" ht="15" hidden="false" customHeight="false" outlineLevel="0" collapsed="false">
      <c r="A2303" s="34"/>
      <c r="B2303" s="9"/>
      <c r="C2303" s="34"/>
      <c r="D2303" s="34"/>
      <c r="E2303" s="34"/>
      <c r="F2303" s="35"/>
      <c r="G2303" s="9"/>
      <c r="H2303" s="9"/>
      <c r="I2303" s="34"/>
      <c r="J2303" s="30" t="str">
        <f aca="false">IF(F2303="","",G2303-B2303)</f>
        <v/>
      </c>
      <c r="K2303" s="31" t="str">
        <f aca="false">IF(F2303="","",IF(H2303&lt;&gt;"",H2303,MAX('Vade Sapması'!$D$3,G2303)))</f>
        <v/>
      </c>
      <c r="L2303" s="30" t="str">
        <f aca="false">IF(F2303="","",K2303-B2303)</f>
        <v/>
      </c>
      <c r="M2303" s="30" t="str">
        <f aca="false">IF(F2303="","",L2303-J2303)</f>
        <v/>
      </c>
      <c r="N2303" s="32" t="str">
        <f aca="false">IF(F2303="","",IF(H2303&lt;&gt;"","Kapandı",IF('Vade Sapması'!$D$3&gt;G2303,"Açık · vadesi geçti","Açık · vadesi gelmedi")))</f>
        <v/>
      </c>
      <c r="O2303" s="30" t="str">
        <f aca="false">IF(F2303="","",IF(AND(H2303="",'Vade Sapması'!$D$3&gt;G2303),'Vade Sapması'!$D$3-G2303,0))</f>
        <v/>
      </c>
      <c r="P2303" s="33" t="str">
        <f aca="false">IF(F2303="","",F2303*J2303)</f>
        <v/>
      </c>
      <c r="Q2303" s="33" t="str">
        <f aca="false">IF(F2303="","",F2303*L2303)</f>
        <v/>
      </c>
      <c r="R2303" s="33" t="str">
        <f aca="false">IF(F2303="","",IF(H2303="",F2303,0))</f>
        <v/>
      </c>
      <c r="S2303" s="32" t="str">
        <f aca="false">IF(F2303="","",IF(N(O2303)=0,"",IF(O2303&lt;=30,"1-30",IF(O2303&lt;=60,"31-60",IF(O2303&lt;=90,"61-90","90+")))))</f>
        <v/>
      </c>
      <c r="T2303" s="32" t="str">
        <f aca="false">IF(F2303="","",IF(E2303="","Diğer",E2303))</f>
        <v/>
      </c>
      <c r="U2303" s="32" t="str">
        <f aca="false">IF(OR(F2303="",C2303=""),"",IF(COUNTIF($C$2:C2303,C2303)=1,MAX($U$1:U2302)+1,""))</f>
        <v/>
      </c>
    </row>
    <row r="2304" customFormat="false" ht="15" hidden="false" customHeight="false" outlineLevel="0" collapsed="false">
      <c r="A2304" s="34"/>
      <c r="B2304" s="9"/>
      <c r="C2304" s="34"/>
      <c r="D2304" s="34"/>
      <c r="E2304" s="34"/>
      <c r="F2304" s="35"/>
      <c r="G2304" s="9"/>
      <c r="H2304" s="9"/>
      <c r="I2304" s="34"/>
      <c r="J2304" s="30" t="str">
        <f aca="false">IF(F2304="","",G2304-B2304)</f>
        <v/>
      </c>
      <c r="K2304" s="31" t="str">
        <f aca="false">IF(F2304="","",IF(H2304&lt;&gt;"",H2304,MAX('Vade Sapması'!$D$3,G2304)))</f>
        <v/>
      </c>
      <c r="L2304" s="30" t="str">
        <f aca="false">IF(F2304="","",K2304-B2304)</f>
        <v/>
      </c>
      <c r="M2304" s="30" t="str">
        <f aca="false">IF(F2304="","",L2304-J2304)</f>
        <v/>
      </c>
      <c r="N2304" s="32" t="str">
        <f aca="false">IF(F2304="","",IF(H2304&lt;&gt;"","Kapandı",IF('Vade Sapması'!$D$3&gt;G2304,"Açık · vadesi geçti","Açık · vadesi gelmedi")))</f>
        <v/>
      </c>
      <c r="O2304" s="30" t="str">
        <f aca="false">IF(F2304="","",IF(AND(H2304="",'Vade Sapması'!$D$3&gt;G2304),'Vade Sapması'!$D$3-G2304,0))</f>
        <v/>
      </c>
      <c r="P2304" s="33" t="str">
        <f aca="false">IF(F2304="","",F2304*J2304)</f>
        <v/>
      </c>
      <c r="Q2304" s="33" t="str">
        <f aca="false">IF(F2304="","",F2304*L2304)</f>
        <v/>
      </c>
      <c r="R2304" s="33" t="str">
        <f aca="false">IF(F2304="","",IF(H2304="",F2304,0))</f>
        <v/>
      </c>
      <c r="S2304" s="32" t="str">
        <f aca="false">IF(F2304="","",IF(N(O2304)=0,"",IF(O2304&lt;=30,"1-30",IF(O2304&lt;=60,"31-60",IF(O2304&lt;=90,"61-90","90+")))))</f>
        <v/>
      </c>
      <c r="T2304" s="32" t="str">
        <f aca="false">IF(F2304="","",IF(E2304="","Diğer",E2304))</f>
        <v/>
      </c>
      <c r="U2304" s="32" t="str">
        <f aca="false">IF(OR(F2304="",C2304=""),"",IF(COUNTIF($C$2:C2304,C2304)=1,MAX($U$1:U2303)+1,""))</f>
        <v/>
      </c>
    </row>
    <row r="2305" customFormat="false" ht="15" hidden="false" customHeight="false" outlineLevel="0" collapsed="false">
      <c r="A2305" s="34"/>
      <c r="B2305" s="9"/>
      <c r="C2305" s="34"/>
      <c r="D2305" s="34"/>
      <c r="E2305" s="34"/>
      <c r="F2305" s="35"/>
      <c r="G2305" s="9"/>
      <c r="H2305" s="9"/>
      <c r="I2305" s="34"/>
      <c r="J2305" s="30" t="str">
        <f aca="false">IF(F2305="","",G2305-B2305)</f>
        <v/>
      </c>
      <c r="K2305" s="31" t="str">
        <f aca="false">IF(F2305="","",IF(H2305&lt;&gt;"",H2305,MAX('Vade Sapması'!$D$3,G2305)))</f>
        <v/>
      </c>
      <c r="L2305" s="30" t="str">
        <f aca="false">IF(F2305="","",K2305-B2305)</f>
        <v/>
      </c>
      <c r="M2305" s="30" t="str">
        <f aca="false">IF(F2305="","",L2305-J2305)</f>
        <v/>
      </c>
      <c r="N2305" s="32" t="str">
        <f aca="false">IF(F2305="","",IF(H2305&lt;&gt;"","Kapandı",IF('Vade Sapması'!$D$3&gt;G2305,"Açık · vadesi geçti","Açık · vadesi gelmedi")))</f>
        <v/>
      </c>
      <c r="O2305" s="30" t="str">
        <f aca="false">IF(F2305="","",IF(AND(H2305="",'Vade Sapması'!$D$3&gt;G2305),'Vade Sapması'!$D$3-G2305,0))</f>
        <v/>
      </c>
      <c r="P2305" s="33" t="str">
        <f aca="false">IF(F2305="","",F2305*J2305)</f>
        <v/>
      </c>
      <c r="Q2305" s="33" t="str">
        <f aca="false">IF(F2305="","",F2305*L2305)</f>
        <v/>
      </c>
      <c r="R2305" s="33" t="str">
        <f aca="false">IF(F2305="","",IF(H2305="",F2305,0))</f>
        <v/>
      </c>
      <c r="S2305" s="32" t="str">
        <f aca="false">IF(F2305="","",IF(N(O2305)=0,"",IF(O2305&lt;=30,"1-30",IF(O2305&lt;=60,"31-60",IF(O2305&lt;=90,"61-90","90+")))))</f>
        <v/>
      </c>
      <c r="T2305" s="32" t="str">
        <f aca="false">IF(F2305="","",IF(E2305="","Diğer",E2305))</f>
        <v/>
      </c>
      <c r="U2305" s="32" t="str">
        <f aca="false">IF(OR(F2305="",C2305=""),"",IF(COUNTIF($C$2:C2305,C2305)=1,MAX($U$1:U2304)+1,""))</f>
        <v/>
      </c>
    </row>
    <row r="2306" customFormat="false" ht="15" hidden="false" customHeight="false" outlineLevel="0" collapsed="false">
      <c r="A2306" s="34"/>
      <c r="B2306" s="9"/>
      <c r="C2306" s="34"/>
      <c r="D2306" s="34"/>
      <c r="E2306" s="34"/>
      <c r="F2306" s="35"/>
      <c r="G2306" s="9"/>
      <c r="H2306" s="9"/>
      <c r="I2306" s="34"/>
      <c r="J2306" s="30" t="str">
        <f aca="false">IF(F2306="","",G2306-B2306)</f>
        <v/>
      </c>
      <c r="K2306" s="31" t="str">
        <f aca="false">IF(F2306="","",IF(H2306&lt;&gt;"",H2306,MAX('Vade Sapması'!$D$3,G2306)))</f>
        <v/>
      </c>
      <c r="L2306" s="30" t="str">
        <f aca="false">IF(F2306="","",K2306-B2306)</f>
        <v/>
      </c>
      <c r="M2306" s="30" t="str">
        <f aca="false">IF(F2306="","",L2306-J2306)</f>
        <v/>
      </c>
      <c r="N2306" s="32" t="str">
        <f aca="false">IF(F2306="","",IF(H2306&lt;&gt;"","Kapandı",IF('Vade Sapması'!$D$3&gt;G2306,"Açık · vadesi geçti","Açık · vadesi gelmedi")))</f>
        <v/>
      </c>
      <c r="O2306" s="30" t="str">
        <f aca="false">IF(F2306="","",IF(AND(H2306="",'Vade Sapması'!$D$3&gt;G2306),'Vade Sapması'!$D$3-G2306,0))</f>
        <v/>
      </c>
      <c r="P2306" s="33" t="str">
        <f aca="false">IF(F2306="","",F2306*J2306)</f>
        <v/>
      </c>
      <c r="Q2306" s="33" t="str">
        <f aca="false">IF(F2306="","",F2306*L2306)</f>
        <v/>
      </c>
      <c r="R2306" s="33" t="str">
        <f aca="false">IF(F2306="","",IF(H2306="",F2306,0))</f>
        <v/>
      </c>
      <c r="S2306" s="32" t="str">
        <f aca="false">IF(F2306="","",IF(N(O2306)=0,"",IF(O2306&lt;=30,"1-30",IF(O2306&lt;=60,"31-60",IF(O2306&lt;=90,"61-90","90+")))))</f>
        <v/>
      </c>
      <c r="T2306" s="32" t="str">
        <f aca="false">IF(F2306="","",IF(E2306="","Diğer",E2306))</f>
        <v/>
      </c>
      <c r="U2306" s="32" t="str">
        <f aca="false">IF(OR(F2306="",C2306=""),"",IF(COUNTIF($C$2:C2306,C2306)=1,MAX($U$1:U2305)+1,""))</f>
        <v/>
      </c>
    </row>
    <row r="2307" customFormat="false" ht="15" hidden="false" customHeight="false" outlineLevel="0" collapsed="false">
      <c r="A2307" s="34"/>
      <c r="B2307" s="9"/>
      <c r="C2307" s="34"/>
      <c r="D2307" s="34"/>
      <c r="E2307" s="34"/>
      <c r="F2307" s="35"/>
      <c r="G2307" s="9"/>
      <c r="H2307" s="9"/>
      <c r="I2307" s="34"/>
      <c r="J2307" s="30" t="str">
        <f aca="false">IF(F2307="","",G2307-B2307)</f>
        <v/>
      </c>
      <c r="K2307" s="31" t="str">
        <f aca="false">IF(F2307="","",IF(H2307&lt;&gt;"",H2307,MAX('Vade Sapması'!$D$3,G2307)))</f>
        <v/>
      </c>
      <c r="L2307" s="30" t="str">
        <f aca="false">IF(F2307="","",K2307-B2307)</f>
        <v/>
      </c>
      <c r="M2307" s="30" t="str">
        <f aca="false">IF(F2307="","",L2307-J2307)</f>
        <v/>
      </c>
      <c r="N2307" s="32" t="str">
        <f aca="false">IF(F2307="","",IF(H2307&lt;&gt;"","Kapandı",IF('Vade Sapması'!$D$3&gt;G2307,"Açık · vadesi geçti","Açık · vadesi gelmedi")))</f>
        <v/>
      </c>
      <c r="O2307" s="30" t="str">
        <f aca="false">IF(F2307="","",IF(AND(H2307="",'Vade Sapması'!$D$3&gt;G2307),'Vade Sapması'!$D$3-G2307,0))</f>
        <v/>
      </c>
      <c r="P2307" s="33" t="str">
        <f aca="false">IF(F2307="","",F2307*J2307)</f>
        <v/>
      </c>
      <c r="Q2307" s="33" t="str">
        <f aca="false">IF(F2307="","",F2307*L2307)</f>
        <v/>
      </c>
      <c r="R2307" s="33" t="str">
        <f aca="false">IF(F2307="","",IF(H2307="",F2307,0))</f>
        <v/>
      </c>
      <c r="S2307" s="32" t="str">
        <f aca="false">IF(F2307="","",IF(N(O2307)=0,"",IF(O2307&lt;=30,"1-30",IF(O2307&lt;=60,"31-60",IF(O2307&lt;=90,"61-90","90+")))))</f>
        <v/>
      </c>
      <c r="T2307" s="32" t="str">
        <f aca="false">IF(F2307="","",IF(E2307="","Diğer",E2307))</f>
        <v/>
      </c>
      <c r="U2307" s="32" t="str">
        <f aca="false">IF(OR(F2307="",C2307=""),"",IF(COUNTIF($C$2:C2307,C2307)=1,MAX($U$1:U2306)+1,""))</f>
        <v/>
      </c>
    </row>
    <row r="2308" customFormat="false" ht="15" hidden="false" customHeight="false" outlineLevel="0" collapsed="false">
      <c r="A2308" s="34"/>
      <c r="B2308" s="9"/>
      <c r="C2308" s="34"/>
      <c r="D2308" s="34"/>
      <c r="E2308" s="34"/>
      <c r="F2308" s="35"/>
      <c r="G2308" s="9"/>
      <c r="H2308" s="9"/>
      <c r="I2308" s="34"/>
      <c r="J2308" s="30" t="str">
        <f aca="false">IF(F2308="","",G2308-B2308)</f>
        <v/>
      </c>
      <c r="K2308" s="31" t="str">
        <f aca="false">IF(F2308="","",IF(H2308&lt;&gt;"",H2308,MAX('Vade Sapması'!$D$3,G2308)))</f>
        <v/>
      </c>
      <c r="L2308" s="30" t="str">
        <f aca="false">IF(F2308="","",K2308-B2308)</f>
        <v/>
      </c>
      <c r="M2308" s="30" t="str">
        <f aca="false">IF(F2308="","",L2308-J2308)</f>
        <v/>
      </c>
      <c r="N2308" s="32" t="str">
        <f aca="false">IF(F2308="","",IF(H2308&lt;&gt;"","Kapandı",IF('Vade Sapması'!$D$3&gt;G2308,"Açık · vadesi geçti","Açık · vadesi gelmedi")))</f>
        <v/>
      </c>
      <c r="O2308" s="30" t="str">
        <f aca="false">IF(F2308="","",IF(AND(H2308="",'Vade Sapması'!$D$3&gt;G2308),'Vade Sapması'!$D$3-G2308,0))</f>
        <v/>
      </c>
      <c r="P2308" s="33" t="str">
        <f aca="false">IF(F2308="","",F2308*J2308)</f>
        <v/>
      </c>
      <c r="Q2308" s="33" t="str">
        <f aca="false">IF(F2308="","",F2308*L2308)</f>
        <v/>
      </c>
      <c r="R2308" s="33" t="str">
        <f aca="false">IF(F2308="","",IF(H2308="",F2308,0))</f>
        <v/>
      </c>
      <c r="S2308" s="32" t="str">
        <f aca="false">IF(F2308="","",IF(N(O2308)=0,"",IF(O2308&lt;=30,"1-30",IF(O2308&lt;=60,"31-60",IF(O2308&lt;=90,"61-90","90+")))))</f>
        <v/>
      </c>
      <c r="T2308" s="32" t="str">
        <f aca="false">IF(F2308="","",IF(E2308="","Diğer",E2308))</f>
        <v/>
      </c>
      <c r="U2308" s="32" t="str">
        <f aca="false">IF(OR(F2308="",C2308=""),"",IF(COUNTIF($C$2:C2308,C2308)=1,MAX($U$1:U2307)+1,""))</f>
        <v/>
      </c>
    </row>
    <row r="2309" customFormat="false" ht="15" hidden="false" customHeight="false" outlineLevel="0" collapsed="false">
      <c r="A2309" s="34"/>
      <c r="B2309" s="9"/>
      <c r="C2309" s="34"/>
      <c r="D2309" s="34"/>
      <c r="E2309" s="34"/>
      <c r="F2309" s="35"/>
      <c r="G2309" s="9"/>
      <c r="H2309" s="9"/>
      <c r="I2309" s="34"/>
      <c r="J2309" s="30" t="str">
        <f aca="false">IF(F2309="","",G2309-B2309)</f>
        <v/>
      </c>
      <c r="K2309" s="31" t="str">
        <f aca="false">IF(F2309="","",IF(H2309&lt;&gt;"",H2309,MAX('Vade Sapması'!$D$3,G2309)))</f>
        <v/>
      </c>
      <c r="L2309" s="30" t="str">
        <f aca="false">IF(F2309="","",K2309-B2309)</f>
        <v/>
      </c>
      <c r="M2309" s="30" t="str">
        <f aca="false">IF(F2309="","",L2309-J2309)</f>
        <v/>
      </c>
      <c r="N2309" s="32" t="str">
        <f aca="false">IF(F2309="","",IF(H2309&lt;&gt;"","Kapandı",IF('Vade Sapması'!$D$3&gt;G2309,"Açık · vadesi geçti","Açık · vadesi gelmedi")))</f>
        <v/>
      </c>
      <c r="O2309" s="30" t="str">
        <f aca="false">IF(F2309="","",IF(AND(H2309="",'Vade Sapması'!$D$3&gt;G2309),'Vade Sapması'!$D$3-G2309,0))</f>
        <v/>
      </c>
      <c r="P2309" s="33" t="str">
        <f aca="false">IF(F2309="","",F2309*J2309)</f>
        <v/>
      </c>
      <c r="Q2309" s="33" t="str">
        <f aca="false">IF(F2309="","",F2309*L2309)</f>
        <v/>
      </c>
      <c r="R2309" s="33" t="str">
        <f aca="false">IF(F2309="","",IF(H2309="",F2309,0))</f>
        <v/>
      </c>
      <c r="S2309" s="32" t="str">
        <f aca="false">IF(F2309="","",IF(N(O2309)=0,"",IF(O2309&lt;=30,"1-30",IF(O2309&lt;=60,"31-60",IF(O2309&lt;=90,"61-90","90+")))))</f>
        <v/>
      </c>
      <c r="T2309" s="32" t="str">
        <f aca="false">IF(F2309="","",IF(E2309="","Diğer",E2309))</f>
        <v/>
      </c>
      <c r="U2309" s="32" t="str">
        <f aca="false">IF(OR(F2309="",C2309=""),"",IF(COUNTIF($C$2:C2309,C2309)=1,MAX($U$1:U2308)+1,""))</f>
        <v/>
      </c>
    </row>
    <row r="2310" customFormat="false" ht="15" hidden="false" customHeight="false" outlineLevel="0" collapsed="false">
      <c r="A2310" s="34"/>
      <c r="B2310" s="9"/>
      <c r="C2310" s="34"/>
      <c r="D2310" s="34"/>
      <c r="E2310" s="34"/>
      <c r="F2310" s="35"/>
      <c r="G2310" s="9"/>
      <c r="H2310" s="9"/>
      <c r="I2310" s="34"/>
      <c r="J2310" s="30" t="str">
        <f aca="false">IF(F2310="","",G2310-B2310)</f>
        <v/>
      </c>
      <c r="K2310" s="31" t="str">
        <f aca="false">IF(F2310="","",IF(H2310&lt;&gt;"",H2310,MAX('Vade Sapması'!$D$3,G2310)))</f>
        <v/>
      </c>
      <c r="L2310" s="30" t="str">
        <f aca="false">IF(F2310="","",K2310-B2310)</f>
        <v/>
      </c>
      <c r="M2310" s="30" t="str">
        <f aca="false">IF(F2310="","",L2310-J2310)</f>
        <v/>
      </c>
      <c r="N2310" s="32" t="str">
        <f aca="false">IF(F2310="","",IF(H2310&lt;&gt;"","Kapandı",IF('Vade Sapması'!$D$3&gt;G2310,"Açık · vadesi geçti","Açık · vadesi gelmedi")))</f>
        <v/>
      </c>
      <c r="O2310" s="30" t="str">
        <f aca="false">IF(F2310="","",IF(AND(H2310="",'Vade Sapması'!$D$3&gt;G2310),'Vade Sapması'!$D$3-G2310,0))</f>
        <v/>
      </c>
      <c r="P2310" s="33" t="str">
        <f aca="false">IF(F2310="","",F2310*J2310)</f>
        <v/>
      </c>
      <c r="Q2310" s="33" t="str">
        <f aca="false">IF(F2310="","",F2310*L2310)</f>
        <v/>
      </c>
      <c r="R2310" s="33" t="str">
        <f aca="false">IF(F2310="","",IF(H2310="",F2310,0))</f>
        <v/>
      </c>
      <c r="S2310" s="32" t="str">
        <f aca="false">IF(F2310="","",IF(N(O2310)=0,"",IF(O2310&lt;=30,"1-30",IF(O2310&lt;=60,"31-60",IF(O2310&lt;=90,"61-90","90+")))))</f>
        <v/>
      </c>
      <c r="T2310" s="32" t="str">
        <f aca="false">IF(F2310="","",IF(E2310="","Diğer",E2310))</f>
        <v/>
      </c>
      <c r="U2310" s="32" t="str">
        <f aca="false">IF(OR(F2310="",C2310=""),"",IF(COUNTIF($C$2:C2310,C2310)=1,MAX($U$1:U2309)+1,""))</f>
        <v/>
      </c>
    </row>
    <row r="2311" customFormat="false" ht="15" hidden="false" customHeight="false" outlineLevel="0" collapsed="false">
      <c r="A2311" s="34"/>
      <c r="B2311" s="9"/>
      <c r="C2311" s="34"/>
      <c r="D2311" s="34"/>
      <c r="E2311" s="34"/>
      <c r="F2311" s="35"/>
      <c r="G2311" s="9"/>
      <c r="H2311" s="9"/>
      <c r="I2311" s="34"/>
      <c r="J2311" s="30" t="str">
        <f aca="false">IF(F2311="","",G2311-B2311)</f>
        <v/>
      </c>
      <c r="K2311" s="31" t="str">
        <f aca="false">IF(F2311="","",IF(H2311&lt;&gt;"",H2311,MAX('Vade Sapması'!$D$3,G2311)))</f>
        <v/>
      </c>
      <c r="L2311" s="30" t="str">
        <f aca="false">IF(F2311="","",K2311-B2311)</f>
        <v/>
      </c>
      <c r="M2311" s="30" t="str">
        <f aca="false">IF(F2311="","",L2311-J2311)</f>
        <v/>
      </c>
      <c r="N2311" s="32" t="str">
        <f aca="false">IF(F2311="","",IF(H2311&lt;&gt;"","Kapandı",IF('Vade Sapması'!$D$3&gt;G2311,"Açık · vadesi geçti","Açık · vadesi gelmedi")))</f>
        <v/>
      </c>
      <c r="O2311" s="30" t="str">
        <f aca="false">IF(F2311="","",IF(AND(H2311="",'Vade Sapması'!$D$3&gt;G2311),'Vade Sapması'!$D$3-G2311,0))</f>
        <v/>
      </c>
      <c r="P2311" s="33" t="str">
        <f aca="false">IF(F2311="","",F2311*J2311)</f>
        <v/>
      </c>
      <c r="Q2311" s="33" t="str">
        <f aca="false">IF(F2311="","",F2311*L2311)</f>
        <v/>
      </c>
      <c r="R2311" s="33" t="str">
        <f aca="false">IF(F2311="","",IF(H2311="",F2311,0))</f>
        <v/>
      </c>
      <c r="S2311" s="32" t="str">
        <f aca="false">IF(F2311="","",IF(N(O2311)=0,"",IF(O2311&lt;=30,"1-30",IF(O2311&lt;=60,"31-60",IF(O2311&lt;=90,"61-90","90+")))))</f>
        <v/>
      </c>
      <c r="T2311" s="32" t="str">
        <f aca="false">IF(F2311="","",IF(E2311="","Diğer",E2311))</f>
        <v/>
      </c>
      <c r="U2311" s="32" t="str">
        <f aca="false">IF(OR(F2311="",C2311=""),"",IF(COUNTIF($C$2:C2311,C2311)=1,MAX($U$1:U2310)+1,""))</f>
        <v/>
      </c>
    </row>
    <row r="2312" customFormat="false" ht="15" hidden="false" customHeight="false" outlineLevel="0" collapsed="false">
      <c r="A2312" s="34"/>
      <c r="B2312" s="9"/>
      <c r="C2312" s="34"/>
      <c r="D2312" s="34"/>
      <c r="E2312" s="34"/>
      <c r="F2312" s="35"/>
      <c r="G2312" s="9"/>
      <c r="H2312" s="9"/>
      <c r="I2312" s="34"/>
      <c r="J2312" s="30" t="str">
        <f aca="false">IF(F2312="","",G2312-B2312)</f>
        <v/>
      </c>
      <c r="K2312" s="31" t="str">
        <f aca="false">IF(F2312="","",IF(H2312&lt;&gt;"",H2312,MAX('Vade Sapması'!$D$3,G2312)))</f>
        <v/>
      </c>
      <c r="L2312" s="30" t="str">
        <f aca="false">IF(F2312="","",K2312-B2312)</f>
        <v/>
      </c>
      <c r="M2312" s="30" t="str">
        <f aca="false">IF(F2312="","",L2312-J2312)</f>
        <v/>
      </c>
      <c r="N2312" s="32" t="str">
        <f aca="false">IF(F2312="","",IF(H2312&lt;&gt;"","Kapandı",IF('Vade Sapması'!$D$3&gt;G2312,"Açık · vadesi geçti","Açık · vadesi gelmedi")))</f>
        <v/>
      </c>
      <c r="O2312" s="30" t="str">
        <f aca="false">IF(F2312="","",IF(AND(H2312="",'Vade Sapması'!$D$3&gt;G2312),'Vade Sapması'!$D$3-G2312,0))</f>
        <v/>
      </c>
      <c r="P2312" s="33" t="str">
        <f aca="false">IF(F2312="","",F2312*J2312)</f>
        <v/>
      </c>
      <c r="Q2312" s="33" t="str">
        <f aca="false">IF(F2312="","",F2312*L2312)</f>
        <v/>
      </c>
      <c r="R2312" s="33" t="str">
        <f aca="false">IF(F2312="","",IF(H2312="",F2312,0))</f>
        <v/>
      </c>
      <c r="S2312" s="32" t="str">
        <f aca="false">IF(F2312="","",IF(N(O2312)=0,"",IF(O2312&lt;=30,"1-30",IF(O2312&lt;=60,"31-60",IF(O2312&lt;=90,"61-90","90+")))))</f>
        <v/>
      </c>
      <c r="T2312" s="32" t="str">
        <f aca="false">IF(F2312="","",IF(E2312="","Diğer",E2312))</f>
        <v/>
      </c>
      <c r="U2312" s="32" t="str">
        <f aca="false">IF(OR(F2312="",C2312=""),"",IF(COUNTIF($C$2:C2312,C2312)=1,MAX($U$1:U2311)+1,""))</f>
        <v/>
      </c>
    </row>
    <row r="2313" customFormat="false" ht="15" hidden="false" customHeight="false" outlineLevel="0" collapsed="false">
      <c r="A2313" s="34"/>
      <c r="B2313" s="9"/>
      <c r="C2313" s="34"/>
      <c r="D2313" s="34"/>
      <c r="E2313" s="34"/>
      <c r="F2313" s="35"/>
      <c r="G2313" s="9"/>
      <c r="H2313" s="9"/>
      <c r="I2313" s="34"/>
      <c r="J2313" s="30" t="str">
        <f aca="false">IF(F2313="","",G2313-B2313)</f>
        <v/>
      </c>
      <c r="K2313" s="31" t="str">
        <f aca="false">IF(F2313="","",IF(H2313&lt;&gt;"",H2313,MAX('Vade Sapması'!$D$3,G2313)))</f>
        <v/>
      </c>
      <c r="L2313" s="30" t="str">
        <f aca="false">IF(F2313="","",K2313-B2313)</f>
        <v/>
      </c>
      <c r="M2313" s="30" t="str">
        <f aca="false">IF(F2313="","",L2313-J2313)</f>
        <v/>
      </c>
      <c r="N2313" s="32" t="str">
        <f aca="false">IF(F2313="","",IF(H2313&lt;&gt;"","Kapandı",IF('Vade Sapması'!$D$3&gt;G2313,"Açık · vadesi geçti","Açık · vadesi gelmedi")))</f>
        <v/>
      </c>
      <c r="O2313" s="30" t="str">
        <f aca="false">IF(F2313="","",IF(AND(H2313="",'Vade Sapması'!$D$3&gt;G2313),'Vade Sapması'!$D$3-G2313,0))</f>
        <v/>
      </c>
      <c r="P2313" s="33" t="str">
        <f aca="false">IF(F2313="","",F2313*J2313)</f>
        <v/>
      </c>
      <c r="Q2313" s="33" t="str">
        <f aca="false">IF(F2313="","",F2313*L2313)</f>
        <v/>
      </c>
      <c r="R2313" s="33" t="str">
        <f aca="false">IF(F2313="","",IF(H2313="",F2313,0))</f>
        <v/>
      </c>
      <c r="S2313" s="32" t="str">
        <f aca="false">IF(F2313="","",IF(N(O2313)=0,"",IF(O2313&lt;=30,"1-30",IF(O2313&lt;=60,"31-60",IF(O2313&lt;=90,"61-90","90+")))))</f>
        <v/>
      </c>
      <c r="T2313" s="32" t="str">
        <f aca="false">IF(F2313="","",IF(E2313="","Diğer",E2313))</f>
        <v/>
      </c>
      <c r="U2313" s="32" t="str">
        <f aca="false">IF(OR(F2313="",C2313=""),"",IF(COUNTIF($C$2:C2313,C2313)=1,MAX($U$1:U2312)+1,""))</f>
        <v/>
      </c>
    </row>
    <row r="2314" customFormat="false" ht="15" hidden="false" customHeight="false" outlineLevel="0" collapsed="false">
      <c r="A2314" s="34"/>
      <c r="B2314" s="9"/>
      <c r="C2314" s="34"/>
      <c r="D2314" s="34"/>
      <c r="E2314" s="34"/>
      <c r="F2314" s="35"/>
      <c r="G2314" s="9"/>
      <c r="H2314" s="9"/>
      <c r="I2314" s="34"/>
      <c r="J2314" s="30" t="str">
        <f aca="false">IF(F2314="","",G2314-B2314)</f>
        <v/>
      </c>
      <c r="K2314" s="31" t="str">
        <f aca="false">IF(F2314="","",IF(H2314&lt;&gt;"",H2314,MAX('Vade Sapması'!$D$3,G2314)))</f>
        <v/>
      </c>
      <c r="L2314" s="30" t="str">
        <f aca="false">IF(F2314="","",K2314-B2314)</f>
        <v/>
      </c>
      <c r="M2314" s="30" t="str">
        <f aca="false">IF(F2314="","",L2314-J2314)</f>
        <v/>
      </c>
      <c r="N2314" s="32" t="str">
        <f aca="false">IF(F2314="","",IF(H2314&lt;&gt;"","Kapandı",IF('Vade Sapması'!$D$3&gt;G2314,"Açık · vadesi geçti","Açık · vadesi gelmedi")))</f>
        <v/>
      </c>
      <c r="O2314" s="30" t="str">
        <f aca="false">IF(F2314="","",IF(AND(H2314="",'Vade Sapması'!$D$3&gt;G2314),'Vade Sapması'!$D$3-G2314,0))</f>
        <v/>
      </c>
      <c r="P2314" s="33" t="str">
        <f aca="false">IF(F2314="","",F2314*J2314)</f>
        <v/>
      </c>
      <c r="Q2314" s="33" t="str">
        <f aca="false">IF(F2314="","",F2314*L2314)</f>
        <v/>
      </c>
      <c r="R2314" s="33" t="str">
        <f aca="false">IF(F2314="","",IF(H2314="",F2314,0))</f>
        <v/>
      </c>
      <c r="S2314" s="32" t="str">
        <f aca="false">IF(F2314="","",IF(N(O2314)=0,"",IF(O2314&lt;=30,"1-30",IF(O2314&lt;=60,"31-60",IF(O2314&lt;=90,"61-90","90+")))))</f>
        <v/>
      </c>
      <c r="T2314" s="32" t="str">
        <f aca="false">IF(F2314="","",IF(E2314="","Diğer",E2314))</f>
        <v/>
      </c>
      <c r="U2314" s="32" t="str">
        <f aca="false">IF(OR(F2314="",C2314=""),"",IF(COUNTIF($C$2:C2314,C2314)=1,MAX($U$1:U2313)+1,""))</f>
        <v/>
      </c>
    </row>
    <row r="2315" customFormat="false" ht="15" hidden="false" customHeight="false" outlineLevel="0" collapsed="false">
      <c r="A2315" s="34"/>
      <c r="B2315" s="9"/>
      <c r="C2315" s="34"/>
      <c r="D2315" s="34"/>
      <c r="E2315" s="34"/>
      <c r="F2315" s="35"/>
      <c r="G2315" s="9"/>
      <c r="H2315" s="9"/>
      <c r="I2315" s="34"/>
      <c r="J2315" s="30" t="str">
        <f aca="false">IF(F2315="","",G2315-B2315)</f>
        <v/>
      </c>
      <c r="K2315" s="31" t="str">
        <f aca="false">IF(F2315="","",IF(H2315&lt;&gt;"",H2315,MAX('Vade Sapması'!$D$3,G2315)))</f>
        <v/>
      </c>
      <c r="L2315" s="30" t="str">
        <f aca="false">IF(F2315="","",K2315-B2315)</f>
        <v/>
      </c>
      <c r="M2315" s="30" t="str">
        <f aca="false">IF(F2315="","",L2315-J2315)</f>
        <v/>
      </c>
      <c r="N2315" s="32" t="str">
        <f aca="false">IF(F2315="","",IF(H2315&lt;&gt;"","Kapandı",IF('Vade Sapması'!$D$3&gt;G2315,"Açık · vadesi geçti","Açık · vadesi gelmedi")))</f>
        <v/>
      </c>
      <c r="O2315" s="30" t="str">
        <f aca="false">IF(F2315="","",IF(AND(H2315="",'Vade Sapması'!$D$3&gt;G2315),'Vade Sapması'!$D$3-G2315,0))</f>
        <v/>
      </c>
      <c r="P2315" s="33" t="str">
        <f aca="false">IF(F2315="","",F2315*J2315)</f>
        <v/>
      </c>
      <c r="Q2315" s="33" t="str">
        <f aca="false">IF(F2315="","",F2315*L2315)</f>
        <v/>
      </c>
      <c r="R2315" s="33" t="str">
        <f aca="false">IF(F2315="","",IF(H2315="",F2315,0))</f>
        <v/>
      </c>
      <c r="S2315" s="32" t="str">
        <f aca="false">IF(F2315="","",IF(N(O2315)=0,"",IF(O2315&lt;=30,"1-30",IF(O2315&lt;=60,"31-60",IF(O2315&lt;=90,"61-90","90+")))))</f>
        <v/>
      </c>
      <c r="T2315" s="32" t="str">
        <f aca="false">IF(F2315="","",IF(E2315="","Diğer",E2315))</f>
        <v/>
      </c>
      <c r="U2315" s="32" t="str">
        <f aca="false">IF(OR(F2315="",C2315=""),"",IF(COUNTIF($C$2:C2315,C2315)=1,MAX($U$1:U2314)+1,""))</f>
        <v/>
      </c>
    </row>
    <row r="2316" customFormat="false" ht="15" hidden="false" customHeight="false" outlineLevel="0" collapsed="false">
      <c r="A2316" s="34"/>
      <c r="B2316" s="9"/>
      <c r="C2316" s="34"/>
      <c r="D2316" s="34"/>
      <c r="E2316" s="34"/>
      <c r="F2316" s="35"/>
      <c r="G2316" s="9"/>
      <c r="H2316" s="9"/>
      <c r="I2316" s="34"/>
      <c r="J2316" s="30" t="str">
        <f aca="false">IF(F2316="","",G2316-B2316)</f>
        <v/>
      </c>
      <c r="K2316" s="31" t="str">
        <f aca="false">IF(F2316="","",IF(H2316&lt;&gt;"",H2316,MAX('Vade Sapması'!$D$3,G2316)))</f>
        <v/>
      </c>
      <c r="L2316" s="30" t="str">
        <f aca="false">IF(F2316="","",K2316-B2316)</f>
        <v/>
      </c>
      <c r="M2316" s="30" t="str">
        <f aca="false">IF(F2316="","",L2316-J2316)</f>
        <v/>
      </c>
      <c r="N2316" s="32" t="str">
        <f aca="false">IF(F2316="","",IF(H2316&lt;&gt;"","Kapandı",IF('Vade Sapması'!$D$3&gt;G2316,"Açık · vadesi geçti","Açık · vadesi gelmedi")))</f>
        <v/>
      </c>
      <c r="O2316" s="30" t="str">
        <f aca="false">IF(F2316="","",IF(AND(H2316="",'Vade Sapması'!$D$3&gt;G2316),'Vade Sapması'!$D$3-G2316,0))</f>
        <v/>
      </c>
      <c r="P2316" s="33" t="str">
        <f aca="false">IF(F2316="","",F2316*J2316)</f>
        <v/>
      </c>
      <c r="Q2316" s="33" t="str">
        <f aca="false">IF(F2316="","",F2316*L2316)</f>
        <v/>
      </c>
      <c r="R2316" s="33" t="str">
        <f aca="false">IF(F2316="","",IF(H2316="",F2316,0))</f>
        <v/>
      </c>
      <c r="S2316" s="32" t="str">
        <f aca="false">IF(F2316="","",IF(N(O2316)=0,"",IF(O2316&lt;=30,"1-30",IF(O2316&lt;=60,"31-60",IF(O2316&lt;=90,"61-90","90+")))))</f>
        <v/>
      </c>
      <c r="T2316" s="32" t="str">
        <f aca="false">IF(F2316="","",IF(E2316="","Diğer",E2316))</f>
        <v/>
      </c>
      <c r="U2316" s="32" t="str">
        <f aca="false">IF(OR(F2316="",C2316=""),"",IF(COUNTIF($C$2:C2316,C2316)=1,MAX($U$1:U2315)+1,""))</f>
        <v/>
      </c>
    </row>
    <row r="2317" customFormat="false" ht="15" hidden="false" customHeight="false" outlineLevel="0" collapsed="false">
      <c r="A2317" s="34"/>
      <c r="B2317" s="9"/>
      <c r="C2317" s="34"/>
      <c r="D2317" s="34"/>
      <c r="E2317" s="34"/>
      <c r="F2317" s="35"/>
      <c r="G2317" s="9"/>
      <c r="H2317" s="9"/>
      <c r="I2317" s="34"/>
      <c r="J2317" s="30" t="str">
        <f aca="false">IF(F2317="","",G2317-B2317)</f>
        <v/>
      </c>
      <c r="K2317" s="31" t="str">
        <f aca="false">IF(F2317="","",IF(H2317&lt;&gt;"",H2317,MAX('Vade Sapması'!$D$3,G2317)))</f>
        <v/>
      </c>
      <c r="L2317" s="30" t="str">
        <f aca="false">IF(F2317="","",K2317-B2317)</f>
        <v/>
      </c>
      <c r="M2317" s="30" t="str">
        <f aca="false">IF(F2317="","",L2317-J2317)</f>
        <v/>
      </c>
      <c r="N2317" s="32" t="str">
        <f aca="false">IF(F2317="","",IF(H2317&lt;&gt;"","Kapandı",IF('Vade Sapması'!$D$3&gt;G2317,"Açık · vadesi geçti","Açık · vadesi gelmedi")))</f>
        <v/>
      </c>
      <c r="O2317" s="30" t="str">
        <f aca="false">IF(F2317="","",IF(AND(H2317="",'Vade Sapması'!$D$3&gt;G2317),'Vade Sapması'!$D$3-G2317,0))</f>
        <v/>
      </c>
      <c r="P2317" s="33" t="str">
        <f aca="false">IF(F2317="","",F2317*J2317)</f>
        <v/>
      </c>
      <c r="Q2317" s="33" t="str">
        <f aca="false">IF(F2317="","",F2317*L2317)</f>
        <v/>
      </c>
      <c r="R2317" s="33" t="str">
        <f aca="false">IF(F2317="","",IF(H2317="",F2317,0))</f>
        <v/>
      </c>
      <c r="S2317" s="32" t="str">
        <f aca="false">IF(F2317="","",IF(N(O2317)=0,"",IF(O2317&lt;=30,"1-30",IF(O2317&lt;=60,"31-60",IF(O2317&lt;=90,"61-90","90+")))))</f>
        <v/>
      </c>
      <c r="T2317" s="32" t="str">
        <f aca="false">IF(F2317="","",IF(E2317="","Diğer",E2317))</f>
        <v/>
      </c>
      <c r="U2317" s="32" t="str">
        <f aca="false">IF(OR(F2317="",C2317=""),"",IF(COUNTIF($C$2:C2317,C2317)=1,MAX($U$1:U2316)+1,""))</f>
        <v/>
      </c>
    </row>
    <row r="2318" customFormat="false" ht="15" hidden="false" customHeight="false" outlineLevel="0" collapsed="false">
      <c r="A2318" s="34"/>
      <c r="B2318" s="9"/>
      <c r="C2318" s="34"/>
      <c r="D2318" s="34"/>
      <c r="E2318" s="34"/>
      <c r="F2318" s="35"/>
      <c r="G2318" s="9"/>
      <c r="H2318" s="9"/>
      <c r="I2318" s="34"/>
      <c r="J2318" s="30" t="str">
        <f aca="false">IF(F2318="","",G2318-B2318)</f>
        <v/>
      </c>
      <c r="K2318" s="31" t="str">
        <f aca="false">IF(F2318="","",IF(H2318&lt;&gt;"",H2318,MAX('Vade Sapması'!$D$3,G2318)))</f>
        <v/>
      </c>
      <c r="L2318" s="30" t="str">
        <f aca="false">IF(F2318="","",K2318-B2318)</f>
        <v/>
      </c>
      <c r="M2318" s="30" t="str">
        <f aca="false">IF(F2318="","",L2318-J2318)</f>
        <v/>
      </c>
      <c r="N2318" s="32" t="str">
        <f aca="false">IF(F2318="","",IF(H2318&lt;&gt;"","Kapandı",IF('Vade Sapması'!$D$3&gt;G2318,"Açık · vadesi geçti","Açık · vadesi gelmedi")))</f>
        <v/>
      </c>
      <c r="O2318" s="30" t="str">
        <f aca="false">IF(F2318="","",IF(AND(H2318="",'Vade Sapması'!$D$3&gt;G2318),'Vade Sapması'!$D$3-G2318,0))</f>
        <v/>
      </c>
      <c r="P2318" s="33" t="str">
        <f aca="false">IF(F2318="","",F2318*J2318)</f>
        <v/>
      </c>
      <c r="Q2318" s="33" t="str">
        <f aca="false">IF(F2318="","",F2318*L2318)</f>
        <v/>
      </c>
      <c r="R2318" s="33" t="str">
        <f aca="false">IF(F2318="","",IF(H2318="",F2318,0))</f>
        <v/>
      </c>
      <c r="S2318" s="32" t="str">
        <f aca="false">IF(F2318="","",IF(N(O2318)=0,"",IF(O2318&lt;=30,"1-30",IF(O2318&lt;=60,"31-60",IF(O2318&lt;=90,"61-90","90+")))))</f>
        <v/>
      </c>
      <c r="T2318" s="32" t="str">
        <f aca="false">IF(F2318="","",IF(E2318="","Diğer",E2318))</f>
        <v/>
      </c>
      <c r="U2318" s="32" t="str">
        <f aca="false">IF(OR(F2318="",C2318=""),"",IF(COUNTIF($C$2:C2318,C2318)=1,MAX($U$1:U2317)+1,""))</f>
        <v/>
      </c>
    </row>
    <row r="2319" customFormat="false" ht="15" hidden="false" customHeight="false" outlineLevel="0" collapsed="false">
      <c r="A2319" s="34"/>
      <c r="B2319" s="9"/>
      <c r="C2319" s="34"/>
      <c r="D2319" s="34"/>
      <c r="E2319" s="34"/>
      <c r="F2319" s="35"/>
      <c r="G2319" s="9"/>
      <c r="H2319" s="9"/>
      <c r="I2319" s="34"/>
      <c r="J2319" s="30" t="str">
        <f aca="false">IF(F2319="","",G2319-B2319)</f>
        <v/>
      </c>
      <c r="K2319" s="31" t="str">
        <f aca="false">IF(F2319="","",IF(H2319&lt;&gt;"",H2319,MAX('Vade Sapması'!$D$3,G2319)))</f>
        <v/>
      </c>
      <c r="L2319" s="30" t="str">
        <f aca="false">IF(F2319="","",K2319-B2319)</f>
        <v/>
      </c>
      <c r="M2319" s="30" t="str">
        <f aca="false">IF(F2319="","",L2319-J2319)</f>
        <v/>
      </c>
      <c r="N2319" s="32" t="str">
        <f aca="false">IF(F2319="","",IF(H2319&lt;&gt;"","Kapandı",IF('Vade Sapması'!$D$3&gt;G2319,"Açık · vadesi geçti","Açık · vadesi gelmedi")))</f>
        <v/>
      </c>
      <c r="O2319" s="30" t="str">
        <f aca="false">IF(F2319="","",IF(AND(H2319="",'Vade Sapması'!$D$3&gt;G2319),'Vade Sapması'!$D$3-G2319,0))</f>
        <v/>
      </c>
      <c r="P2319" s="33" t="str">
        <f aca="false">IF(F2319="","",F2319*J2319)</f>
        <v/>
      </c>
      <c r="Q2319" s="33" t="str">
        <f aca="false">IF(F2319="","",F2319*L2319)</f>
        <v/>
      </c>
      <c r="R2319" s="33" t="str">
        <f aca="false">IF(F2319="","",IF(H2319="",F2319,0))</f>
        <v/>
      </c>
      <c r="S2319" s="32" t="str">
        <f aca="false">IF(F2319="","",IF(N(O2319)=0,"",IF(O2319&lt;=30,"1-30",IF(O2319&lt;=60,"31-60",IF(O2319&lt;=90,"61-90","90+")))))</f>
        <v/>
      </c>
      <c r="T2319" s="32" t="str">
        <f aca="false">IF(F2319="","",IF(E2319="","Diğer",E2319))</f>
        <v/>
      </c>
      <c r="U2319" s="32" t="str">
        <f aca="false">IF(OR(F2319="",C2319=""),"",IF(COUNTIF($C$2:C2319,C2319)=1,MAX($U$1:U2318)+1,""))</f>
        <v/>
      </c>
    </row>
    <row r="2320" customFormat="false" ht="15" hidden="false" customHeight="false" outlineLevel="0" collapsed="false">
      <c r="A2320" s="34"/>
      <c r="B2320" s="9"/>
      <c r="C2320" s="34"/>
      <c r="D2320" s="34"/>
      <c r="E2320" s="34"/>
      <c r="F2320" s="35"/>
      <c r="G2320" s="9"/>
      <c r="H2320" s="9"/>
      <c r="I2320" s="34"/>
      <c r="J2320" s="30" t="str">
        <f aca="false">IF(F2320="","",G2320-B2320)</f>
        <v/>
      </c>
      <c r="K2320" s="31" t="str">
        <f aca="false">IF(F2320="","",IF(H2320&lt;&gt;"",H2320,MAX('Vade Sapması'!$D$3,G2320)))</f>
        <v/>
      </c>
      <c r="L2320" s="30" t="str">
        <f aca="false">IF(F2320="","",K2320-B2320)</f>
        <v/>
      </c>
      <c r="M2320" s="30" t="str">
        <f aca="false">IF(F2320="","",L2320-J2320)</f>
        <v/>
      </c>
      <c r="N2320" s="32" t="str">
        <f aca="false">IF(F2320="","",IF(H2320&lt;&gt;"","Kapandı",IF('Vade Sapması'!$D$3&gt;G2320,"Açık · vadesi geçti","Açık · vadesi gelmedi")))</f>
        <v/>
      </c>
      <c r="O2320" s="30" t="str">
        <f aca="false">IF(F2320="","",IF(AND(H2320="",'Vade Sapması'!$D$3&gt;G2320),'Vade Sapması'!$D$3-G2320,0))</f>
        <v/>
      </c>
      <c r="P2320" s="33" t="str">
        <f aca="false">IF(F2320="","",F2320*J2320)</f>
        <v/>
      </c>
      <c r="Q2320" s="33" t="str">
        <f aca="false">IF(F2320="","",F2320*L2320)</f>
        <v/>
      </c>
      <c r="R2320" s="33" t="str">
        <f aca="false">IF(F2320="","",IF(H2320="",F2320,0))</f>
        <v/>
      </c>
      <c r="S2320" s="32" t="str">
        <f aca="false">IF(F2320="","",IF(N(O2320)=0,"",IF(O2320&lt;=30,"1-30",IF(O2320&lt;=60,"31-60",IF(O2320&lt;=90,"61-90","90+")))))</f>
        <v/>
      </c>
      <c r="T2320" s="32" t="str">
        <f aca="false">IF(F2320="","",IF(E2320="","Diğer",E2320))</f>
        <v/>
      </c>
      <c r="U2320" s="32" t="str">
        <f aca="false">IF(OR(F2320="",C2320=""),"",IF(COUNTIF($C$2:C2320,C2320)=1,MAX($U$1:U2319)+1,""))</f>
        <v/>
      </c>
    </row>
    <row r="2321" customFormat="false" ht="15" hidden="false" customHeight="false" outlineLevel="0" collapsed="false">
      <c r="A2321" s="34"/>
      <c r="B2321" s="9"/>
      <c r="C2321" s="34"/>
      <c r="D2321" s="34"/>
      <c r="E2321" s="34"/>
      <c r="F2321" s="35"/>
      <c r="G2321" s="9"/>
      <c r="H2321" s="9"/>
      <c r="I2321" s="34"/>
      <c r="J2321" s="30" t="str">
        <f aca="false">IF(F2321="","",G2321-B2321)</f>
        <v/>
      </c>
      <c r="K2321" s="31" t="str">
        <f aca="false">IF(F2321="","",IF(H2321&lt;&gt;"",H2321,MAX('Vade Sapması'!$D$3,G2321)))</f>
        <v/>
      </c>
      <c r="L2321" s="30" t="str">
        <f aca="false">IF(F2321="","",K2321-B2321)</f>
        <v/>
      </c>
      <c r="M2321" s="30" t="str">
        <f aca="false">IF(F2321="","",L2321-J2321)</f>
        <v/>
      </c>
      <c r="N2321" s="32" t="str">
        <f aca="false">IF(F2321="","",IF(H2321&lt;&gt;"","Kapandı",IF('Vade Sapması'!$D$3&gt;G2321,"Açık · vadesi geçti","Açık · vadesi gelmedi")))</f>
        <v/>
      </c>
      <c r="O2321" s="30" t="str">
        <f aca="false">IF(F2321="","",IF(AND(H2321="",'Vade Sapması'!$D$3&gt;G2321),'Vade Sapması'!$D$3-G2321,0))</f>
        <v/>
      </c>
      <c r="P2321" s="33" t="str">
        <f aca="false">IF(F2321="","",F2321*J2321)</f>
        <v/>
      </c>
      <c r="Q2321" s="33" t="str">
        <f aca="false">IF(F2321="","",F2321*L2321)</f>
        <v/>
      </c>
      <c r="R2321" s="33" t="str">
        <f aca="false">IF(F2321="","",IF(H2321="",F2321,0))</f>
        <v/>
      </c>
      <c r="S2321" s="32" t="str">
        <f aca="false">IF(F2321="","",IF(N(O2321)=0,"",IF(O2321&lt;=30,"1-30",IF(O2321&lt;=60,"31-60",IF(O2321&lt;=90,"61-90","90+")))))</f>
        <v/>
      </c>
      <c r="T2321" s="32" t="str">
        <f aca="false">IF(F2321="","",IF(E2321="","Diğer",E2321))</f>
        <v/>
      </c>
      <c r="U2321" s="32" t="str">
        <f aca="false">IF(OR(F2321="",C2321=""),"",IF(COUNTIF($C$2:C2321,C2321)=1,MAX($U$1:U2320)+1,""))</f>
        <v/>
      </c>
    </row>
    <row r="2322" customFormat="false" ht="15" hidden="false" customHeight="false" outlineLevel="0" collapsed="false">
      <c r="A2322" s="34"/>
      <c r="B2322" s="9"/>
      <c r="C2322" s="34"/>
      <c r="D2322" s="34"/>
      <c r="E2322" s="34"/>
      <c r="F2322" s="35"/>
      <c r="G2322" s="9"/>
      <c r="H2322" s="9"/>
      <c r="I2322" s="34"/>
      <c r="J2322" s="30" t="str">
        <f aca="false">IF(F2322="","",G2322-B2322)</f>
        <v/>
      </c>
      <c r="K2322" s="31" t="str">
        <f aca="false">IF(F2322="","",IF(H2322&lt;&gt;"",H2322,MAX('Vade Sapması'!$D$3,G2322)))</f>
        <v/>
      </c>
      <c r="L2322" s="30" t="str">
        <f aca="false">IF(F2322="","",K2322-B2322)</f>
        <v/>
      </c>
      <c r="M2322" s="30" t="str">
        <f aca="false">IF(F2322="","",L2322-J2322)</f>
        <v/>
      </c>
      <c r="N2322" s="32" t="str">
        <f aca="false">IF(F2322="","",IF(H2322&lt;&gt;"","Kapandı",IF('Vade Sapması'!$D$3&gt;G2322,"Açık · vadesi geçti","Açık · vadesi gelmedi")))</f>
        <v/>
      </c>
      <c r="O2322" s="30" t="str">
        <f aca="false">IF(F2322="","",IF(AND(H2322="",'Vade Sapması'!$D$3&gt;G2322),'Vade Sapması'!$D$3-G2322,0))</f>
        <v/>
      </c>
      <c r="P2322" s="33" t="str">
        <f aca="false">IF(F2322="","",F2322*J2322)</f>
        <v/>
      </c>
      <c r="Q2322" s="33" t="str">
        <f aca="false">IF(F2322="","",F2322*L2322)</f>
        <v/>
      </c>
      <c r="R2322" s="33" t="str">
        <f aca="false">IF(F2322="","",IF(H2322="",F2322,0))</f>
        <v/>
      </c>
      <c r="S2322" s="32" t="str">
        <f aca="false">IF(F2322="","",IF(N(O2322)=0,"",IF(O2322&lt;=30,"1-30",IF(O2322&lt;=60,"31-60",IF(O2322&lt;=90,"61-90","90+")))))</f>
        <v/>
      </c>
      <c r="T2322" s="32" t="str">
        <f aca="false">IF(F2322="","",IF(E2322="","Diğer",E2322))</f>
        <v/>
      </c>
      <c r="U2322" s="32" t="str">
        <f aca="false">IF(OR(F2322="",C2322=""),"",IF(COUNTIF($C$2:C2322,C2322)=1,MAX($U$1:U2321)+1,""))</f>
        <v/>
      </c>
    </row>
    <row r="2323" customFormat="false" ht="15" hidden="false" customHeight="false" outlineLevel="0" collapsed="false">
      <c r="A2323" s="34"/>
      <c r="B2323" s="9"/>
      <c r="C2323" s="34"/>
      <c r="D2323" s="34"/>
      <c r="E2323" s="34"/>
      <c r="F2323" s="35"/>
      <c r="G2323" s="9"/>
      <c r="H2323" s="9"/>
      <c r="I2323" s="34"/>
      <c r="J2323" s="30" t="str">
        <f aca="false">IF(F2323="","",G2323-B2323)</f>
        <v/>
      </c>
      <c r="K2323" s="31" t="str">
        <f aca="false">IF(F2323="","",IF(H2323&lt;&gt;"",H2323,MAX('Vade Sapması'!$D$3,G2323)))</f>
        <v/>
      </c>
      <c r="L2323" s="30" t="str">
        <f aca="false">IF(F2323="","",K2323-B2323)</f>
        <v/>
      </c>
      <c r="M2323" s="30" t="str">
        <f aca="false">IF(F2323="","",L2323-J2323)</f>
        <v/>
      </c>
      <c r="N2323" s="32" t="str">
        <f aca="false">IF(F2323="","",IF(H2323&lt;&gt;"","Kapandı",IF('Vade Sapması'!$D$3&gt;G2323,"Açık · vadesi geçti","Açık · vadesi gelmedi")))</f>
        <v/>
      </c>
      <c r="O2323" s="30" t="str">
        <f aca="false">IF(F2323="","",IF(AND(H2323="",'Vade Sapması'!$D$3&gt;G2323),'Vade Sapması'!$D$3-G2323,0))</f>
        <v/>
      </c>
      <c r="P2323" s="33" t="str">
        <f aca="false">IF(F2323="","",F2323*J2323)</f>
        <v/>
      </c>
      <c r="Q2323" s="33" t="str">
        <f aca="false">IF(F2323="","",F2323*L2323)</f>
        <v/>
      </c>
      <c r="R2323" s="33" t="str">
        <f aca="false">IF(F2323="","",IF(H2323="",F2323,0))</f>
        <v/>
      </c>
      <c r="S2323" s="32" t="str">
        <f aca="false">IF(F2323="","",IF(N(O2323)=0,"",IF(O2323&lt;=30,"1-30",IF(O2323&lt;=60,"31-60",IF(O2323&lt;=90,"61-90","90+")))))</f>
        <v/>
      </c>
      <c r="T2323" s="32" t="str">
        <f aca="false">IF(F2323="","",IF(E2323="","Diğer",E2323))</f>
        <v/>
      </c>
      <c r="U2323" s="32" t="str">
        <f aca="false">IF(OR(F2323="",C2323=""),"",IF(COUNTIF($C$2:C2323,C2323)=1,MAX($U$1:U2322)+1,""))</f>
        <v/>
      </c>
    </row>
    <row r="2324" customFormat="false" ht="15" hidden="false" customHeight="false" outlineLevel="0" collapsed="false">
      <c r="A2324" s="34"/>
      <c r="B2324" s="9"/>
      <c r="C2324" s="34"/>
      <c r="D2324" s="34"/>
      <c r="E2324" s="34"/>
      <c r="F2324" s="35"/>
      <c r="G2324" s="9"/>
      <c r="H2324" s="9"/>
      <c r="I2324" s="34"/>
      <c r="J2324" s="30" t="str">
        <f aca="false">IF(F2324="","",G2324-B2324)</f>
        <v/>
      </c>
      <c r="K2324" s="31" t="str">
        <f aca="false">IF(F2324="","",IF(H2324&lt;&gt;"",H2324,MAX('Vade Sapması'!$D$3,G2324)))</f>
        <v/>
      </c>
      <c r="L2324" s="30" t="str">
        <f aca="false">IF(F2324="","",K2324-B2324)</f>
        <v/>
      </c>
      <c r="M2324" s="30" t="str">
        <f aca="false">IF(F2324="","",L2324-J2324)</f>
        <v/>
      </c>
      <c r="N2324" s="32" t="str">
        <f aca="false">IF(F2324="","",IF(H2324&lt;&gt;"","Kapandı",IF('Vade Sapması'!$D$3&gt;G2324,"Açık · vadesi geçti","Açık · vadesi gelmedi")))</f>
        <v/>
      </c>
      <c r="O2324" s="30" t="str">
        <f aca="false">IF(F2324="","",IF(AND(H2324="",'Vade Sapması'!$D$3&gt;G2324),'Vade Sapması'!$D$3-G2324,0))</f>
        <v/>
      </c>
      <c r="P2324" s="33" t="str">
        <f aca="false">IF(F2324="","",F2324*J2324)</f>
        <v/>
      </c>
      <c r="Q2324" s="33" t="str">
        <f aca="false">IF(F2324="","",F2324*L2324)</f>
        <v/>
      </c>
      <c r="R2324" s="33" t="str">
        <f aca="false">IF(F2324="","",IF(H2324="",F2324,0))</f>
        <v/>
      </c>
      <c r="S2324" s="32" t="str">
        <f aca="false">IF(F2324="","",IF(N(O2324)=0,"",IF(O2324&lt;=30,"1-30",IF(O2324&lt;=60,"31-60",IF(O2324&lt;=90,"61-90","90+")))))</f>
        <v/>
      </c>
      <c r="T2324" s="32" t="str">
        <f aca="false">IF(F2324="","",IF(E2324="","Diğer",E2324))</f>
        <v/>
      </c>
      <c r="U2324" s="32" t="str">
        <f aca="false">IF(OR(F2324="",C2324=""),"",IF(COUNTIF($C$2:C2324,C2324)=1,MAX($U$1:U2323)+1,""))</f>
        <v/>
      </c>
    </row>
    <row r="2325" customFormat="false" ht="15" hidden="false" customHeight="false" outlineLevel="0" collapsed="false">
      <c r="A2325" s="34"/>
      <c r="B2325" s="9"/>
      <c r="C2325" s="34"/>
      <c r="D2325" s="34"/>
      <c r="E2325" s="34"/>
      <c r="F2325" s="35"/>
      <c r="G2325" s="9"/>
      <c r="H2325" s="9"/>
      <c r="I2325" s="34"/>
      <c r="J2325" s="30" t="str">
        <f aca="false">IF(F2325="","",G2325-B2325)</f>
        <v/>
      </c>
      <c r="K2325" s="31" t="str">
        <f aca="false">IF(F2325="","",IF(H2325&lt;&gt;"",H2325,MAX('Vade Sapması'!$D$3,G2325)))</f>
        <v/>
      </c>
      <c r="L2325" s="30" t="str">
        <f aca="false">IF(F2325="","",K2325-B2325)</f>
        <v/>
      </c>
      <c r="M2325" s="30" t="str">
        <f aca="false">IF(F2325="","",L2325-J2325)</f>
        <v/>
      </c>
      <c r="N2325" s="32" t="str">
        <f aca="false">IF(F2325="","",IF(H2325&lt;&gt;"","Kapandı",IF('Vade Sapması'!$D$3&gt;G2325,"Açık · vadesi geçti","Açık · vadesi gelmedi")))</f>
        <v/>
      </c>
      <c r="O2325" s="30" t="str">
        <f aca="false">IF(F2325="","",IF(AND(H2325="",'Vade Sapması'!$D$3&gt;G2325),'Vade Sapması'!$D$3-G2325,0))</f>
        <v/>
      </c>
      <c r="P2325" s="33" t="str">
        <f aca="false">IF(F2325="","",F2325*J2325)</f>
        <v/>
      </c>
      <c r="Q2325" s="33" t="str">
        <f aca="false">IF(F2325="","",F2325*L2325)</f>
        <v/>
      </c>
      <c r="R2325" s="33" t="str">
        <f aca="false">IF(F2325="","",IF(H2325="",F2325,0))</f>
        <v/>
      </c>
      <c r="S2325" s="32" t="str">
        <f aca="false">IF(F2325="","",IF(N(O2325)=0,"",IF(O2325&lt;=30,"1-30",IF(O2325&lt;=60,"31-60",IF(O2325&lt;=90,"61-90","90+")))))</f>
        <v/>
      </c>
      <c r="T2325" s="32" t="str">
        <f aca="false">IF(F2325="","",IF(E2325="","Diğer",E2325))</f>
        <v/>
      </c>
      <c r="U2325" s="32" t="str">
        <f aca="false">IF(OR(F2325="",C2325=""),"",IF(COUNTIF($C$2:C2325,C2325)=1,MAX($U$1:U2324)+1,""))</f>
        <v/>
      </c>
    </row>
    <row r="2326" customFormat="false" ht="15" hidden="false" customHeight="false" outlineLevel="0" collapsed="false">
      <c r="A2326" s="34"/>
      <c r="B2326" s="9"/>
      <c r="C2326" s="34"/>
      <c r="D2326" s="34"/>
      <c r="E2326" s="34"/>
      <c r="F2326" s="35"/>
      <c r="G2326" s="9"/>
      <c r="H2326" s="9"/>
      <c r="I2326" s="34"/>
      <c r="J2326" s="30" t="str">
        <f aca="false">IF(F2326="","",G2326-B2326)</f>
        <v/>
      </c>
      <c r="K2326" s="31" t="str">
        <f aca="false">IF(F2326="","",IF(H2326&lt;&gt;"",H2326,MAX('Vade Sapması'!$D$3,G2326)))</f>
        <v/>
      </c>
      <c r="L2326" s="30" t="str">
        <f aca="false">IF(F2326="","",K2326-B2326)</f>
        <v/>
      </c>
      <c r="M2326" s="30" t="str">
        <f aca="false">IF(F2326="","",L2326-J2326)</f>
        <v/>
      </c>
      <c r="N2326" s="32" t="str">
        <f aca="false">IF(F2326="","",IF(H2326&lt;&gt;"","Kapandı",IF('Vade Sapması'!$D$3&gt;G2326,"Açık · vadesi geçti","Açık · vadesi gelmedi")))</f>
        <v/>
      </c>
      <c r="O2326" s="30" t="str">
        <f aca="false">IF(F2326="","",IF(AND(H2326="",'Vade Sapması'!$D$3&gt;G2326),'Vade Sapması'!$D$3-G2326,0))</f>
        <v/>
      </c>
      <c r="P2326" s="33" t="str">
        <f aca="false">IF(F2326="","",F2326*J2326)</f>
        <v/>
      </c>
      <c r="Q2326" s="33" t="str">
        <f aca="false">IF(F2326="","",F2326*L2326)</f>
        <v/>
      </c>
      <c r="R2326" s="33" t="str">
        <f aca="false">IF(F2326="","",IF(H2326="",F2326,0))</f>
        <v/>
      </c>
      <c r="S2326" s="32" t="str">
        <f aca="false">IF(F2326="","",IF(N(O2326)=0,"",IF(O2326&lt;=30,"1-30",IF(O2326&lt;=60,"31-60",IF(O2326&lt;=90,"61-90","90+")))))</f>
        <v/>
      </c>
      <c r="T2326" s="32" t="str">
        <f aca="false">IF(F2326="","",IF(E2326="","Diğer",E2326))</f>
        <v/>
      </c>
      <c r="U2326" s="32" t="str">
        <f aca="false">IF(OR(F2326="",C2326=""),"",IF(COUNTIF($C$2:C2326,C2326)=1,MAX($U$1:U2325)+1,""))</f>
        <v/>
      </c>
    </row>
    <row r="2327" customFormat="false" ht="15" hidden="false" customHeight="false" outlineLevel="0" collapsed="false">
      <c r="A2327" s="34"/>
      <c r="B2327" s="9"/>
      <c r="C2327" s="34"/>
      <c r="D2327" s="34"/>
      <c r="E2327" s="34"/>
      <c r="F2327" s="35"/>
      <c r="G2327" s="9"/>
      <c r="H2327" s="9"/>
      <c r="I2327" s="34"/>
      <c r="J2327" s="30" t="str">
        <f aca="false">IF(F2327="","",G2327-B2327)</f>
        <v/>
      </c>
      <c r="K2327" s="31" t="str">
        <f aca="false">IF(F2327="","",IF(H2327&lt;&gt;"",H2327,MAX('Vade Sapması'!$D$3,G2327)))</f>
        <v/>
      </c>
      <c r="L2327" s="30" t="str">
        <f aca="false">IF(F2327="","",K2327-B2327)</f>
        <v/>
      </c>
      <c r="M2327" s="30" t="str">
        <f aca="false">IF(F2327="","",L2327-J2327)</f>
        <v/>
      </c>
      <c r="N2327" s="32" t="str">
        <f aca="false">IF(F2327="","",IF(H2327&lt;&gt;"","Kapandı",IF('Vade Sapması'!$D$3&gt;G2327,"Açık · vadesi geçti","Açık · vadesi gelmedi")))</f>
        <v/>
      </c>
      <c r="O2327" s="30" t="str">
        <f aca="false">IF(F2327="","",IF(AND(H2327="",'Vade Sapması'!$D$3&gt;G2327),'Vade Sapması'!$D$3-G2327,0))</f>
        <v/>
      </c>
      <c r="P2327" s="33" t="str">
        <f aca="false">IF(F2327="","",F2327*J2327)</f>
        <v/>
      </c>
      <c r="Q2327" s="33" t="str">
        <f aca="false">IF(F2327="","",F2327*L2327)</f>
        <v/>
      </c>
      <c r="R2327" s="33" t="str">
        <f aca="false">IF(F2327="","",IF(H2327="",F2327,0))</f>
        <v/>
      </c>
      <c r="S2327" s="32" t="str">
        <f aca="false">IF(F2327="","",IF(N(O2327)=0,"",IF(O2327&lt;=30,"1-30",IF(O2327&lt;=60,"31-60",IF(O2327&lt;=90,"61-90","90+")))))</f>
        <v/>
      </c>
      <c r="T2327" s="32" t="str">
        <f aca="false">IF(F2327="","",IF(E2327="","Diğer",E2327))</f>
        <v/>
      </c>
      <c r="U2327" s="32" t="str">
        <f aca="false">IF(OR(F2327="",C2327=""),"",IF(COUNTIF($C$2:C2327,C2327)=1,MAX($U$1:U2326)+1,""))</f>
        <v/>
      </c>
    </row>
    <row r="2328" customFormat="false" ht="15" hidden="false" customHeight="false" outlineLevel="0" collapsed="false">
      <c r="A2328" s="34"/>
      <c r="B2328" s="9"/>
      <c r="C2328" s="34"/>
      <c r="D2328" s="34"/>
      <c r="E2328" s="34"/>
      <c r="F2328" s="35"/>
      <c r="G2328" s="9"/>
      <c r="H2328" s="9"/>
      <c r="I2328" s="34"/>
      <c r="J2328" s="30" t="str">
        <f aca="false">IF(F2328="","",G2328-B2328)</f>
        <v/>
      </c>
      <c r="K2328" s="31" t="str">
        <f aca="false">IF(F2328="","",IF(H2328&lt;&gt;"",H2328,MAX('Vade Sapması'!$D$3,G2328)))</f>
        <v/>
      </c>
      <c r="L2328" s="30" t="str">
        <f aca="false">IF(F2328="","",K2328-B2328)</f>
        <v/>
      </c>
      <c r="M2328" s="30" t="str">
        <f aca="false">IF(F2328="","",L2328-J2328)</f>
        <v/>
      </c>
      <c r="N2328" s="32" t="str">
        <f aca="false">IF(F2328="","",IF(H2328&lt;&gt;"","Kapandı",IF('Vade Sapması'!$D$3&gt;G2328,"Açık · vadesi geçti","Açık · vadesi gelmedi")))</f>
        <v/>
      </c>
      <c r="O2328" s="30" t="str">
        <f aca="false">IF(F2328="","",IF(AND(H2328="",'Vade Sapması'!$D$3&gt;G2328),'Vade Sapması'!$D$3-G2328,0))</f>
        <v/>
      </c>
      <c r="P2328" s="33" t="str">
        <f aca="false">IF(F2328="","",F2328*J2328)</f>
        <v/>
      </c>
      <c r="Q2328" s="33" t="str">
        <f aca="false">IF(F2328="","",F2328*L2328)</f>
        <v/>
      </c>
      <c r="R2328" s="33" t="str">
        <f aca="false">IF(F2328="","",IF(H2328="",F2328,0))</f>
        <v/>
      </c>
      <c r="S2328" s="32" t="str">
        <f aca="false">IF(F2328="","",IF(N(O2328)=0,"",IF(O2328&lt;=30,"1-30",IF(O2328&lt;=60,"31-60",IF(O2328&lt;=90,"61-90","90+")))))</f>
        <v/>
      </c>
      <c r="T2328" s="32" t="str">
        <f aca="false">IF(F2328="","",IF(E2328="","Diğer",E2328))</f>
        <v/>
      </c>
      <c r="U2328" s="32" t="str">
        <f aca="false">IF(OR(F2328="",C2328=""),"",IF(COUNTIF($C$2:C2328,C2328)=1,MAX($U$1:U2327)+1,""))</f>
        <v/>
      </c>
    </row>
    <row r="2329" customFormat="false" ht="15" hidden="false" customHeight="false" outlineLevel="0" collapsed="false">
      <c r="A2329" s="34"/>
      <c r="B2329" s="9"/>
      <c r="C2329" s="34"/>
      <c r="D2329" s="34"/>
      <c r="E2329" s="34"/>
      <c r="F2329" s="35"/>
      <c r="G2329" s="9"/>
      <c r="H2329" s="9"/>
      <c r="I2329" s="34"/>
      <c r="J2329" s="30" t="str">
        <f aca="false">IF(F2329="","",G2329-B2329)</f>
        <v/>
      </c>
      <c r="K2329" s="31" t="str">
        <f aca="false">IF(F2329="","",IF(H2329&lt;&gt;"",H2329,MAX('Vade Sapması'!$D$3,G2329)))</f>
        <v/>
      </c>
      <c r="L2329" s="30" t="str">
        <f aca="false">IF(F2329="","",K2329-B2329)</f>
        <v/>
      </c>
      <c r="M2329" s="30" t="str">
        <f aca="false">IF(F2329="","",L2329-J2329)</f>
        <v/>
      </c>
      <c r="N2329" s="32" t="str">
        <f aca="false">IF(F2329="","",IF(H2329&lt;&gt;"","Kapandı",IF('Vade Sapması'!$D$3&gt;G2329,"Açık · vadesi geçti","Açık · vadesi gelmedi")))</f>
        <v/>
      </c>
      <c r="O2329" s="30" t="str">
        <f aca="false">IF(F2329="","",IF(AND(H2329="",'Vade Sapması'!$D$3&gt;G2329),'Vade Sapması'!$D$3-G2329,0))</f>
        <v/>
      </c>
      <c r="P2329" s="33" t="str">
        <f aca="false">IF(F2329="","",F2329*J2329)</f>
        <v/>
      </c>
      <c r="Q2329" s="33" t="str">
        <f aca="false">IF(F2329="","",F2329*L2329)</f>
        <v/>
      </c>
      <c r="R2329" s="33" t="str">
        <f aca="false">IF(F2329="","",IF(H2329="",F2329,0))</f>
        <v/>
      </c>
      <c r="S2329" s="32" t="str">
        <f aca="false">IF(F2329="","",IF(N(O2329)=0,"",IF(O2329&lt;=30,"1-30",IF(O2329&lt;=60,"31-60",IF(O2329&lt;=90,"61-90","90+")))))</f>
        <v/>
      </c>
      <c r="T2329" s="32" t="str">
        <f aca="false">IF(F2329="","",IF(E2329="","Diğer",E2329))</f>
        <v/>
      </c>
      <c r="U2329" s="32" t="str">
        <f aca="false">IF(OR(F2329="",C2329=""),"",IF(COUNTIF($C$2:C2329,C2329)=1,MAX($U$1:U2328)+1,""))</f>
        <v/>
      </c>
    </row>
    <row r="2330" customFormat="false" ht="15" hidden="false" customHeight="false" outlineLevel="0" collapsed="false">
      <c r="A2330" s="34"/>
      <c r="B2330" s="9"/>
      <c r="C2330" s="34"/>
      <c r="D2330" s="34"/>
      <c r="E2330" s="34"/>
      <c r="F2330" s="35"/>
      <c r="G2330" s="9"/>
      <c r="H2330" s="9"/>
      <c r="I2330" s="34"/>
      <c r="J2330" s="30" t="str">
        <f aca="false">IF(F2330="","",G2330-B2330)</f>
        <v/>
      </c>
      <c r="K2330" s="31" t="str">
        <f aca="false">IF(F2330="","",IF(H2330&lt;&gt;"",H2330,MAX('Vade Sapması'!$D$3,G2330)))</f>
        <v/>
      </c>
      <c r="L2330" s="30" t="str">
        <f aca="false">IF(F2330="","",K2330-B2330)</f>
        <v/>
      </c>
      <c r="M2330" s="30" t="str">
        <f aca="false">IF(F2330="","",L2330-J2330)</f>
        <v/>
      </c>
      <c r="N2330" s="32" t="str">
        <f aca="false">IF(F2330="","",IF(H2330&lt;&gt;"","Kapandı",IF('Vade Sapması'!$D$3&gt;G2330,"Açık · vadesi geçti","Açık · vadesi gelmedi")))</f>
        <v/>
      </c>
      <c r="O2330" s="30" t="str">
        <f aca="false">IF(F2330="","",IF(AND(H2330="",'Vade Sapması'!$D$3&gt;G2330),'Vade Sapması'!$D$3-G2330,0))</f>
        <v/>
      </c>
      <c r="P2330" s="33" t="str">
        <f aca="false">IF(F2330="","",F2330*J2330)</f>
        <v/>
      </c>
      <c r="Q2330" s="33" t="str">
        <f aca="false">IF(F2330="","",F2330*L2330)</f>
        <v/>
      </c>
      <c r="R2330" s="33" t="str">
        <f aca="false">IF(F2330="","",IF(H2330="",F2330,0))</f>
        <v/>
      </c>
      <c r="S2330" s="32" t="str">
        <f aca="false">IF(F2330="","",IF(N(O2330)=0,"",IF(O2330&lt;=30,"1-30",IF(O2330&lt;=60,"31-60",IF(O2330&lt;=90,"61-90","90+")))))</f>
        <v/>
      </c>
      <c r="T2330" s="32" t="str">
        <f aca="false">IF(F2330="","",IF(E2330="","Diğer",E2330))</f>
        <v/>
      </c>
      <c r="U2330" s="32" t="str">
        <f aca="false">IF(OR(F2330="",C2330=""),"",IF(COUNTIF($C$2:C2330,C2330)=1,MAX($U$1:U2329)+1,""))</f>
        <v/>
      </c>
    </row>
    <row r="2331" customFormat="false" ht="15" hidden="false" customHeight="false" outlineLevel="0" collapsed="false">
      <c r="A2331" s="34"/>
      <c r="B2331" s="9"/>
      <c r="C2331" s="34"/>
      <c r="D2331" s="34"/>
      <c r="E2331" s="34"/>
      <c r="F2331" s="35"/>
      <c r="G2331" s="9"/>
      <c r="H2331" s="9"/>
      <c r="I2331" s="34"/>
      <c r="J2331" s="30" t="str">
        <f aca="false">IF(F2331="","",G2331-B2331)</f>
        <v/>
      </c>
      <c r="K2331" s="31" t="str">
        <f aca="false">IF(F2331="","",IF(H2331&lt;&gt;"",H2331,MAX('Vade Sapması'!$D$3,G2331)))</f>
        <v/>
      </c>
      <c r="L2331" s="30" t="str">
        <f aca="false">IF(F2331="","",K2331-B2331)</f>
        <v/>
      </c>
      <c r="M2331" s="30" t="str">
        <f aca="false">IF(F2331="","",L2331-J2331)</f>
        <v/>
      </c>
      <c r="N2331" s="32" t="str">
        <f aca="false">IF(F2331="","",IF(H2331&lt;&gt;"","Kapandı",IF('Vade Sapması'!$D$3&gt;G2331,"Açık · vadesi geçti","Açık · vadesi gelmedi")))</f>
        <v/>
      </c>
      <c r="O2331" s="30" t="str">
        <f aca="false">IF(F2331="","",IF(AND(H2331="",'Vade Sapması'!$D$3&gt;G2331),'Vade Sapması'!$D$3-G2331,0))</f>
        <v/>
      </c>
      <c r="P2331" s="33" t="str">
        <f aca="false">IF(F2331="","",F2331*J2331)</f>
        <v/>
      </c>
      <c r="Q2331" s="33" t="str">
        <f aca="false">IF(F2331="","",F2331*L2331)</f>
        <v/>
      </c>
      <c r="R2331" s="33" t="str">
        <f aca="false">IF(F2331="","",IF(H2331="",F2331,0))</f>
        <v/>
      </c>
      <c r="S2331" s="32" t="str">
        <f aca="false">IF(F2331="","",IF(N(O2331)=0,"",IF(O2331&lt;=30,"1-30",IF(O2331&lt;=60,"31-60",IF(O2331&lt;=90,"61-90","90+")))))</f>
        <v/>
      </c>
      <c r="T2331" s="32" t="str">
        <f aca="false">IF(F2331="","",IF(E2331="","Diğer",E2331))</f>
        <v/>
      </c>
      <c r="U2331" s="32" t="str">
        <f aca="false">IF(OR(F2331="",C2331=""),"",IF(COUNTIF($C$2:C2331,C2331)=1,MAX($U$1:U2330)+1,""))</f>
        <v/>
      </c>
    </row>
    <row r="2332" customFormat="false" ht="15" hidden="false" customHeight="false" outlineLevel="0" collapsed="false">
      <c r="A2332" s="34"/>
      <c r="B2332" s="9"/>
      <c r="C2332" s="34"/>
      <c r="D2332" s="34"/>
      <c r="E2332" s="34"/>
      <c r="F2332" s="35"/>
      <c r="G2332" s="9"/>
      <c r="H2332" s="9"/>
      <c r="I2332" s="34"/>
      <c r="J2332" s="30" t="str">
        <f aca="false">IF(F2332="","",G2332-B2332)</f>
        <v/>
      </c>
      <c r="K2332" s="31" t="str">
        <f aca="false">IF(F2332="","",IF(H2332&lt;&gt;"",H2332,MAX('Vade Sapması'!$D$3,G2332)))</f>
        <v/>
      </c>
      <c r="L2332" s="30" t="str">
        <f aca="false">IF(F2332="","",K2332-B2332)</f>
        <v/>
      </c>
      <c r="M2332" s="30" t="str">
        <f aca="false">IF(F2332="","",L2332-J2332)</f>
        <v/>
      </c>
      <c r="N2332" s="32" t="str">
        <f aca="false">IF(F2332="","",IF(H2332&lt;&gt;"","Kapandı",IF('Vade Sapması'!$D$3&gt;G2332,"Açık · vadesi geçti","Açık · vadesi gelmedi")))</f>
        <v/>
      </c>
      <c r="O2332" s="30" t="str">
        <f aca="false">IF(F2332="","",IF(AND(H2332="",'Vade Sapması'!$D$3&gt;G2332),'Vade Sapması'!$D$3-G2332,0))</f>
        <v/>
      </c>
      <c r="P2332" s="33" t="str">
        <f aca="false">IF(F2332="","",F2332*J2332)</f>
        <v/>
      </c>
      <c r="Q2332" s="33" t="str">
        <f aca="false">IF(F2332="","",F2332*L2332)</f>
        <v/>
      </c>
      <c r="R2332" s="33" t="str">
        <f aca="false">IF(F2332="","",IF(H2332="",F2332,0))</f>
        <v/>
      </c>
      <c r="S2332" s="32" t="str">
        <f aca="false">IF(F2332="","",IF(N(O2332)=0,"",IF(O2332&lt;=30,"1-30",IF(O2332&lt;=60,"31-60",IF(O2332&lt;=90,"61-90","90+")))))</f>
        <v/>
      </c>
      <c r="T2332" s="32" t="str">
        <f aca="false">IF(F2332="","",IF(E2332="","Diğer",E2332))</f>
        <v/>
      </c>
      <c r="U2332" s="32" t="str">
        <f aca="false">IF(OR(F2332="",C2332=""),"",IF(COUNTIF($C$2:C2332,C2332)=1,MAX($U$1:U2331)+1,""))</f>
        <v/>
      </c>
    </row>
    <row r="2333" customFormat="false" ht="15" hidden="false" customHeight="false" outlineLevel="0" collapsed="false">
      <c r="A2333" s="34"/>
      <c r="B2333" s="9"/>
      <c r="C2333" s="34"/>
      <c r="D2333" s="34"/>
      <c r="E2333" s="34"/>
      <c r="F2333" s="35"/>
      <c r="G2333" s="9"/>
      <c r="H2333" s="9"/>
      <c r="I2333" s="34"/>
      <c r="J2333" s="30" t="str">
        <f aca="false">IF(F2333="","",G2333-B2333)</f>
        <v/>
      </c>
      <c r="K2333" s="31" t="str">
        <f aca="false">IF(F2333="","",IF(H2333&lt;&gt;"",H2333,MAX('Vade Sapması'!$D$3,G2333)))</f>
        <v/>
      </c>
      <c r="L2333" s="30" t="str">
        <f aca="false">IF(F2333="","",K2333-B2333)</f>
        <v/>
      </c>
      <c r="M2333" s="30" t="str">
        <f aca="false">IF(F2333="","",L2333-J2333)</f>
        <v/>
      </c>
      <c r="N2333" s="32" t="str">
        <f aca="false">IF(F2333="","",IF(H2333&lt;&gt;"","Kapandı",IF('Vade Sapması'!$D$3&gt;G2333,"Açık · vadesi geçti","Açık · vadesi gelmedi")))</f>
        <v/>
      </c>
      <c r="O2333" s="30" t="str">
        <f aca="false">IF(F2333="","",IF(AND(H2333="",'Vade Sapması'!$D$3&gt;G2333),'Vade Sapması'!$D$3-G2333,0))</f>
        <v/>
      </c>
      <c r="P2333" s="33" t="str">
        <f aca="false">IF(F2333="","",F2333*J2333)</f>
        <v/>
      </c>
      <c r="Q2333" s="33" t="str">
        <f aca="false">IF(F2333="","",F2333*L2333)</f>
        <v/>
      </c>
      <c r="R2333" s="33" t="str">
        <f aca="false">IF(F2333="","",IF(H2333="",F2333,0))</f>
        <v/>
      </c>
      <c r="S2333" s="32" t="str">
        <f aca="false">IF(F2333="","",IF(N(O2333)=0,"",IF(O2333&lt;=30,"1-30",IF(O2333&lt;=60,"31-60",IF(O2333&lt;=90,"61-90","90+")))))</f>
        <v/>
      </c>
      <c r="T2333" s="32" t="str">
        <f aca="false">IF(F2333="","",IF(E2333="","Diğer",E2333))</f>
        <v/>
      </c>
      <c r="U2333" s="32" t="str">
        <f aca="false">IF(OR(F2333="",C2333=""),"",IF(COUNTIF($C$2:C2333,C2333)=1,MAX($U$1:U2332)+1,""))</f>
        <v/>
      </c>
    </row>
    <row r="2334" customFormat="false" ht="15" hidden="false" customHeight="false" outlineLevel="0" collapsed="false">
      <c r="A2334" s="34"/>
      <c r="B2334" s="9"/>
      <c r="C2334" s="34"/>
      <c r="D2334" s="34"/>
      <c r="E2334" s="34"/>
      <c r="F2334" s="35"/>
      <c r="G2334" s="9"/>
      <c r="H2334" s="9"/>
      <c r="I2334" s="34"/>
      <c r="J2334" s="30" t="str">
        <f aca="false">IF(F2334="","",G2334-B2334)</f>
        <v/>
      </c>
      <c r="K2334" s="31" t="str">
        <f aca="false">IF(F2334="","",IF(H2334&lt;&gt;"",H2334,MAX('Vade Sapması'!$D$3,G2334)))</f>
        <v/>
      </c>
      <c r="L2334" s="30" t="str">
        <f aca="false">IF(F2334="","",K2334-B2334)</f>
        <v/>
      </c>
      <c r="M2334" s="30" t="str">
        <f aca="false">IF(F2334="","",L2334-J2334)</f>
        <v/>
      </c>
      <c r="N2334" s="32" t="str">
        <f aca="false">IF(F2334="","",IF(H2334&lt;&gt;"","Kapandı",IF('Vade Sapması'!$D$3&gt;G2334,"Açık · vadesi geçti","Açık · vadesi gelmedi")))</f>
        <v/>
      </c>
      <c r="O2334" s="30" t="str">
        <f aca="false">IF(F2334="","",IF(AND(H2334="",'Vade Sapması'!$D$3&gt;G2334),'Vade Sapması'!$D$3-G2334,0))</f>
        <v/>
      </c>
      <c r="P2334" s="33" t="str">
        <f aca="false">IF(F2334="","",F2334*J2334)</f>
        <v/>
      </c>
      <c r="Q2334" s="33" t="str">
        <f aca="false">IF(F2334="","",F2334*L2334)</f>
        <v/>
      </c>
      <c r="R2334" s="33" t="str">
        <f aca="false">IF(F2334="","",IF(H2334="",F2334,0))</f>
        <v/>
      </c>
      <c r="S2334" s="32" t="str">
        <f aca="false">IF(F2334="","",IF(N(O2334)=0,"",IF(O2334&lt;=30,"1-30",IF(O2334&lt;=60,"31-60",IF(O2334&lt;=90,"61-90","90+")))))</f>
        <v/>
      </c>
      <c r="T2334" s="32" t="str">
        <f aca="false">IF(F2334="","",IF(E2334="","Diğer",E2334))</f>
        <v/>
      </c>
      <c r="U2334" s="32" t="str">
        <f aca="false">IF(OR(F2334="",C2334=""),"",IF(COUNTIF($C$2:C2334,C2334)=1,MAX($U$1:U2333)+1,""))</f>
        <v/>
      </c>
    </row>
    <row r="2335" customFormat="false" ht="15" hidden="false" customHeight="false" outlineLevel="0" collapsed="false">
      <c r="A2335" s="34"/>
      <c r="B2335" s="9"/>
      <c r="C2335" s="34"/>
      <c r="D2335" s="34"/>
      <c r="E2335" s="34"/>
      <c r="F2335" s="35"/>
      <c r="G2335" s="9"/>
      <c r="H2335" s="9"/>
      <c r="I2335" s="34"/>
      <c r="J2335" s="30" t="str">
        <f aca="false">IF(F2335="","",G2335-B2335)</f>
        <v/>
      </c>
      <c r="K2335" s="31" t="str">
        <f aca="false">IF(F2335="","",IF(H2335&lt;&gt;"",H2335,MAX('Vade Sapması'!$D$3,G2335)))</f>
        <v/>
      </c>
      <c r="L2335" s="30" t="str">
        <f aca="false">IF(F2335="","",K2335-B2335)</f>
        <v/>
      </c>
      <c r="M2335" s="30" t="str">
        <f aca="false">IF(F2335="","",L2335-J2335)</f>
        <v/>
      </c>
      <c r="N2335" s="32" t="str">
        <f aca="false">IF(F2335="","",IF(H2335&lt;&gt;"","Kapandı",IF('Vade Sapması'!$D$3&gt;G2335,"Açık · vadesi geçti","Açık · vadesi gelmedi")))</f>
        <v/>
      </c>
      <c r="O2335" s="30" t="str">
        <f aca="false">IF(F2335="","",IF(AND(H2335="",'Vade Sapması'!$D$3&gt;G2335),'Vade Sapması'!$D$3-G2335,0))</f>
        <v/>
      </c>
      <c r="P2335" s="33" t="str">
        <f aca="false">IF(F2335="","",F2335*J2335)</f>
        <v/>
      </c>
      <c r="Q2335" s="33" t="str">
        <f aca="false">IF(F2335="","",F2335*L2335)</f>
        <v/>
      </c>
      <c r="R2335" s="33" t="str">
        <f aca="false">IF(F2335="","",IF(H2335="",F2335,0))</f>
        <v/>
      </c>
      <c r="S2335" s="32" t="str">
        <f aca="false">IF(F2335="","",IF(N(O2335)=0,"",IF(O2335&lt;=30,"1-30",IF(O2335&lt;=60,"31-60",IF(O2335&lt;=90,"61-90","90+")))))</f>
        <v/>
      </c>
      <c r="T2335" s="32" t="str">
        <f aca="false">IF(F2335="","",IF(E2335="","Diğer",E2335))</f>
        <v/>
      </c>
      <c r="U2335" s="32" t="str">
        <f aca="false">IF(OR(F2335="",C2335=""),"",IF(COUNTIF($C$2:C2335,C2335)=1,MAX($U$1:U2334)+1,""))</f>
        <v/>
      </c>
    </row>
    <row r="2336" customFormat="false" ht="15" hidden="false" customHeight="false" outlineLevel="0" collapsed="false">
      <c r="A2336" s="34"/>
      <c r="B2336" s="9"/>
      <c r="C2336" s="34"/>
      <c r="D2336" s="34"/>
      <c r="E2336" s="34"/>
      <c r="F2336" s="35"/>
      <c r="G2336" s="9"/>
      <c r="H2336" s="9"/>
      <c r="I2336" s="34"/>
      <c r="J2336" s="30" t="str">
        <f aca="false">IF(F2336="","",G2336-B2336)</f>
        <v/>
      </c>
      <c r="K2336" s="31" t="str">
        <f aca="false">IF(F2336="","",IF(H2336&lt;&gt;"",H2336,MAX('Vade Sapması'!$D$3,G2336)))</f>
        <v/>
      </c>
      <c r="L2336" s="30" t="str">
        <f aca="false">IF(F2336="","",K2336-B2336)</f>
        <v/>
      </c>
      <c r="M2336" s="30" t="str">
        <f aca="false">IF(F2336="","",L2336-J2336)</f>
        <v/>
      </c>
      <c r="N2336" s="32" t="str">
        <f aca="false">IF(F2336="","",IF(H2336&lt;&gt;"","Kapandı",IF('Vade Sapması'!$D$3&gt;G2336,"Açık · vadesi geçti","Açık · vadesi gelmedi")))</f>
        <v/>
      </c>
      <c r="O2336" s="30" t="str">
        <f aca="false">IF(F2336="","",IF(AND(H2336="",'Vade Sapması'!$D$3&gt;G2336),'Vade Sapması'!$D$3-G2336,0))</f>
        <v/>
      </c>
      <c r="P2336" s="33" t="str">
        <f aca="false">IF(F2336="","",F2336*J2336)</f>
        <v/>
      </c>
      <c r="Q2336" s="33" t="str">
        <f aca="false">IF(F2336="","",F2336*L2336)</f>
        <v/>
      </c>
      <c r="R2336" s="33" t="str">
        <f aca="false">IF(F2336="","",IF(H2336="",F2336,0))</f>
        <v/>
      </c>
      <c r="S2336" s="32" t="str">
        <f aca="false">IF(F2336="","",IF(N(O2336)=0,"",IF(O2336&lt;=30,"1-30",IF(O2336&lt;=60,"31-60",IF(O2336&lt;=90,"61-90","90+")))))</f>
        <v/>
      </c>
      <c r="T2336" s="32" t="str">
        <f aca="false">IF(F2336="","",IF(E2336="","Diğer",E2336))</f>
        <v/>
      </c>
      <c r="U2336" s="32" t="str">
        <f aca="false">IF(OR(F2336="",C2336=""),"",IF(COUNTIF($C$2:C2336,C2336)=1,MAX($U$1:U2335)+1,""))</f>
        <v/>
      </c>
    </row>
    <row r="2337" customFormat="false" ht="15" hidden="false" customHeight="false" outlineLevel="0" collapsed="false">
      <c r="A2337" s="34"/>
      <c r="B2337" s="9"/>
      <c r="C2337" s="34"/>
      <c r="D2337" s="34"/>
      <c r="E2337" s="34"/>
      <c r="F2337" s="35"/>
      <c r="G2337" s="9"/>
      <c r="H2337" s="9"/>
      <c r="I2337" s="34"/>
      <c r="J2337" s="30" t="str">
        <f aca="false">IF(F2337="","",G2337-B2337)</f>
        <v/>
      </c>
      <c r="K2337" s="31" t="str">
        <f aca="false">IF(F2337="","",IF(H2337&lt;&gt;"",H2337,MAX('Vade Sapması'!$D$3,G2337)))</f>
        <v/>
      </c>
      <c r="L2337" s="30" t="str">
        <f aca="false">IF(F2337="","",K2337-B2337)</f>
        <v/>
      </c>
      <c r="M2337" s="30" t="str">
        <f aca="false">IF(F2337="","",L2337-J2337)</f>
        <v/>
      </c>
      <c r="N2337" s="32" t="str">
        <f aca="false">IF(F2337="","",IF(H2337&lt;&gt;"","Kapandı",IF('Vade Sapması'!$D$3&gt;G2337,"Açık · vadesi geçti","Açık · vadesi gelmedi")))</f>
        <v/>
      </c>
      <c r="O2337" s="30" t="str">
        <f aca="false">IF(F2337="","",IF(AND(H2337="",'Vade Sapması'!$D$3&gt;G2337),'Vade Sapması'!$D$3-G2337,0))</f>
        <v/>
      </c>
      <c r="P2337" s="33" t="str">
        <f aca="false">IF(F2337="","",F2337*J2337)</f>
        <v/>
      </c>
      <c r="Q2337" s="33" t="str">
        <f aca="false">IF(F2337="","",F2337*L2337)</f>
        <v/>
      </c>
      <c r="R2337" s="33" t="str">
        <f aca="false">IF(F2337="","",IF(H2337="",F2337,0))</f>
        <v/>
      </c>
      <c r="S2337" s="32" t="str">
        <f aca="false">IF(F2337="","",IF(N(O2337)=0,"",IF(O2337&lt;=30,"1-30",IF(O2337&lt;=60,"31-60",IF(O2337&lt;=90,"61-90","90+")))))</f>
        <v/>
      </c>
      <c r="T2337" s="32" t="str">
        <f aca="false">IF(F2337="","",IF(E2337="","Diğer",E2337))</f>
        <v/>
      </c>
      <c r="U2337" s="32" t="str">
        <f aca="false">IF(OR(F2337="",C2337=""),"",IF(COUNTIF($C$2:C2337,C2337)=1,MAX($U$1:U2336)+1,""))</f>
        <v/>
      </c>
    </row>
    <row r="2338" customFormat="false" ht="15" hidden="false" customHeight="false" outlineLevel="0" collapsed="false">
      <c r="A2338" s="34"/>
      <c r="B2338" s="9"/>
      <c r="C2338" s="34"/>
      <c r="D2338" s="34"/>
      <c r="E2338" s="34"/>
      <c r="F2338" s="35"/>
      <c r="G2338" s="9"/>
      <c r="H2338" s="9"/>
      <c r="I2338" s="34"/>
      <c r="J2338" s="30" t="str">
        <f aca="false">IF(F2338="","",G2338-B2338)</f>
        <v/>
      </c>
      <c r="K2338" s="31" t="str">
        <f aca="false">IF(F2338="","",IF(H2338&lt;&gt;"",H2338,MAX('Vade Sapması'!$D$3,G2338)))</f>
        <v/>
      </c>
      <c r="L2338" s="30" t="str">
        <f aca="false">IF(F2338="","",K2338-B2338)</f>
        <v/>
      </c>
      <c r="M2338" s="30" t="str">
        <f aca="false">IF(F2338="","",L2338-J2338)</f>
        <v/>
      </c>
      <c r="N2338" s="32" t="str">
        <f aca="false">IF(F2338="","",IF(H2338&lt;&gt;"","Kapandı",IF('Vade Sapması'!$D$3&gt;G2338,"Açık · vadesi geçti","Açık · vadesi gelmedi")))</f>
        <v/>
      </c>
      <c r="O2338" s="30" t="str">
        <f aca="false">IF(F2338="","",IF(AND(H2338="",'Vade Sapması'!$D$3&gt;G2338),'Vade Sapması'!$D$3-G2338,0))</f>
        <v/>
      </c>
      <c r="P2338" s="33" t="str">
        <f aca="false">IF(F2338="","",F2338*J2338)</f>
        <v/>
      </c>
      <c r="Q2338" s="33" t="str">
        <f aca="false">IF(F2338="","",F2338*L2338)</f>
        <v/>
      </c>
      <c r="R2338" s="33" t="str">
        <f aca="false">IF(F2338="","",IF(H2338="",F2338,0))</f>
        <v/>
      </c>
      <c r="S2338" s="32" t="str">
        <f aca="false">IF(F2338="","",IF(N(O2338)=0,"",IF(O2338&lt;=30,"1-30",IF(O2338&lt;=60,"31-60",IF(O2338&lt;=90,"61-90","90+")))))</f>
        <v/>
      </c>
      <c r="T2338" s="32" t="str">
        <f aca="false">IF(F2338="","",IF(E2338="","Diğer",E2338))</f>
        <v/>
      </c>
      <c r="U2338" s="32" t="str">
        <f aca="false">IF(OR(F2338="",C2338=""),"",IF(COUNTIF($C$2:C2338,C2338)=1,MAX($U$1:U2337)+1,""))</f>
        <v/>
      </c>
    </row>
    <row r="2339" customFormat="false" ht="15" hidden="false" customHeight="false" outlineLevel="0" collapsed="false">
      <c r="A2339" s="34"/>
      <c r="B2339" s="9"/>
      <c r="C2339" s="34"/>
      <c r="D2339" s="34"/>
      <c r="E2339" s="34"/>
      <c r="F2339" s="35"/>
      <c r="G2339" s="9"/>
      <c r="H2339" s="9"/>
      <c r="I2339" s="34"/>
      <c r="J2339" s="30" t="str">
        <f aca="false">IF(F2339="","",G2339-B2339)</f>
        <v/>
      </c>
      <c r="K2339" s="31" t="str">
        <f aca="false">IF(F2339="","",IF(H2339&lt;&gt;"",H2339,MAX('Vade Sapması'!$D$3,G2339)))</f>
        <v/>
      </c>
      <c r="L2339" s="30" t="str">
        <f aca="false">IF(F2339="","",K2339-B2339)</f>
        <v/>
      </c>
      <c r="M2339" s="30" t="str">
        <f aca="false">IF(F2339="","",L2339-J2339)</f>
        <v/>
      </c>
      <c r="N2339" s="32" t="str">
        <f aca="false">IF(F2339="","",IF(H2339&lt;&gt;"","Kapandı",IF('Vade Sapması'!$D$3&gt;G2339,"Açık · vadesi geçti","Açık · vadesi gelmedi")))</f>
        <v/>
      </c>
      <c r="O2339" s="30" t="str">
        <f aca="false">IF(F2339="","",IF(AND(H2339="",'Vade Sapması'!$D$3&gt;G2339),'Vade Sapması'!$D$3-G2339,0))</f>
        <v/>
      </c>
      <c r="P2339" s="33" t="str">
        <f aca="false">IF(F2339="","",F2339*J2339)</f>
        <v/>
      </c>
      <c r="Q2339" s="33" t="str">
        <f aca="false">IF(F2339="","",F2339*L2339)</f>
        <v/>
      </c>
      <c r="R2339" s="33" t="str">
        <f aca="false">IF(F2339="","",IF(H2339="",F2339,0))</f>
        <v/>
      </c>
      <c r="S2339" s="32" t="str">
        <f aca="false">IF(F2339="","",IF(N(O2339)=0,"",IF(O2339&lt;=30,"1-30",IF(O2339&lt;=60,"31-60",IF(O2339&lt;=90,"61-90","90+")))))</f>
        <v/>
      </c>
      <c r="T2339" s="32" t="str">
        <f aca="false">IF(F2339="","",IF(E2339="","Diğer",E2339))</f>
        <v/>
      </c>
      <c r="U2339" s="32" t="str">
        <f aca="false">IF(OR(F2339="",C2339=""),"",IF(COUNTIF($C$2:C2339,C2339)=1,MAX($U$1:U2338)+1,""))</f>
        <v/>
      </c>
    </row>
    <row r="2340" customFormat="false" ht="15" hidden="false" customHeight="false" outlineLevel="0" collapsed="false">
      <c r="A2340" s="34"/>
      <c r="B2340" s="9"/>
      <c r="C2340" s="34"/>
      <c r="D2340" s="34"/>
      <c r="E2340" s="34"/>
      <c r="F2340" s="35"/>
      <c r="G2340" s="9"/>
      <c r="H2340" s="9"/>
      <c r="I2340" s="34"/>
      <c r="J2340" s="30" t="str">
        <f aca="false">IF(F2340="","",G2340-B2340)</f>
        <v/>
      </c>
      <c r="K2340" s="31" t="str">
        <f aca="false">IF(F2340="","",IF(H2340&lt;&gt;"",H2340,MAX('Vade Sapması'!$D$3,G2340)))</f>
        <v/>
      </c>
      <c r="L2340" s="30" t="str">
        <f aca="false">IF(F2340="","",K2340-B2340)</f>
        <v/>
      </c>
      <c r="M2340" s="30" t="str">
        <f aca="false">IF(F2340="","",L2340-J2340)</f>
        <v/>
      </c>
      <c r="N2340" s="32" t="str">
        <f aca="false">IF(F2340="","",IF(H2340&lt;&gt;"","Kapandı",IF('Vade Sapması'!$D$3&gt;G2340,"Açık · vadesi geçti","Açık · vadesi gelmedi")))</f>
        <v/>
      </c>
      <c r="O2340" s="30" t="str">
        <f aca="false">IF(F2340="","",IF(AND(H2340="",'Vade Sapması'!$D$3&gt;G2340),'Vade Sapması'!$D$3-G2340,0))</f>
        <v/>
      </c>
      <c r="P2340" s="33" t="str">
        <f aca="false">IF(F2340="","",F2340*J2340)</f>
        <v/>
      </c>
      <c r="Q2340" s="33" t="str">
        <f aca="false">IF(F2340="","",F2340*L2340)</f>
        <v/>
      </c>
      <c r="R2340" s="33" t="str">
        <f aca="false">IF(F2340="","",IF(H2340="",F2340,0))</f>
        <v/>
      </c>
      <c r="S2340" s="32" t="str">
        <f aca="false">IF(F2340="","",IF(N(O2340)=0,"",IF(O2340&lt;=30,"1-30",IF(O2340&lt;=60,"31-60",IF(O2340&lt;=90,"61-90","90+")))))</f>
        <v/>
      </c>
      <c r="T2340" s="32" t="str">
        <f aca="false">IF(F2340="","",IF(E2340="","Diğer",E2340))</f>
        <v/>
      </c>
      <c r="U2340" s="32" t="str">
        <f aca="false">IF(OR(F2340="",C2340=""),"",IF(COUNTIF($C$2:C2340,C2340)=1,MAX($U$1:U2339)+1,""))</f>
        <v/>
      </c>
    </row>
    <row r="2341" customFormat="false" ht="15" hidden="false" customHeight="false" outlineLevel="0" collapsed="false">
      <c r="A2341" s="34"/>
      <c r="B2341" s="9"/>
      <c r="C2341" s="34"/>
      <c r="D2341" s="34"/>
      <c r="E2341" s="34"/>
      <c r="F2341" s="35"/>
      <c r="G2341" s="9"/>
      <c r="H2341" s="9"/>
      <c r="I2341" s="34"/>
      <c r="J2341" s="30" t="str">
        <f aca="false">IF(F2341="","",G2341-B2341)</f>
        <v/>
      </c>
      <c r="K2341" s="31" t="str">
        <f aca="false">IF(F2341="","",IF(H2341&lt;&gt;"",H2341,MAX('Vade Sapması'!$D$3,G2341)))</f>
        <v/>
      </c>
      <c r="L2341" s="30" t="str">
        <f aca="false">IF(F2341="","",K2341-B2341)</f>
        <v/>
      </c>
      <c r="M2341" s="30" t="str">
        <f aca="false">IF(F2341="","",L2341-J2341)</f>
        <v/>
      </c>
      <c r="N2341" s="32" t="str">
        <f aca="false">IF(F2341="","",IF(H2341&lt;&gt;"","Kapandı",IF('Vade Sapması'!$D$3&gt;G2341,"Açık · vadesi geçti","Açık · vadesi gelmedi")))</f>
        <v/>
      </c>
      <c r="O2341" s="30" t="str">
        <f aca="false">IF(F2341="","",IF(AND(H2341="",'Vade Sapması'!$D$3&gt;G2341),'Vade Sapması'!$D$3-G2341,0))</f>
        <v/>
      </c>
      <c r="P2341" s="33" t="str">
        <f aca="false">IF(F2341="","",F2341*J2341)</f>
        <v/>
      </c>
      <c r="Q2341" s="33" t="str">
        <f aca="false">IF(F2341="","",F2341*L2341)</f>
        <v/>
      </c>
      <c r="R2341" s="33" t="str">
        <f aca="false">IF(F2341="","",IF(H2341="",F2341,0))</f>
        <v/>
      </c>
      <c r="S2341" s="32" t="str">
        <f aca="false">IF(F2341="","",IF(N(O2341)=0,"",IF(O2341&lt;=30,"1-30",IF(O2341&lt;=60,"31-60",IF(O2341&lt;=90,"61-90","90+")))))</f>
        <v/>
      </c>
      <c r="T2341" s="32" t="str">
        <f aca="false">IF(F2341="","",IF(E2341="","Diğer",E2341))</f>
        <v/>
      </c>
      <c r="U2341" s="32" t="str">
        <f aca="false">IF(OR(F2341="",C2341=""),"",IF(COUNTIF($C$2:C2341,C2341)=1,MAX($U$1:U2340)+1,""))</f>
        <v/>
      </c>
    </row>
    <row r="2342" customFormat="false" ht="15" hidden="false" customHeight="false" outlineLevel="0" collapsed="false">
      <c r="A2342" s="34"/>
      <c r="B2342" s="9"/>
      <c r="C2342" s="34"/>
      <c r="D2342" s="34"/>
      <c r="E2342" s="34"/>
      <c r="F2342" s="35"/>
      <c r="G2342" s="9"/>
      <c r="H2342" s="9"/>
      <c r="I2342" s="34"/>
      <c r="J2342" s="30" t="str">
        <f aca="false">IF(F2342="","",G2342-B2342)</f>
        <v/>
      </c>
      <c r="K2342" s="31" t="str">
        <f aca="false">IF(F2342="","",IF(H2342&lt;&gt;"",H2342,MAX('Vade Sapması'!$D$3,G2342)))</f>
        <v/>
      </c>
      <c r="L2342" s="30" t="str">
        <f aca="false">IF(F2342="","",K2342-B2342)</f>
        <v/>
      </c>
      <c r="M2342" s="30" t="str">
        <f aca="false">IF(F2342="","",L2342-J2342)</f>
        <v/>
      </c>
      <c r="N2342" s="32" t="str">
        <f aca="false">IF(F2342="","",IF(H2342&lt;&gt;"","Kapandı",IF('Vade Sapması'!$D$3&gt;G2342,"Açık · vadesi geçti","Açık · vadesi gelmedi")))</f>
        <v/>
      </c>
      <c r="O2342" s="30" t="str">
        <f aca="false">IF(F2342="","",IF(AND(H2342="",'Vade Sapması'!$D$3&gt;G2342),'Vade Sapması'!$D$3-G2342,0))</f>
        <v/>
      </c>
      <c r="P2342" s="33" t="str">
        <f aca="false">IF(F2342="","",F2342*J2342)</f>
        <v/>
      </c>
      <c r="Q2342" s="33" t="str">
        <f aca="false">IF(F2342="","",F2342*L2342)</f>
        <v/>
      </c>
      <c r="R2342" s="33" t="str">
        <f aca="false">IF(F2342="","",IF(H2342="",F2342,0))</f>
        <v/>
      </c>
      <c r="S2342" s="32" t="str">
        <f aca="false">IF(F2342="","",IF(N(O2342)=0,"",IF(O2342&lt;=30,"1-30",IF(O2342&lt;=60,"31-60",IF(O2342&lt;=90,"61-90","90+")))))</f>
        <v/>
      </c>
      <c r="T2342" s="32" t="str">
        <f aca="false">IF(F2342="","",IF(E2342="","Diğer",E2342))</f>
        <v/>
      </c>
      <c r="U2342" s="32" t="str">
        <f aca="false">IF(OR(F2342="",C2342=""),"",IF(COUNTIF($C$2:C2342,C2342)=1,MAX($U$1:U2341)+1,""))</f>
        <v/>
      </c>
    </row>
    <row r="2343" customFormat="false" ht="15" hidden="false" customHeight="false" outlineLevel="0" collapsed="false">
      <c r="A2343" s="34"/>
      <c r="B2343" s="9"/>
      <c r="C2343" s="34"/>
      <c r="D2343" s="34"/>
      <c r="E2343" s="34"/>
      <c r="F2343" s="35"/>
      <c r="G2343" s="9"/>
      <c r="H2343" s="9"/>
      <c r="I2343" s="34"/>
      <c r="J2343" s="30" t="str">
        <f aca="false">IF(F2343="","",G2343-B2343)</f>
        <v/>
      </c>
      <c r="K2343" s="31" t="str">
        <f aca="false">IF(F2343="","",IF(H2343&lt;&gt;"",H2343,MAX('Vade Sapması'!$D$3,G2343)))</f>
        <v/>
      </c>
      <c r="L2343" s="30" t="str">
        <f aca="false">IF(F2343="","",K2343-B2343)</f>
        <v/>
      </c>
      <c r="M2343" s="30" t="str">
        <f aca="false">IF(F2343="","",L2343-J2343)</f>
        <v/>
      </c>
      <c r="N2343" s="32" t="str">
        <f aca="false">IF(F2343="","",IF(H2343&lt;&gt;"","Kapandı",IF('Vade Sapması'!$D$3&gt;G2343,"Açık · vadesi geçti","Açık · vadesi gelmedi")))</f>
        <v/>
      </c>
      <c r="O2343" s="30" t="str">
        <f aca="false">IF(F2343="","",IF(AND(H2343="",'Vade Sapması'!$D$3&gt;G2343),'Vade Sapması'!$D$3-G2343,0))</f>
        <v/>
      </c>
      <c r="P2343" s="33" t="str">
        <f aca="false">IF(F2343="","",F2343*J2343)</f>
        <v/>
      </c>
      <c r="Q2343" s="33" t="str">
        <f aca="false">IF(F2343="","",F2343*L2343)</f>
        <v/>
      </c>
      <c r="R2343" s="33" t="str">
        <f aca="false">IF(F2343="","",IF(H2343="",F2343,0))</f>
        <v/>
      </c>
      <c r="S2343" s="32" t="str">
        <f aca="false">IF(F2343="","",IF(N(O2343)=0,"",IF(O2343&lt;=30,"1-30",IF(O2343&lt;=60,"31-60",IF(O2343&lt;=90,"61-90","90+")))))</f>
        <v/>
      </c>
      <c r="T2343" s="32" t="str">
        <f aca="false">IF(F2343="","",IF(E2343="","Diğer",E2343))</f>
        <v/>
      </c>
      <c r="U2343" s="32" t="str">
        <f aca="false">IF(OR(F2343="",C2343=""),"",IF(COUNTIF($C$2:C2343,C2343)=1,MAX($U$1:U2342)+1,""))</f>
        <v/>
      </c>
    </row>
    <row r="2344" customFormat="false" ht="15" hidden="false" customHeight="false" outlineLevel="0" collapsed="false">
      <c r="A2344" s="34"/>
      <c r="B2344" s="9"/>
      <c r="C2344" s="34"/>
      <c r="D2344" s="34"/>
      <c r="E2344" s="34"/>
      <c r="F2344" s="35"/>
      <c r="G2344" s="9"/>
      <c r="H2344" s="9"/>
      <c r="I2344" s="34"/>
      <c r="J2344" s="30" t="str">
        <f aca="false">IF(F2344="","",G2344-B2344)</f>
        <v/>
      </c>
      <c r="K2344" s="31" t="str">
        <f aca="false">IF(F2344="","",IF(H2344&lt;&gt;"",H2344,MAX('Vade Sapması'!$D$3,G2344)))</f>
        <v/>
      </c>
      <c r="L2344" s="30" t="str">
        <f aca="false">IF(F2344="","",K2344-B2344)</f>
        <v/>
      </c>
      <c r="M2344" s="30" t="str">
        <f aca="false">IF(F2344="","",L2344-J2344)</f>
        <v/>
      </c>
      <c r="N2344" s="32" t="str">
        <f aca="false">IF(F2344="","",IF(H2344&lt;&gt;"","Kapandı",IF('Vade Sapması'!$D$3&gt;G2344,"Açık · vadesi geçti","Açık · vadesi gelmedi")))</f>
        <v/>
      </c>
      <c r="O2344" s="30" t="str">
        <f aca="false">IF(F2344="","",IF(AND(H2344="",'Vade Sapması'!$D$3&gt;G2344),'Vade Sapması'!$D$3-G2344,0))</f>
        <v/>
      </c>
      <c r="P2344" s="33" t="str">
        <f aca="false">IF(F2344="","",F2344*J2344)</f>
        <v/>
      </c>
      <c r="Q2344" s="33" t="str">
        <f aca="false">IF(F2344="","",F2344*L2344)</f>
        <v/>
      </c>
      <c r="R2344" s="33" t="str">
        <f aca="false">IF(F2344="","",IF(H2344="",F2344,0))</f>
        <v/>
      </c>
      <c r="S2344" s="32" t="str">
        <f aca="false">IF(F2344="","",IF(N(O2344)=0,"",IF(O2344&lt;=30,"1-30",IF(O2344&lt;=60,"31-60",IF(O2344&lt;=90,"61-90","90+")))))</f>
        <v/>
      </c>
      <c r="T2344" s="32" t="str">
        <f aca="false">IF(F2344="","",IF(E2344="","Diğer",E2344))</f>
        <v/>
      </c>
      <c r="U2344" s="32" t="str">
        <f aca="false">IF(OR(F2344="",C2344=""),"",IF(COUNTIF($C$2:C2344,C2344)=1,MAX($U$1:U2343)+1,""))</f>
        <v/>
      </c>
    </row>
    <row r="2345" customFormat="false" ht="15" hidden="false" customHeight="false" outlineLevel="0" collapsed="false">
      <c r="A2345" s="34"/>
      <c r="B2345" s="9"/>
      <c r="C2345" s="34"/>
      <c r="D2345" s="34"/>
      <c r="E2345" s="34"/>
      <c r="F2345" s="35"/>
      <c r="G2345" s="9"/>
      <c r="H2345" s="9"/>
      <c r="I2345" s="34"/>
      <c r="J2345" s="30" t="str">
        <f aca="false">IF(F2345="","",G2345-B2345)</f>
        <v/>
      </c>
      <c r="K2345" s="31" t="str">
        <f aca="false">IF(F2345="","",IF(H2345&lt;&gt;"",H2345,MAX('Vade Sapması'!$D$3,G2345)))</f>
        <v/>
      </c>
      <c r="L2345" s="30" t="str">
        <f aca="false">IF(F2345="","",K2345-B2345)</f>
        <v/>
      </c>
      <c r="M2345" s="30" t="str">
        <f aca="false">IF(F2345="","",L2345-J2345)</f>
        <v/>
      </c>
      <c r="N2345" s="32" t="str">
        <f aca="false">IF(F2345="","",IF(H2345&lt;&gt;"","Kapandı",IF('Vade Sapması'!$D$3&gt;G2345,"Açık · vadesi geçti","Açık · vadesi gelmedi")))</f>
        <v/>
      </c>
      <c r="O2345" s="30" t="str">
        <f aca="false">IF(F2345="","",IF(AND(H2345="",'Vade Sapması'!$D$3&gt;G2345),'Vade Sapması'!$D$3-G2345,0))</f>
        <v/>
      </c>
      <c r="P2345" s="33" t="str">
        <f aca="false">IF(F2345="","",F2345*J2345)</f>
        <v/>
      </c>
      <c r="Q2345" s="33" t="str">
        <f aca="false">IF(F2345="","",F2345*L2345)</f>
        <v/>
      </c>
      <c r="R2345" s="33" t="str">
        <f aca="false">IF(F2345="","",IF(H2345="",F2345,0))</f>
        <v/>
      </c>
      <c r="S2345" s="32" t="str">
        <f aca="false">IF(F2345="","",IF(N(O2345)=0,"",IF(O2345&lt;=30,"1-30",IF(O2345&lt;=60,"31-60",IF(O2345&lt;=90,"61-90","90+")))))</f>
        <v/>
      </c>
      <c r="T2345" s="32" t="str">
        <f aca="false">IF(F2345="","",IF(E2345="","Diğer",E2345))</f>
        <v/>
      </c>
      <c r="U2345" s="32" t="str">
        <f aca="false">IF(OR(F2345="",C2345=""),"",IF(COUNTIF($C$2:C2345,C2345)=1,MAX($U$1:U2344)+1,""))</f>
        <v/>
      </c>
    </row>
    <row r="2346" customFormat="false" ht="15" hidden="false" customHeight="false" outlineLevel="0" collapsed="false">
      <c r="A2346" s="34"/>
      <c r="B2346" s="9"/>
      <c r="C2346" s="34"/>
      <c r="D2346" s="34"/>
      <c r="E2346" s="34"/>
      <c r="F2346" s="35"/>
      <c r="G2346" s="9"/>
      <c r="H2346" s="9"/>
      <c r="I2346" s="34"/>
      <c r="J2346" s="30" t="str">
        <f aca="false">IF(F2346="","",G2346-B2346)</f>
        <v/>
      </c>
      <c r="K2346" s="31" t="str">
        <f aca="false">IF(F2346="","",IF(H2346&lt;&gt;"",H2346,MAX('Vade Sapması'!$D$3,G2346)))</f>
        <v/>
      </c>
      <c r="L2346" s="30" t="str">
        <f aca="false">IF(F2346="","",K2346-B2346)</f>
        <v/>
      </c>
      <c r="M2346" s="30" t="str">
        <f aca="false">IF(F2346="","",L2346-J2346)</f>
        <v/>
      </c>
      <c r="N2346" s="32" t="str">
        <f aca="false">IF(F2346="","",IF(H2346&lt;&gt;"","Kapandı",IF('Vade Sapması'!$D$3&gt;G2346,"Açık · vadesi geçti","Açık · vadesi gelmedi")))</f>
        <v/>
      </c>
      <c r="O2346" s="30" t="str">
        <f aca="false">IF(F2346="","",IF(AND(H2346="",'Vade Sapması'!$D$3&gt;G2346),'Vade Sapması'!$D$3-G2346,0))</f>
        <v/>
      </c>
      <c r="P2346" s="33" t="str">
        <f aca="false">IF(F2346="","",F2346*J2346)</f>
        <v/>
      </c>
      <c r="Q2346" s="33" t="str">
        <f aca="false">IF(F2346="","",F2346*L2346)</f>
        <v/>
      </c>
      <c r="R2346" s="33" t="str">
        <f aca="false">IF(F2346="","",IF(H2346="",F2346,0))</f>
        <v/>
      </c>
      <c r="S2346" s="32" t="str">
        <f aca="false">IF(F2346="","",IF(N(O2346)=0,"",IF(O2346&lt;=30,"1-30",IF(O2346&lt;=60,"31-60",IF(O2346&lt;=90,"61-90","90+")))))</f>
        <v/>
      </c>
      <c r="T2346" s="32" t="str">
        <f aca="false">IF(F2346="","",IF(E2346="","Diğer",E2346))</f>
        <v/>
      </c>
      <c r="U2346" s="32" t="str">
        <f aca="false">IF(OR(F2346="",C2346=""),"",IF(COUNTIF($C$2:C2346,C2346)=1,MAX($U$1:U2345)+1,""))</f>
        <v/>
      </c>
    </row>
    <row r="2347" customFormat="false" ht="15" hidden="false" customHeight="false" outlineLevel="0" collapsed="false">
      <c r="A2347" s="34"/>
      <c r="B2347" s="9"/>
      <c r="C2347" s="34"/>
      <c r="D2347" s="34"/>
      <c r="E2347" s="34"/>
      <c r="F2347" s="35"/>
      <c r="G2347" s="9"/>
      <c r="H2347" s="9"/>
      <c r="I2347" s="34"/>
      <c r="J2347" s="30" t="str">
        <f aca="false">IF(F2347="","",G2347-B2347)</f>
        <v/>
      </c>
      <c r="K2347" s="31" t="str">
        <f aca="false">IF(F2347="","",IF(H2347&lt;&gt;"",H2347,MAX('Vade Sapması'!$D$3,G2347)))</f>
        <v/>
      </c>
      <c r="L2347" s="30" t="str">
        <f aca="false">IF(F2347="","",K2347-B2347)</f>
        <v/>
      </c>
      <c r="M2347" s="30" t="str">
        <f aca="false">IF(F2347="","",L2347-J2347)</f>
        <v/>
      </c>
      <c r="N2347" s="32" t="str">
        <f aca="false">IF(F2347="","",IF(H2347&lt;&gt;"","Kapandı",IF('Vade Sapması'!$D$3&gt;G2347,"Açık · vadesi geçti","Açık · vadesi gelmedi")))</f>
        <v/>
      </c>
      <c r="O2347" s="30" t="str">
        <f aca="false">IF(F2347="","",IF(AND(H2347="",'Vade Sapması'!$D$3&gt;G2347),'Vade Sapması'!$D$3-G2347,0))</f>
        <v/>
      </c>
      <c r="P2347" s="33" t="str">
        <f aca="false">IF(F2347="","",F2347*J2347)</f>
        <v/>
      </c>
      <c r="Q2347" s="33" t="str">
        <f aca="false">IF(F2347="","",F2347*L2347)</f>
        <v/>
      </c>
      <c r="R2347" s="33" t="str">
        <f aca="false">IF(F2347="","",IF(H2347="",F2347,0))</f>
        <v/>
      </c>
      <c r="S2347" s="32" t="str">
        <f aca="false">IF(F2347="","",IF(N(O2347)=0,"",IF(O2347&lt;=30,"1-30",IF(O2347&lt;=60,"31-60",IF(O2347&lt;=90,"61-90","90+")))))</f>
        <v/>
      </c>
      <c r="T2347" s="32" t="str">
        <f aca="false">IF(F2347="","",IF(E2347="","Diğer",E2347))</f>
        <v/>
      </c>
      <c r="U2347" s="32" t="str">
        <f aca="false">IF(OR(F2347="",C2347=""),"",IF(COUNTIF($C$2:C2347,C2347)=1,MAX($U$1:U2346)+1,""))</f>
        <v/>
      </c>
    </row>
    <row r="2348" customFormat="false" ht="15" hidden="false" customHeight="false" outlineLevel="0" collapsed="false">
      <c r="A2348" s="34"/>
      <c r="B2348" s="9"/>
      <c r="C2348" s="34"/>
      <c r="D2348" s="34"/>
      <c r="E2348" s="34"/>
      <c r="F2348" s="35"/>
      <c r="G2348" s="9"/>
      <c r="H2348" s="9"/>
      <c r="I2348" s="34"/>
      <c r="J2348" s="30" t="str">
        <f aca="false">IF(F2348="","",G2348-B2348)</f>
        <v/>
      </c>
      <c r="K2348" s="31" t="str">
        <f aca="false">IF(F2348="","",IF(H2348&lt;&gt;"",H2348,MAX('Vade Sapması'!$D$3,G2348)))</f>
        <v/>
      </c>
      <c r="L2348" s="30" t="str">
        <f aca="false">IF(F2348="","",K2348-B2348)</f>
        <v/>
      </c>
      <c r="M2348" s="30" t="str">
        <f aca="false">IF(F2348="","",L2348-J2348)</f>
        <v/>
      </c>
      <c r="N2348" s="32" t="str">
        <f aca="false">IF(F2348="","",IF(H2348&lt;&gt;"","Kapandı",IF('Vade Sapması'!$D$3&gt;G2348,"Açık · vadesi geçti","Açık · vadesi gelmedi")))</f>
        <v/>
      </c>
      <c r="O2348" s="30" t="str">
        <f aca="false">IF(F2348="","",IF(AND(H2348="",'Vade Sapması'!$D$3&gt;G2348),'Vade Sapması'!$D$3-G2348,0))</f>
        <v/>
      </c>
      <c r="P2348" s="33" t="str">
        <f aca="false">IF(F2348="","",F2348*J2348)</f>
        <v/>
      </c>
      <c r="Q2348" s="33" t="str">
        <f aca="false">IF(F2348="","",F2348*L2348)</f>
        <v/>
      </c>
      <c r="R2348" s="33" t="str">
        <f aca="false">IF(F2348="","",IF(H2348="",F2348,0))</f>
        <v/>
      </c>
      <c r="S2348" s="32" t="str">
        <f aca="false">IF(F2348="","",IF(N(O2348)=0,"",IF(O2348&lt;=30,"1-30",IF(O2348&lt;=60,"31-60",IF(O2348&lt;=90,"61-90","90+")))))</f>
        <v/>
      </c>
      <c r="T2348" s="32" t="str">
        <f aca="false">IF(F2348="","",IF(E2348="","Diğer",E2348))</f>
        <v/>
      </c>
      <c r="U2348" s="32" t="str">
        <f aca="false">IF(OR(F2348="",C2348=""),"",IF(COUNTIF($C$2:C2348,C2348)=1,MAX($U$1:U2347)+1,""))</f>
        <v/>
      </c>
    </row>
    <row r="2349" customFormat="false" ht="15" hidden="false" customHeight="false" outlineLevel="0" collapsed="false">
      <c r="A2349" s="34"/>
      <c r="B2349" s="9"/>
      <c r="C2349" s="34"/>
      <c r="D2349" s="34"/>
      <c r="E2349" s="34"/>
      <c r="F2349" s="35"/>
      <c r="G2349" s="9"/>
      <c r="H2349" s="9"/>
      <c r="I2349" s="34"/>
      <c r="J2349" s="30" t="str">
        <f aca="false">IF(F2349="","",G2349-B2349)</f>
        <v/>
      </c>
      <c r="K2349" s="31" t="str">
        <f aca="false">IF(F2349="","",IF(H2349&lt;&gt;"",H2349,MAX('Vade Sapması'!$D$3,G2349)))</f>
        <v/>
      </c>
      <c r="L2349" s="30" t="str">
        <f aca="false">IF(F2349="","",K2349-B2349)</f>
        <v/>
      </c>
      <c r="M2349" s="30" t="str">
        <f aca="false">IF(F2349="","",L2349-J2349)</f>
        <v/>
      </c>
      <c r="N2349" s="32" t="str">
        <f aca="false">IF(F2349="","",IF(H2349&lt;&gt;"","Kapandı",IF('Vade Sapması'!$D$3&gt;G2349,"Açık · vadesi geçti","Açık · vadesi gelmedi")))</f>
        <v/>
      </c>
      <c r="O2349" s="30" t="str">
        <f aca="false">IF(F2349="","",IF(AND(H2349="",'Vade Sapması'!$D$3&gt;G2349),'Vade Sapması'!$D$3-G2349,0))</f>
        <v/>
      </c>
      <c r="P2349" s="33" t="str">
        <f aca="false">IF(F2349="","",F2349*J2349)</f>
        <v/>
      </c>
      <c r="Q2349" s="33" t="str">
        <f aca="false">IF(F2349="","",F2349*L2349)</f>
        <v/>
      </c>
      <c r="R2349" s="33" t="str">
        <f aca="false">IF(F2349="","",IF(H2349="",F2349,0))</f>
        <v/>
      </c>
      <c r="S2349" s="32" t="str">
        <f aca="false">IF(F2349="","",IF(N(O2349)=0,"",IF(O2349&lt;=30,"1-30",IF(O2349&lt;=60,"31-60",IF(O2349&lt;=90,"61-90","90+")))))</f>
        <v/>
      </c>
      <c r="T2349" s="32" t="str">
        <f aca="false">IF(F2349="","",IF(E2349="","Diğer",E2349))</f>
        <v/>
      </c>
      <c r="U2349" s="32" t="str">
        <f aca="false">IF(OR(F2349="",C2349=""),"",IF(COUNTIF($C$2:C2349,C2349)=1,MAX($U$1:U2348)+1,""))</f>
        <v/>
      </c>
    </row>
    <row r="2350" customFormat="false" ht="15" hidden="false" customHeight="false" outlineLevel="0" collapsed="false">
      <c r="A2350" s="34"/>
      <c r="B2350" s="9"/>
      <c r="C2350" s="34"/>
      <c r="D2350" s="34"/>
      <c r="E2350" s="34"/>
      <c r="F2350" s="35"/>
      <c r="G2350" s="9"/>
      <c r="H2350" s="9"/>
      <c r="I2350" s="34"/>
      <c r="J2350" s="30" t="str">
        <f aca="false">IF(F2350="","",G2350-B2350)</f>
        <v/>
      </c>
      <c r="K2350" s="31" t="str">
        <f aca="false">IF(F2350="","",IF(H2350&lt;&gt;"",H2350,MAX('Vade Sapması'!$D$3,G2350)))</f>
        <v/>
      </c>
      <c r="L2350" s="30" t="str">
        <f aca="false">IF(F2350="","",K2350-B2350)</f>
        <v/>
      </c>
      <c r="M2350" s="30" t="str">
        <f aca="false">IF(F2350="","",L2350-J2350)</f>
        <v/>
      </c>
      <c r="N2350" s="32" t="str">
        <f aca="false">IF(F2350="","",IF(H2350&lt;&gt;"","Kapandı",IF('Vade Sapması'!$D$3&gt;G2350,"Açık · vadesi geçti","Açık · vadesi gelmedi")))</f>
        <v/>
      </c>
      <c r="O2350" s="30" t="str">
        <f aca="false">IF(F2350="","",IF(AND(H2350="",'Vade Sapması'!$D$3&gt;G2350),'Vade Sapması'!$D$3-G2350,0))</f>
        <v/>
      </c>
      <c r="P2350" s="33" t="str">
        <f aca="false">IF(F2350="","",F2350*J2350)</f>
        <v/>
      </c>
      <c r="Q2350" s="33" t="str">
        <f aca="false">IF(F2350="","",F2350*L2350)</f>
        <v/>
      </c>
      <c r="R2350" s="33" t="str">
        <f aca="false">IF(F2350="","",IF(H2350="",F2350,0))</f>
        <v/>
      </c>
      <c r="S2350" s="32" t="str">
        <f aca="false">IF(F2350="","",IF(N(O2350)=0,"",IF(O2350&lt;=30,"1-30",IF(O2350&lt;=60,"31-60",IF(O2350&lt;=90,"61-90","90+")))))</f>
        <v/>
      </c>
      <c r="T2350" s="32" t="str">
        <f aca="false">IF(F2350="","",IF(E2350="","Diğer",E2350))</f>
        <v/>
      </c>
      <c r="U2350" s="32" t="str">
        <f aca="false">IF(OR(F2350="",C2350=""),"",IF(COUNTIF($C$2:C2350,C2350)=1,MAX($U$1:U2349)+1,""))</f>
        <v/>
      </c>
    </row>
    <row r="2351" customFormat="false" ht="15" hidden="false" customHeight="false" outlineLevel="0" collapsed="false">
      <c r="A2351" s="34"/>
      <c r="B2351" s="9"/>
      <c r="C2351" s="34"/>
      <c r="D2351" s="34"/>
      <c r="E2351" s="34"/>
      <c r="F2351" s="35"/>
      <c r="G2351" s="9"/>
      <c r="H2351" s="9"/>
      <c r="I2351" s="34"/>
      <c r="J2351" s="30" t="str">
        <f aca="false">IF(F2351="","",G2351-B2351)</f>
        <v/>
      </c>
      <c r="K2351" s="31" t="str">
        <f aca="false">IF(F2351="","",IF(H2351&lt;&gt;"",H2351,MAX('Vade Sapması'!$D$3,G2351)))</f>
        <v/>
      </c>
      <c r="L2351" s="30" t="str">
        <f aca="false">IF(F2351="","",K2351-B2351)</f>
        <v/>
      </c>
      <c r="M2351" s="30" t="str">
        <f aca="false">IF(F2351="","",L2351-J2351)</f>
        <v/>
      </c>
      <c r="N2351" s="32" t="str">
        <f aca="false">IF(F2351="","",IF(H2351&lt;&gt;"","Kapandı",IF('Vade Sapması'!$D$3&gt;G2351,"Açık · vadesi geçti","Açık · vadesi gelmedi")))</f>
        <v/>
      </c>
      <c r="O2351" s="30" t="str">
        <f aca="false">IF(F2351="","",IF(AND(H2351="",'Vade Sapması'!$D$3&gt;G2351),'Vade Sapması'!$D$3-G2351,0))</f>
        <v/>
      </c>
      <c r="P2351" s="33" t="str">
        <f aca="false">IF(F2351="","",F2351*J2351)</f>
        <v/>
      </c>
      <c r="Q2351" s="33" t="str">
        <f aca="false">IF(F2351="","",F2351*L2351)</f>
        <v/>
      </c>
      <c r="R2351" s="33" t="str">
        <f aca="false">IF(F2351="","",IF(H2351="",F2351,0))</f>
        <v/>
      </c>
      <c r="S2351" s="32" t="str">
        <f aca="false">IF(F2351="","",IF(N(O2351)=0,"",IF(O2351&lt;=30,"1-30",IF(O2351&lt;=60,"31-60",IF(O2351&lt;=90,"61-90","90+")))))</f>
        <v/>
      </c>
      <c r="T2351" s="32" t="str">
        <f aca="false">IF(F2351="","",IF(E2351="","Diğer",E2351))</f>
        <v/>
      </c>
      <c r="U2351" s="32" t="str">
        <f aca="false">IF(OR(F2351="",C2351=""),"",IF(COUNTIF($C$2:C2351,C2351)=1,MAX($U$1:U2350)+1,""))</f>
        <v/>
      </c>
    </row>
    <row r="2352" customFormat="false" ht="15" hidden="false" customHeight="false" outlineLevel="0" collapsed="false">
      <c r="A2352" s="34"/>
      <c r="B2352" s="9"/>
      <c r="C2352" s="34"/>
      <c r="D2352" s="34"/>
      <c r="E2352" s="34"/>
      <c r="F2352" s="35"/>
      <c r="G2352" s="9"/>
      <c r="H2352" s="9"/>
      <c r="I2352" s="34"/>
      <c r="J2352" s="30" t="str">
        <f aca="false">IF(F2352="","",G2352-B2352)</f>
        <v/>
      </c>
      <c r="K2352" s="31" t="str">
        <f aca="false">IF(F2352="","",IF(H2352&lt;&gt;"",H2352,MAX('Vade Sapması'!$D$3,G2352)))</f>
        <v/>
      </c>
      <c r="L2352" s="30" t="str">
        <f aca="false">IF(F2352="","",K2352-B2352)</f>
        <v/>
      </c>
      <c r="M2352" s="30" t="str">
        <f aca="false">IF(F2352="","",L2352-J2352)</f>
        <v/>
      </c>
      <c r="N2352" s="32" t="str">
        <f aca="false">IF(F2352="","",IF(H2352&lt;&gt;"","Kapandı",IF('Vade Sapması'!$D$3&gt;G2352,"Açık · vadesi geçti","Açık · vadesi gelmedi")))</f>
        <v/>
      </c>
      <c r="O2352" s="30" t="str">
        <f aca="false">IF(F2352="","",IF(AND(H2352="",'Vade Sapması'!$D$3&gt;G2352),'Vade Sapması'!$D$3-G2352,0))</f>
        <v/>
      </c>
      <c r="P2352" s="33" t="str">
        <f aca="false">IF(F2352="","",F2352*J2352)</f>
        <v/>
      </c>
      <c r="Q2352" s="33" t="str">
        <f aca="false">IF(F2352="","",F2352*L2352)</f>
        <v/>
      </c>
      <c r="R2352" s="33" t="str">
        <f aca="false">IF(F2352="","",IF(H2352="",F2352,0))</f>
        <v/>
      </c>
      <c r="S2352" s="32" t="str">
        <f aca="false">IF(F2352="","",IF(N(O2352)=0,"",IF(O2352&lt;=30,"1-30",IF(O2352&lt;=60,"31-60",IF(O2352&lt;=90,"61-90","90+")))))</f>
        <v/>
      </c>
      <c r="T2352" s="32" t="str">
        <f aca="false">IF(F2352="","",IF(E2352="","Diğer",E2352))</f>
        <v/>
      </c>
      <c r="U2352" s="32" t="str">
        <f aca="false">IF(OR(F2352="",C2352=""),"",IF(COUNTIF($C$2:C2352,C2352)=1,MAX($U$1:U2351)+1,""))</f>
        <v/>
      </c>
    </row>
    <row r="2353" customFormat="false" ht="15" hidden="false" customHeight="false" outlineLevel="0" collapsed="false">
      <c r="A2353" s="34"/>
      <c r="B2353" s="9"/>
      <c r="C2353" s="34"/>
      <c r="D2353" s="34"/>
      <c r="E2353" s="34"/>
      <c r="F2353" s="35"/>
      <c r="G2353" s="9"/>
      <c r="H2353" s="9"/>
      <c r="I2353" s="34"/>
      <c r="J2353" s="30" t="str">
        <f aca="false">IF(F2353="","",G2353-B2353)</f>
        <v/>
      </c>
      <c r="K2353" s="31" t="str">
        <f aca="false">IF(F2353="","",IF(H2353&lt;&gt;"",H2353,MAX('Vade Sapması'!$D$3,G2353)))</f>
        <v/>
      </c>
      <c r="L2353" s="30" t="str">
        <f aca="false">IF(F2353="","",K2353-B2353)</f>
        <v/>
      </c>
      <c r="M2353" s="30" t="str">
        <f aca="false">IF(F2353="","",L2353-J2353)</f>
        <v/>
      </c>
      <c r="N2353" s="32" t="str">
        <f aca="false">IF(F2353="","",IF(H2353&lt;&gt;"","Kapandı",IF('Vade Sapması'!$D$3&gt;G2353,"Açık · vadesi geçti","Açık · vadesi gelmedi")))</f>
        <v/>
      </c>
      <c r="O2353" s="30" t="str">
        <f aca="false">IF(F2353="","",IF(AND(H2353="",'Vade Sapması'!$D$3&gt;G2353),'Vade Sapması'!$D$3-G2353,0))</f>
        <v/>
      </c>
      <c r="P2353" s="33" t="str">
        <f aca="false">IF(F2353="","",F2353*J2353)</f>
        <v/>
      </c>
      <c r="Q2353" s="33" t="str">
        <f aca="false">IF(F2353="","",F2353*L2353)</f>
        <v/>
      </c>
      <c r="R2353" s="33" t="str">
        <f aca="false">IF(F2353="","",IF(H2353="",F2353,0))</f>
        <v/>
      </c>
      <c r="S2353" s="32" t="str">
        <f aca="false">IF(F2353="","",IF(N(O2353)=0,"",IF(O2353&lt;=30,"1-30",IF(O2353&lt;=60,"31-60",IF(O2353&lt;=90,"61-90","90+")))))</f>
        <v/>
      </c>
      <c r="T2353" s="32" t="str">
        <f aca="false">IF(F2353="","",IF(E2353="","Diğer",E2353))</f>
        <v/>
      </c>
      <c r="U2353" s="32" t="str">
        <f aca="false">IF(OR(F2353="",C2353=""),"",IF(COUNTIF($C$2:C2353,C2353)=1,MAX($U$1:U2352)+1,""))</f>
        <v/>
      </c>
    </row>
    <row r="2354" customFormat="false" ht="15" hidden="false" customHeight="false" outlineLevel="0" collapsed="false">
      <c r="A2354" s="34"/>
      <c r="B2354" s="9"/>
      <c r="C2354" s="34"/>
      <c r="D2354" s="34"/>
      <c r="E2354" s="34"/>
      <c r="F2354" s="35"/>
      <c r="G2354" s="9"/>
      <c r="H2354" s="9"/>
      <c r="I2354" s="34"/>
      <c r="J2354" s="30" t="str">
        <f aca="false">IF(F2354="","",G2354-B2354)</f>
        <v/>
      </c>
      <c r="K2354" s="31" t="str">
        <f aca="false">IF(F2354="","",IF(H2354&lt;&gt;"",H2354,MAX('Vade Sapması'!$D$3,G2354)))</f>
        <v/>
      </c>
      <c r="L2354" s="30" t="str">
        <f aca="false">IF(F2354="","",K2354-B2354)</f>
        <v/>
      </c>
      <c r="M2354" s="30" t="str">
        <f aca="false">IF(F2354="","",L2354-J2354)</f>
        <v/>
      </c>
      <c r="N2354" s="32" t="str">
        <f aca="false">IF(F2354="","",IF(H2354&lt;&gt;"","Kapandı",IF('Vade Sapması'!$D$3&gt;G2354,"Açık · vadesi geçti","Açık · vadesi gelmedi")))</f>
        <v/>
      </c>
      <c r="O2354" s="30" t="str">
        <f aca="false">IF(F2354="","",IF(AND(H2354="",'Vade Sapması'!$D$3&gt;G2354),'Vade Sapması'!$D$3-G2354,0))</f>
        <v/>
      </c>
      <c r="P2354" s="33" t="str">
        <f aca="false">IF(F2354="","",F2354*J2354)</f>
        <v/>
      </c>
      <c r="Q2354" s="33" t="str">
        <f aca="false">IF(F2354="","",F2354*L2354)</f>
        <v/>
      </c>
      <c r="R2354" s="33" t="str">
        <f aca="false">IF(F2354="","",IF(H2354="",F2354,0))</f>
        <v/>
      </c>
      <c r="S2354" s="32" t="str">
        <f aca="false">IF(F2354="","",IF(N(O2354)=0,"",IF(O2354&lt;=30,"1-30",IF(O2354&lt;=60,"31-60",IF(O2354&lt;=90,"61-90","90+")))))</f>
        <v/>
      </c>
      <c r="T2354" s="32" t="str">
        <f aca="false">IF(F2354="","",IF(E2354="","Diğer",E2354))</f>
        <v/>
      </c>
      <c r="U2354" s="32" t="str">
        <f aca="false">IF(OR(F2354="",C2354=""),"",IF(COUNTIF($C$2:C2354,C2354)=1,MAX($U$1:U2353)+1,""))</f>
        <v/>
      </c>
    </row>
    <row r="2355" customFormat="false" ht="15" hidden="false" customHeight="false" outlineLevel="0" collapsed="false">
      <c r="A2355" s="34"/>
      <c r="B2355" s="9"/>
      <c r="C2355" s="34"/>
      <c r="D2355" s="34"/>
      <c r="E2355" s="34"/>
      <c r="F2355" s="35"/>
      <c r="G2355" s="9"/>
      <c r="H2355" s="9"/>
      <c r="I2355" s="34"/>
      <c r="J2355" s="30" t="str">
        <f aca="false">IF(F2355="","",G2355-B2355)</f>
        <v/>
      </c>
      <c r="K2355" s="31" t="str">
        <f aca="false">IF(F2355="","",IF(H2355&lt;&gt;"",H2355,MAX('Vade Sapması'!$D$3,G2355)))</f>
        <v/>
      </c>
      <c r="L2355" s="30" t="str">
        <f aca="false">IF(F2355="","",K2355-B2355)</f>
        <v/>
      </c>
      <c r="M2355" s="30" t="str">
        <f aca="false">IF(F2355="","",L2355-J2355)</f>
        <v/>
      </c>
      <c r="N2355" s="32" t="str">
        <f aca="false">IF(F2355="","",IF(H2355&lt;&gt;"","Kapandı",IF('Vade Sapması'!$D$3&gt;G2355,"Açık · vadesi geçti","Açık · vadesi gelmedi")))</f>
        <v/>
      </c>
      <c r="O2355" s="30" t="str">
        <f aca="false">IF(F2355="","",IF(AND(H2355="",'Vade Sapması'!$D$3&gt;G2355),'Vade Sapması'!$D$3-G2355,0))</f>
        <v/>
      </c>
      <c r="P2355" s="33" t="str">
        <f aca="false">IF(F2355="","",F2355*J2355)</f>
        <v/>
      </c>
      <c r="Q2355" s="33" t="str">
        <f aca="false">IF(F2355="","",F2355*L2355)</f>
        <v/>
      </c>
      <c r="R2355" s="33" t="str">
        <f aca="false">IF(F2355="","",IF(H2355="",F2355,0))</f>
        <v/>
      </c>
      <c r="S2355" s="32" t="str">
        <f aca="false">IF(F2355="","",IF(N(O2355)=0,"",IF(O2355&lt;=30,"1-30",IF(O2355&lt;=60,"31-60",IF(O2355&lt;=90,"61-90","90+")))))</f>
        <v/>
      </c>
      <c r="T2355" s="32" t="str">
        <f aca="false">IF(F2355="","",IF(E2355="","Diğer",E2355))</f>
        <v/>
      </c>
      <c r="U2355" s="32" t="str">
        <f aca="false">IF(OR(F2355="",C2355=""),"",IF(COUNTIF($C$2:C2355,C2355)=1,MAX($U$1:U2354)+1,""))</f>
        <v/>
      </c>
    </row>
    <row r="2356" customFormat="false" ht="15" hidden="false" customHeight="false" outlineLevel="0" collapsed="false">
      <c r="A2356" s="34"/>
      <c r="B2356" s="9"/>
      <c r="C2356" s="34"/>
      <c r="D2356" s="34"/>
      <c r="E2356" s="34"/>
      <c r="F2356" s="35"/>
      <c r="G2356" s="9"/>
      <c r="H2356" s="9"/>
      <c r="I2356" s="34"/>
      <c r="J2356" s="30" t="str">
        <f aca="false">IF(F2356="","",G2356-B2356)</f>
        <v/>
      </c>
      <c r="K2356" s="31" t="str">
        <f aca="false">IF(F2356="","",IF(H2356&lt;&gt;"",H2356,MAX('Vade Sapması'!$D$3,G2356)))</f>
        <v/>
      </c>
      <c r="L2356" s="30" t="str">
        <f aca="false">IF(F2356="","",K2356-B2356)</f>
        <v/>
      </c>
      <c r="M2356" s="30" t="str">
        <f aca="false">IF(F2356="","",L2356-J2356)</f>
        <v/>
      </c>
      <c r="N2356" s="32" t="str">
        <f aca="false">IF(F2356="","",IF(H2356&lt;&gt;"","Kapandı",IF('Vade Sapması'!$D$3&gt;G2356,"Açık · vadesi geçti","Açık · vadesi gelmedi")))</f>
        <v/>
      </c>
      <c r="O2356" s="30" t="str">
        <f aca="false">IF(F2356="","",IF(AND(H2356="",'Vade Sapması'!$D$3&gt;G2356),'Vade Sapması'!$D$3-G2356,0))</f>
        <v/>
      </c>
      <c r="P2356" s="33" t="str">
        <f aca="false">IF(F2356="","",F2356*J2356)</f>
        <v/>
      </c>
      <c r="Q2356" s="33" t="str">
        <f aca="false">IF(F2356="","",F2356*L2356)</f>
        <v/>
      </c>
      <c r="R2356" s="33" t="str">
        <f aca="false">IF(F2356="","",IF(H2356="",F2356,0))</f>
        <v/>
      </c>
      <c r="S2356" s="32" t="str">
        <f aca="false">IF(F2356="","",IF(N(O2356)=0,"",IF(O2356&lt;=30,"1-30",IF(O2356&lt;=60,"31-60",IF(O2356&lt;=90,"61-90","90+")))))</f>
        <v/>
      </c>
      <c r="T2356" s="32" t="str">
        <f aca="false">IF(F2356="","",IF(E2356="","Diğer",E2356))</f>
        <v/>
      </c>
      <c r="U2356" s="32" t="str">
        <f aca="false">IF(OR(F2356="",C2356=""),"",IF(COUNTIF($C$2:C2356,C2356)=1,MAX($U$1:U2355)+1,""))</f>
        <v/>
      </c>
    </row>
    <row r="2357" customFormat="false" ht="15" hidden="false" customHeight="false" outlineLevel="0" collapsed="false">
      <c r="A2357" s="34"/>
      <c r="B2357" s="9"/>
      <c r="C2357" s="34"/>
      <c r="D2357" s="34"/>
      <c r="E2357" s="34"/>
      <c r="F2357" s="35"/>
      <c r="G2357" s="9"/>
      <c r="H2357" s="9"/>
      <c r="I2357" s="34"/>
      <c r="J2357" s="30" t="str">
        <f aca="false">IF(F2357="","",G2357-B2357)</f>
        <v/>
      </c>
      <c r="K2357" s="31" t="str">
        <f aca="false">IF(F2357="","",IF(H2357&lt;&gt;"",H2357,MAX('Vade Sapması'!$D$3,G2357)))</f>
        <v/>
      </c>
      <c r="L2357" s="30" t="str">
        <f aca="false">IF(F2357="","",K2357-B2357)</f>
        <v/>
      </c>
      <c r="M2357" s="30" t="str">
        <f aca="false">IF(F2357="","",L2357-J2357)</f>
        <v/>
      </c>
      <c r="N2357" s="32" t="str">
        <f aca="false">IF(F2357="","",IF(H2357&lt;&gt;"","Kapandı",IF('Vade Sapması'!$D$3&gt;G2357,"Açık · vadesi geçti","Açık · vadesi gelmedi")))</f>
        <v/>
      </c>
      <c r="O2357" s="30" t="str">
        <f aca="false">IF(F2357="","",IF(AND(H2357="",'Vade Sapması'!$D$3&gt;G2357),'Vade Sapması'!$D$3-G2357,0))</f>
        <v/>
      </c>
      <c r="P2357" s="33" t="str">
        <f aca="false">IF(F2357="","",F2357*J2357)</f>
        <v/>
      </c>
      <c r="Q2357" s="33" t="str">
        <f aca="false">IF(F2357="","",F2357*L2357)</f>
        <v/>
      </c>
      <c r="R2357" s="33" t="str">
        <f aca="false">IF(F2357="","",IF(H2357="",F2357,0))</f>
        <v/>
      </c>
      <c r="S2357" s="32" t="str">
        <f aca="false">IF(F2357="","",IF(N(O2357)=0,"",IF(O2357&lt;=30,"1-30",IF(O2357&lt;=60,"31-60",IF(O2357&lt;=90,"61-90","90+")))))</f>
        <v/>
      </c>
      <c r="T2357" s="32" t="str">
        <f aca="false">IF(F2357="","",IF(E2357="","Diğer",E2357))</f>
        <v/>
      </c>
      <c r="U2357" s="32" t="str">
        <f aca="false">IF(OR(F2357="",C2357=""),"",IF(COUNTIF($C$2:C2357,C2357)=1,MAX($U$1:U2356)+1,""))</f>
        <v/>
      </c>
    </row>
    <row r="2358" customFormat="false" ht="15" hidden="false" customHeight="false" outlineLevel="0" collapsed="false">
      <c r="A2358" s="34"/>
      <c r="B2358" s="9"/>
      <c r="C2358" s="34"/>
      <c r="D2358" s="34"/>
      <c r="E2358" s="34"/>
      <c r="F2358" s="35"/>
      <c r="G2358" s="9"/>
      <c r="H2358" s="9"/>
      <c r="I2358" s="34"/>
      <c r="J2358" s="30" t="str">
        <f aca="false">IF(F2358="","",G2358-B2358)</f>
        <v/>
      </c>
      <c r="K2358" s="31" t="str">
        <f aca="false">IF(F2358="","",IF(H2358&lt;&gt;"",H2358,MAX('Vade Sapması'!$D$3,G2358)))</f>
        <v/>
      </c>
      <c r="L2358" s="30" t="str">
        <f aca="false">IF(F2358="","",K2358-B2358)</f>
        <v/>
      </c>
      <c r="M2358" s="30" t="str">
        <f aca="false">IF(F2358="","",L2358-J2358)</f>
        <v/>
      </c>
      <c r="N2358" s="32" t="str">
        <f aca="false">IF(F2358="","",IF(H2358&lt;&gt;"","Kapandı",IF('Vade Sapması'!$D$3&gt;G2358,"Açık · vadesi geçti","Açık · vadesi gelmedi")))</f>
        <v/>
      </c>
      <c r="O2358" s="30" t="str">
        <f aca="false">IF(F2358="","",IF(AND(H2358="",'Vade Sapması'!$D$3&gt;G2358),'Vade Sapması'!$D$3-G2358,0))</f>
        <v/>
      </c>
      <c r="P2358" s="33" t="str">
        <f aca="false">IF(F2358="","",F2358*J2358)</f>
        <v/>
      </c>
      <c r="Q2358" s="33" t="str">
        <f aca="false">IF(F2358="","",F2358*L2358)</f>
        <v/>
      </c>
      <c r="R2358" s="33" t="str">
        <f aca="false">IF(F2358="","",IF(H2358="",F2358,0))</f>
        <v/>
      </c>
      <c r="S2358" s="32" t="str">
        <f aca="false">IF(F2358="","",IF(N(O2358)=0,"",IF(O2358&lt;=30,"1-30",IF(O2358&lt;=60,"31-60",IF(O2358&lt;=90,"61-90","90+")))))</f>
        <v/>
      </c>
      <c r="T2358" s="32" t="str">
        <f aca="false">IF(F2358="","",IF(E2358="","Diğer",E2358))</f>
        <v/>
      </c>
      <c r="U2358" s="32" t="str">
        <f aca="false">IF(OR(F2358="",C2358=""),"",IF(COUNTIF($C$2:C2358,C2358)=1,MAX($U$1:U2357)+1,""))</f>
        <v/>
      </c>
    </row>
    <row r="2359" customFormat="false" ht="15" hidden="false" customHeight="false" outlineLevel="0" collapsed="false">
      <c r="A2359" s="34"/>
      <c r="B2359" s="9"/>
      <c r="C2359" s="34"/>
      <c r="D2359" s="34"/>
      <c r="E2359" s="34"/>
      <c r="F2359" s="35"/>
      <c r="G2359" s="9"/>
      <c r="H2359" s="9"/>
      <c r="I2359" s="34"/>
      <c r="J2359" s="30" t="str">
        <f aca="false">IF(F2359="","",G2359-B2359)</f>
        <v/>
      </c>
      <c r="K2359" s="31" t="str">
        <f aca="false">IF(F2359="","",IF(H2359&lt;&gt;"",H2359,MAX('Vade Sapması'!$D$3,G2359)))</f>
        <v/>
      </c>
      <c r="L2359" s="30" t="str">
        <f aca="false">IF(F2359="","",K2359-B2359)</f>
        <v/>
      </c>
      <c r="M2359" s="30" t="str">
        <f aca="false">IF(F2359="","",L2359-J2359)</f>
        <v/>
      </c>
      <c r="N2359" s="32" t="str">
        <f aca="false">IF(F2359="","",IF(H2359&lt;&gt;"","Kapandı",IF('Vade Sapması'!$D$3&gt;G2359,"Açık · vadesi geçti","Açık · vadesi gelmedi")))</f>
        <v/>
      </c>
      <c r="O2359" s="30" t="str">
        <f aca="false">IF(F2359="","",IF(AND(H2359="",'Vade Sapması'!$D$3&gt;G2359),'Vade Sapması'!$D$3-G2359,0))</f>
        <v/>
      </c>
      <c r="P2359" s="33" t="str">
        <f aca="false">IF(F2359="","",F2359*J2359)</f>
        <v/>
      </c>
      <c r="Q2359" s="33" t="str">
        <f aca="false">IF(F2359="","",F2359*L2359)</f>
        <v/>
      </c>
      <c r="R2359" s="33" t="str">
        <f aca="false">IF(F2359="","",IF(H2359="",F2359,0))</f>
        <v/>
      </c>
      <c r="S2359" s="32" t="str">
        <f aca="false">IF(F2359="","",IF(N(O2359)=0,"",IF(O2359&lt;=30,"1-30",IF(O2359&lt;=60,"31-60",IF(O2359&lt;=90,"61-90","90+")))))</f>
        <v/>
      </c>
      <c r="T2359" s="32" t="str">
        <f aca="false">IF(F2359="","",IF(E2359="","Diğer",E2359))</f>
        <v/>
      </c>
      <c r="U2359" s="32" t="str">
        <f aca="false">IF(OR(F2359="",C2359=""),"",IF(COUNTIF($C$2:C2359,C2359)=1,MAX($U$1:U2358)+1,""))</f>
        <v/>
      </c>
    </row>
    <row r="2360" customFormat="false" ht="15" hidden="false" customHeight="false" outlineLevel="0" collapsed="false">
      <c r="A2360" s="34"/>
      <c r="B2360" s="9"/>
      <c r="C2360" s="34"/>
      <c r="D2360" s="34"/>
      <c r="E2360" s="34"/>
      <c r="F2360" s="35"/>
      <c r="G2360" s="9"/>
      <c r="H2360" s="9"/>
      <c r="I2360" s="34"/>
      <c r="J2360" s="30" t="str">
        <f aca="false">IF(F2360="","",G2360-B2360)</f>
        <v/>
      </c>
      <c r="K2360" s="31" t="str">
        <f aca="false">IF(F2360="","",IF(H2360&lt;&gt;"",H2360,MAX('Vade Sapması'!$D$3,G2360)))</f>
        <v/>
      </c>
      <c r="L2360" s="30" t="str">
        <f aca="false">IF(F2360="","",K2360-B2360)</f>
        <v/>
      </c>
      <c r="M2360" s="30" t="str">
        <f aca="false">IF(F2360="","",L2360-J2360)</f>
        <v/>
      </c>
      <c r="N2360" s="32" t="str">
        <f aca="false">IF(F2360="","",IF(H2360&lt;&gt;"","Kapandı",IF('Vade Sapması'!$D$3&gt;G2360,"Açık · vadesi geçti","Açık · vadesi gelmedi")))</f>
        <v/>
      </c>
      <c r="O2360" s="30" t="str">
        <f aca="false">IF(F2360="","",IF(AND(H2360="",'Vade Sapması'!$D$3&gt;G2360),'Vade Sapması'!$D$3-G2360,0))</f>
        <v/>
      </c>
      <c r="P2360" s="33" t="str">
        <f aca="false">IF(F2360="","",F2360*J2360)</f>
        <v/>
      </c>
      <c r="Q2360" s="33" t="str">
        <f aca="false">IF(F2360="","",F2360*L2360)</f>
        <v/>
      </c>
      <c r="R2360" s="33" t="str">
        <f aca="false">IF(F2360="","",IF(H2360="",F2360,0))</f>
        <v/>
      </c>
      <c r="S2360" s="32" t="str">
        <f aca="false">IF(F2360="","",IF(N(O2360)=0,"",IF(O2360&lt;=30,"1-30",IF(O2360&lt;=60,"31-60",IF(O2360&lt;=90,"61-90","90+")))))</f>
        <v/>
      </c>
      <c r="T2360" s="32" t="str">
        <f aca="false">IF(F2360="","",IF(E2360="","Diğer",E2360))</f>
        <v/>
      </c>
      <c r="U2360" s="32" t="str">
        <f aca="false">IF(OR(F2360="",C2360=""),"",IF(COUNTIF($C$2:C2360,C2360)=1,MAX($U$1:U2359)+1,""))</f>
        <v/>
      </c>
    </row>
    <row r="2361" customFormat="false" ht="15" hidden="false" customHeight="false" outlineLevel="0" collapsed="false">
      <c r="A2361" s="34"/>
      <c r="B2361" s="9"/>
      <c r="C2361" s="34"/>
      <c r="D2361" s="34"/>
      <c r="E2361" s="34"/>
      <c r="F2361" s="35"/>
      <c r="G2361" s="9"/>
      <c r="H2361" s="9"/>
      <c r="I2361" s="34"/>
      <c r="J2361" s="30" t="str">
        <f aca="false">IF(F2361="","",G2361-B2361)</f>
        <v/>
      </c>
      <c r="K2361" s="31" t="str">
        <f aca="false">IF(F2361="","",IF(H2361&lt;&gt;"",H2361,MAX('Vade Sapması'!$D$3,G2361)))</f>
        <v/>
      </c>
      <c r="L2361" s="30" t="str">
        <f aca="false">IF(F2361="","",K2361-B2361)</f>
        <v/>
      </c>
      <c r="M2361" s="30" t="str">
        <f aca="false">IF(F2361="","",L2361-J2361)</f>
        <v/>
      </c>
      <c r="N2361" s="32" t="str">
        <f aca="false">IF(F2361="","",IF(H2361&lt;&gt;"","Kapandı",IF('Vade Sapması'!$D$3&gt;G2361,"Açık · vadesi geçti","Açık · vadesi gelmedi")))</f>
        <v/>
      </c>
      <c r="O2361" s="30" t="str">
        <f aca="false">IF(F2361="","",IF(AND(H2361="",'Vade Sapması'!$D$3&gt;G2361),'Vade Sapması'!$D$3-G2361,0))</f>
        <v/>
      </c>
      <c r="P2361" s="33" t="str">
        <f aca="false">IF(F2361="","",F2361*J2361)</f>
        <v/>
      </c>
      <c r="Q2361" s="33" t="str">
        <f aca="false">IF(F2361="","",F2361*L2361)</f>
        <v/>
      </c>
      <c r="R2361" s="33" t="str">
        <f aca="false">IF(F2361="","",IF(H2361="",F2361,0))</f>
        <v/>
      </c>
      <c r="S2361" s="32" t="str">
        <f aca="false">IF(F2361="","",IF(N(O2361)=0,"",IF(O2361&lt;=30,"1-30",IF(O2361&lt;=60,"31-60",IF(O2361&lt;=90,"61-90","90+")))))</f>
        <v/>
      </c>
      <c r="T2361" s="32" t="str">
        <f aca="false">IF(F2361="","",IF(E2361="","Diğer",E2361))</f>
        <v/>
      </c>
      <c r="U2361" s="32" t="str">
        <f aca="false">IF(OR(F2361="",C2361=""),"",IF(COUNTIF($C$2:C2361,C2361)=1,MAX($U$1:U2360)+1,""))</f>
        <v/>
      </c>
    </row>
    <row r="2362" customFormat="false" ht="15" hidden="false" customHeight="false" outlineLevel="0" collapsed="false">
      <c r="A2362" s="34"/>
      <c r="B2362" s="9"/>
      <c r="C2362" s="34"/>
      <c r="D2362" s="34"/>
      <c r="E2362" s="34"/>
      <c r="F2362" s="35"/>
      <c r="G2362" s="9"/>
      <c r="H2362" s="9"/>
      <c r="I2362" s="34"/>
      <c r="J2362" s="30" t="str">
        <f aca="false">IF(F2362="","",G2362-B2362)</f>
        <v/>
      </c>
      <c r="K2362" s="31" t="str">
        <f aca="false">IF(F2362="","",IF(H2362&lt;&gt;"",H2362,MAX('Vade Sapması'!$D$3,G2362)))</f>
        <v/>
      </c>
      <c r="L2362" s="30" t="str">
        <f aca="false">IF(F2362="","",K2362-B2362)</f>
        <v/>
      </c>
      <c r="M2362" s="30" t="str">
        <f aca="false">IF(F2362="","",L2362-J2362)</f>
        <v/>
      </c>
      <c r="N2362" s="32" t="str">
        <f aca="false">IF(F2362="","",IF(H2362&lt;&gt;"","Kapandı",IF('Vade Sapması'!$D$3&gt;G2362,"Açık · vadesi geçti","Açık · vadesi gelmedi")))</f>
        <v/>
      </c>
      <c r="O2362" s="30" t="str">
        <f aca="false">IF(F2362="","",IF(AND(H2362="",'Vade Sapması'!$D$3&gt;G2362),'Vade Sapması'!$D$3-G2362,0))</f>
        <v/>
      </c>
      <c r="P2362" s="33" t="str">
        <f aca="false">IF(F2362="","",F2362*J2362)</f>
        <v/>
      </c>
      <c r="Q2362" s="33" t="str">
        <f aca="false">IF(F2362="","",F2362*L2362)</f>
        <v/>
      </c>
      <c r="R2362" s="33" t="str">
        <f aca="false">IF(F2362="","",IF(H2362="",F2362,0))</f>
        <v/>
      </c>
      <c r="S2362" s="32" t="str">
        <f aca="false">IF(F2362="","",IF(N(O2362)=0,"",IF(O2362&lt;=30,"1-30",IF(O2362&lt;=60,"31-60",IF(O2362&lt;=90,"61-90","90+")))))</f>
        <v/>
      </c>
      <c r="T2362" s="32" t="str">
        <f aca="false">IF(F2362="","",IF(E2362="","Diğer",E2362))</f>
        <v/>
      </c>
      <c r="U2362" s="32" t="str">
        <f aca="false">IF(OR(F2362="",C2362=""),"",IF(COUNTIF($C$2:C2362,C2362)=1,MAX($U$1:U2361)+1,""))</f>
        <v/>
      </c>
    </row>
    <row r="2363" customFormat="false" ht="15" hidden="false" customHeight="false" outlineLevel="0" collapsed="false">
      <c r="A2363" s="34"/>
      <c r="B2363" s="9"/>
      <c r="C2363" s="34"/>
      <c r="D2363" s="34"/>
      <c r="E2363" s="34"/>
      <c r="F2363" s="35"/>
      <c r="G2363" s="9"/>
      <c r="H2363" s="9"/>
      <c r="I2363" s="34"/>
      <c r="J2363" s="30" t="str">
        <f aca="false">IF(F2363="","",G2363-B2363)</f>
        <v/>
      </c>
      <c r="K2363" s="31" t="str">
        <f aca="false">IF(F2363="","",IF(H2363&lt;&gt;"",H2363,MAX('Vade Sapması'!$D$3,G2363)))</f>
        <v/>
      </c>
      <c r="L2363" s="30" t="str">
        <f aca="false">IF(F2363="","",K2363-B2363)</f>
        <v/>
      </c>
      <c r="M2363" s="30" t="str">
        <f aca="false">IF(F2363="","",L2363-J2363)</f>
        <v/>
      </c>
      <c r="N2363" s="32" t="str">
        <f aca="false">IF(F2363="","",IF(H2363&lt;&gt;"","Kapandı",IF('Vade Sapması'!$D$3&gt;G2363,"Açık · vadesi geçti","Açık · vadesi gelmedi")))</f>
        <v/>
      </c>
      <c r="O2363" s="30" t="str">
        <f aca="false">IF(F2363="","",IF(AND(H2363="",'Vade Sapması'!$D$3&gt;G2363),'Vade Sapması'!$D$3-G2363,0))</f>
        <v/>
      </c>
      <c r="P2363" s="33" t="str">
        <f aca="false">IF(F2363="","",F2363*J2363)</f>
        <v/>
      </c>
      <c r="Q2363" s="33" t="str">
        <f aca="false">IF(F2363="","",F2363*L2363)</f>
        <v/>
      </c>
      <c r="R2363" s="33" t="str">
        <f aca="false">IF(F2363="","",IF(H2363="",F2363,0))</f>
        <v/>
      </c>
      <c r="S2363" s="32" t="str">
        <f aca="false">IF(F2363="","",IF(N(O2363)=0,"",IF(O2363&lt;=30,"1-30",IF(O2363&lt;=60,"31-60",IF(O2363&lt;=90,"61-90","90+")))))</f>
        <v/>
      </c>
      <c r="T2363" s="32" t="str">
        <f aca="false">IF(F2363="","",IF(E2363="","Diğer",E2363))</f>
        <v/>
      </c>
      <c r="U2363" s="32" t="str">
        <f aca="false">IF(OR(F2363="",C2363=""),"",IF(COUNTIF($C$2:C2363,C2363)=1,MAX($U$1:U2362)+1,""))</f>
        <v/>
      </c>
    </row>
    <row r="2364" customFormat="false" ht="15" hidden="false" customHeight="false" outlineLevel="0" collapsed="false">
      <c r="A2364" s="34"/>
      <c r="B2364" s="9"/>
      <c r="C2364" s="34"/>
      <c r="D2364" s="34"/>
      <c r="E2364" s="34"/>
      <c r="F2364" s="35"/>
      <c r="G2364" s="9"/>
      <c r="H2364" s="9"/>
      <c r="I2364" s="34"/>
      <c r="J2364" s="30" t="str">
        <f aca="false">IF(F2364="","",G2364-B2364)</f>
        <v/>
      </c>
      <c r="K2364" s="31" t="str">
        <f aca="false">IF(F2364="","",IF(H2364&lt;&gt;"",H2364,MAX('Vade Sapması'!$D$3,G2364)))</f>
        <v/>
      </c>
      <c r="L2364" s="30" t="str">
        <f aca="false">IF(F2364="","",K2364-B2364)</f>
        <v/>
      </c>
      <c r="M2364" s="30" t="str">
        <f aca="false">IF(F2364="","",L2364-J2364)</f>
        <v/>
      </c>
      <c r="N2364" s="32" t="str">
        <f aca="false">IF(F2364="","",IF(H2364&lt;&gt;"","Kapandı",IF('Vade Sapması'!$D$3&gt;G2364,"Açık · vadesi geçti","Açık · vadesi gelmedi")))</f>
        <v/>
      </c>
      <c r="O2364" s="30" t="str">
        <f aca="false">IF(F2364="","",IF(AND(H2364="",'Vade Sapması'!$D$3&gt;G2364),'Vade Sapması'!$D$3-G2364,0))</f>
        <v/>
      </c>
      <c r="P2364" s="33" t="str">
        <f aca="false">IF(F2364="","",F2364*J2364)</f>
        <v/>
      </c>
      <c r="Q2364" s="33" t="str">
        <f aca="false">IF(F2364="","",F2364*L2364)</f>
        <v/>
      </c>
      <c r="R2364" s="33" t="str">
        <f aca="false">IF(F2364="","",IF(H2364="",F2364,0))</f>
        <v/>
      </c>
      <c r="S2364" s="32" t="str">
        <f aca="false">IF(F2364="","",IF(N(O2364)=0,"",IF(O2364&lt;=30,"1-30",IF(O2364&lt;=60,"31-60",IF(O2364&lt;=90,"61-90","90+")))))</f>
        <v/>
      </c>
      <c r="T2364" s="32" t="str">
        <f aca="false">IF(F2364="","",IF(E2364="","Diğer",E2364))</f>
        <v/>
      </c>
      <c r="U2364" s="32" t="str">
        <f aca="false">IF(OR(F2364="",C2364=""),"",IF(COUNTIF($C$2:C2364,C2364)=1,MAX($U$1:U2363)+1,""))</f>
        <v/>
      </c>
    </row>
    <row r="2365" customFormat="false" ht="15" hidden="false" customHeight="false" outlineLevel="0" collapsed="false">
      <c r="A2365" s="34"/>
      <c r="B2365" s="9"/>
      <c r="C2365" s="34"/>
      <c r="D2365" s="34"/>
      <c r="E2365" s="34"/>
      <c r="F2365" s="35"/>
      <c r="G2365" s="9"/>
      <c r="H2365" s="9"/>
      <c r="I2365" s="34"/>
      <c r="J2365" s="30" t="str">
        <f aca="false">IF(F2365="","",G2365-B2365)</f>
        <v/>
      </c>
      <c r="K2365" s="31" t="str">
        <f aca="false">IF(F2365="","",IF(H2365&lt;&gt;"",H2365,MAX('Vade Sapması'!$D$3,G2365)))</f>
        <v/>
      </c>
      <c r="L2365" s="30" t="str">
        <f aca="false">IF(F2365="","",K2365-B2365)</f>
        <v/>
      </c>
      <c r="M2365" s="30" t="str">
        <f aca="false">IF(F2365="","",L2365-J2365)</f>
        <v/>
      </c>
      <c r="N2365" s="32" t="str">
        <f aca="false">IF(F2365="","",IF(H2365&lt;&gt;"","Kapandı",IF('Vade Sapması'!$D$3&gt;G2365,"Açık · vadesi geçti","Açık · vadesi gelmedi")))</f>
        <v/>
      </c>
      <c r="O2365" s="30" t="str">
        <f aca="false">IF(F2365="","",IF(AND(H2365="",'Vade Sapması'!$D$3&gt;G2365),'Vade Sapması'!$D$3-G2365,0))</f>
        <v/>
      </c>
      <c r="P2365" s="33" t="str">
        <f aca="false">IF(F2365="","",F2365*J2365)</f>
        <v/>
      </c>
      <c r="Q2365" s="33" t="str">
        <f aca="false">IF(F2365="","",F2365*L2365)</f>
        <v/>
      </c>
      <c r="R2365" s="33" t="str">
        <f aca="false">IF(F2365="","",IF(H2365="",F2365,0))</f>
        <v/>
      </c>
      <c r="S2365" s="32" t="str">
        <f aca="false">IF(F2365="","",IF(N(O2365)=0,"",IF(O2365&lt;=30,"1-30",IF(O2365&lt;=60,"31-60",IF(O2365&lt;=90,"61-90","90+")))))</f>
        <v/>
      </c>
      <c r="T2365" s="32" t="str">
        <f aca="false">IF(F2365="","",IF(E2365="","Diğer",E2365))</f>
        <v/>
      </c>
      <c r="U2365" s="32" t="str">
        <f aca="false">IF(OR(F2365="",C2365=""),"",IF(COUNTIF($C$2:C2365,C2365)=1,MAX($U$1:U2364)+1,""))</f>
        <v/>
      </c>
    </row>
    <row r="2366" customFormat="false" ht="15" hidden="false" customHeight="false" outlineLevel="0" collapsed="false">
      <c r="A2366" s="34"/>
      <c r="B2366" s="9"/>
      <c r="C2366" s="34"/>
      <c r="D2366" s="34"/>
      <c r="E2366" s="34"/>
      <c r="F2366" s="35"/>
      <c r="G2366" s="9"/>
      <c r="H2366" s="9"/>
      <c r="I2366" s="34"/>
      <c r="J2366" s="30" t="str">
        <f aca="false">IF(F2366="","",G2366-B2366)</f>
        <v/>
      </c>
      <c r="K2366" s="31" t="str">
        <f aca="false">IF(F2366="","",IF(H2366&lt;&gt;"",H2366,MAX('Vade Sapması'!$D$3,G2366)))</f>
        <v/>
      </c>
      <c r="L2366" s="30" t="str">
        <f aca="false">IF(F2366="","",K2366-B2366)</f>
        <v/>
      </c>
      <c r="M2366" s="30" t="str">
        <f aca="false">IF(F2366="","",L2366-J2366)</f>
        <v/>
      </c>
      <c r="N2366" s="32" t="str">
        <f aca="false">IF(F2366="","",IF(H2366&lt;&gt;"","Kapandı",IF('Vade Sapması'!$D$3&gt;G2366,"Açık · vadesi geçti","Açık · vadesi gelmedi")))</f>
        <v/>
      </c>
      <c r="O2366" s="30" t="str">
        <f aca="false">IF(F2366="","",IF(AND(H2366="",'Vade Sapması'!$D$3&gt;G2366),'Vade Sapması'!$D$3-G2366,0))</f>
        <v/>
      </c>
      <c r="P2366" s="33" t="str">
        <f aca="false">IF(F2366="","",F2366*J2366)</f>
        <v/>
      </c>
      <c r="Q2366" s="33" t="str">
        <f aca="false">IF(F2366="","",F2366*L2366)</f>
        <v/>
      </c>
      <c r="R2366" s="33" t="str">
        <f aca="false">IF(F2366="","",IF(H2366="",F2366,0))</f>
        <v/>
      </c>
      <c r="S2366" s="32" t="str">
        <f aca="false">IF(F2366="","",IF(N(O2366)=0,"",IF(O2366&lt;=30,"1-30",IF(O2366&lt;=60,"31-60",IF(O2366&lt;=90,"61-90","90+")))))</f>
        <v/>
      </c>
      <c r="T2366" s="32" t="str">
        <f aca="false">IF(F2366="","",IF(E2366="","Diğer",E2366))</f>
        <v/>
      </c>
      <c r="U2366" s="32" t="str">
        <f aca="false">IF(OR(F2366="",C2366=""),"",IF(COUNTIF($C$2:C2366,C2366)=1,MAX($U$1:U2365)+1,""))</f>
        <v/>
      </c>
    </row>
    <row r="2367" customFormat="false" ht="15" hidden="false" customHeight="false" outlineLevel="0" collapsed="false">
      <c r="A2367" s="34"/>
      <c r="B2367" s="9"/>
      <c r="C2367" s="34"/>
      <c r="D2367" s="34"/>
      <c r="E2367" s="34"/>
      <c r="F2367" s="35"/>
      <c r="G2367" s="9"/>
      <c r="H2367" s="9"/>
      <c r="I2367" s="34"/>
      <c r="J2367" s="30" t="str">
        <f aca="false">IF(F2367="","",G2367-B2367)</f>
        <v/>
      </c>
      <c r="K2367" s="31" t="str">
        <f aca="false">IF(F2367="","",IF(H2367&lt;&gt;"",H2367,MAX('Vade Sapması'!$D$3,G2367)))</f>
        <v/>
      </c>
      <c r="L2367" s="30" t="str">
        <f aca="false">IF(F2367="","",K2367-B2367)</f>
        <v/>
      </c>
      <c r="M2367" s="30" t="str">
        <f aca="false">IF(F2367="","",L2367-J2367)</f>
        <v/>
      </c>
      <c r="N2367" s="32" t="str">
        <f aca="false">IF(F2367="","",IF(H2367&lt;&gt;"","Kapandı",IF('Vade Sapması'!$D$3&gt;G2367,"Açık · vadesi geçti","Açık · vadesi gelmedi")))</f>
        <v/>
      </c>
      <c r="O2367" s="30" t="str">
        <f aca="false">IF(F2367="","",IF(AND(H2367="",'Vade Sapması'!$D$3&gt;G2367),'Vade Sapması'!$D$3-G2367,0))</f>
        <v/>
      </c>
      <c r="P2367" s="33" t="str">
        <f aca="false">IF(F2367="","",F2367*J2367)</f>
        <v/>
      </c>
      <c r="Q2367" s="33" t="str">
        <f aca="false">IF(F2367="","",F2367*L2367)</f>
        <v/>
      </c>
      <c r="R2367" s="33" t="str">
        <f aca="false">IF(F2367="","",IF(H2367="",F2367,0))</f>
        <v/>
      </c>
      <c r="S2367" s="32" t="str">
        <f aca="false">IF(F2367="","",IF(N(O2367)=0,"",IF(O2367&lt;=30,"1-30",IF(O2367&lt;=60,"31-60",IF(O2367&lt;=90,"61-90","90+")))))</f>
        <v/>
      </c>
      <c r="T2367" s="32" t="str">
        <f aca="false">IF(F2367="","",IF(E2367="","Diğer",E2367))</f>
        <v/>
      </c>
      <c r="U2367" s="32" t="str">
        <f aca="false">IF(OR(F2367="",C2367=""),"",IF(COUNTIF($C$2:C2367,C2367)=1,MAX($U$1:U2366)+1,""))</f>
        <v/>
      </c>
    </row>
    <row r="2368" customFormat="false" ht="15" hidden="false" customHeight="false" outlineLevel="0" collapsed="false">
      <c r="A2368" s="34"/>
      <c r="B2368" s="9"/>
      <c r="C2368" s="34"/>
      <c r="D2368" s="34"/>
      <c r="E2368" s="34"/>
      <c r="F2368" s="35"/>
      <c r="G2368" s="9"/>
      <c r="H2368" s="9"/>
      <c r="I2368" s="34"/>
      <c r="J2368" s="30" t="str">
        <f aca="false">IF(F2368="","",G2368-B2368)</f>
        <v/>
      </c>
      <c r="K2368" s="31" t="str">
        <f aca="false">IF(F2368="","",IF(H2368&lt;&gt;"",H2368,MAX('Vade Sapması'!$D$3,G2368)))</f>
        <v/>
      </c>
      <c r="L2368" s="30" t="str">
        <f aca="false">IF(F2368="","",K2368-B2368)</f>
        <v/>
      </c>
      <c r="M2368" s="30" t="str">
        <f aca="false">IF(F2368="","",L2368-J2368)</f>
        <v/>
      </c>
      <c r="N2368" s="32" t="str">
        <f aca="false">IF(F2368="","",IF(H2368&lt;&gt;"","Kapandı",IF('Vade Sapması'!$D$3&gt;G2368,"Açık · vadesi geçti","Açık · vadesi gelmedi")))</f>
        <v/>
      </c>
      <c r="O2368" s="30" t="str">
        <f aca="false">IF(F2368="","",IF(AND(H2368="",'Vade Sapması'!$D$3&gt;G2368),'Vade Sapması'!$D$3-G2368,0))</f>
        <v/>
      </c>
      <c r="P2368" s="33" t="str">
        <f aca="false">IF(F2368="","",F2368*J2368)</f>
        <v/>
      </c>
      <c r="Q2368" s="33" t="str">
        <f aca="false">IF(F2368="","",F2368*L2368)</f>
        <v/>
      </c>
      <c r="R2368" s="33" t="str">
        <f aca="false">IF(F2368="","",IF(H2368="",F2368,0))</f>
        <v/>
      </c>
      <c r="S2368" s="32" t="str">
        <f aca="false">IF(F2368="","",IF(N(O2368)=0,"",IF(O2368&lt;=30,"1-30",IF(O2368&lt;=60,"31-60",IF(O2368&lt;=90,"61-90","90+")))))</f>
        <v/>
      </c>
      <c r="T2368" s="32" t="str">
        <f aca="false">IF(F2368="","",IF(E2368="","Diğer",E2368))</f>
        <v/>
      </c>
      <c r="U2368" s="32" t="str">
        <f aca="false">IF(OR(F2368="",C2368=""),"",IF(COUNTIF($C$2:C2368,C2368)=1,MAX($U$1:U2367)+1,""))</f>
        <v/>
      </c>
    </row>
    <row r="2369" customFormat="false" ht="15" hidden="false" customHeight="false" outlineLevel="0" collapsed="false">
      <c r="A2369" s="34"/>
      <c r="B2369" s="9"/>
      <c r="C2369" s="34"/>
      <c r="D2369" s="34"/>
      <c r="E2369" s="34"/>
      <c r="F2369" s="35"/>
      <c r="G2369" s="9"/>
      <c r="H2369" s="9"/>
      <c r="I2369" s="34"/>
      <c r="J2369" s="30" t="str">
        <f aca="false">IF(F2369="","",G2369-B2369)</f>
        <v/>
      </c>
      <c r="K2369" s="31" t="str">
        <f aca="false">IF(F2369="","",IF(H2369&lt;&gt;"",H2369,MAX('Vade Sapması'!$D$3,G2369)))</f>
        <v/>
      </c>
      <c r="L2369" s="30" t="str">
        <f aca="false">IF(F2369="","",K2369-B2369)</f>
        <v/>
      </c>
      <c r="M2369" s="30" t="str">
        <f aca="false">IF(F2369="","",L2369-J2369)</f>
        <v/>
      </c>
      <c r="N2369" s="32" t="str">
        <f aca="false">IF(F2369="","",IF(H2369&lt;&gt;"","Kapandı",IF('Vade Sapması'!$D$3&gt;G2369,"Açık · vadesi geçti","Açık · vadesi gelmedi")))</f>
        <v/>
      </c>
      <c r="O2369" s="30" t="str">
        <f aca="false">IF(F2369="","",IF(AND(H2369="",'Vade Sapması'!$D$3&gt;G2369),'Vade Sapması'!$D$3-G2369,0))</f>
        <v/>
      </c>
      <c r="P2369" s="33" t="str">
        <f aca="false">IF(F2369="","",F2369*J2369)</f>
        <v/>
      </c>
      <c r="Q2369" s="33" t="str">
        <f aca="false">IF(F2369="","",F2369*L2369)</f>
        <v/>
      </c>
      <c r="R2369" s="33" t="str">
        <f aca="false">IF(F2369="","",IF(H2369="",F2369,0))</f>
        <v/>
      </c>
      <c r="S2369" s="32" t="str">
        <f aca="false">IF(F2369="","",IF(N(O2369)=0,"",IF(O2369&lt;=30,"1-30",IF(O2369&lt;=60,"31-60",IF(O2369&lt;=90,"61-90","90+")))))</f>
        <v/>
      </c>
      <c r="T2369" s="32" t="str">
        <f aca="false">IF(F2369="","",IF(E2369="","Diğer",E2369))</f>
        <v/>
      </c>
      <c r="U2369" s="32" t="str">
        <f aca="false">IF(OR(F2369="",C2369=""),"",IF(COUNTIF($C$2:C2369,C2369)=1,MAX($U$1:U2368)+1,""))</f>
        <v/>
      </c>
    </row>
    <row r="2370" customFormat="false" ht="15" hidden="false" customHeight="false" outlineLevel="0" collapsed="false">
      <c r="A2370" s="34"/>
      <c r="B2370" s="9"/>
      <c r="C2370" s="34"/>
      <c r="D2370" s="34"/>
      <c r="E2370" s="34"/>
      <c r="F2370" s="35"/>
      <c r="G2370" s="9"/>
      <c r="H2370" s="9"/>
      <c r="I2370" s="34"/>
      <c r="J2370" s="30" t="str">
        <f aca="false">IF(F2370="","",G2370-B2370)</f>
        <v/>
      </c>
      <c r="K2370" s="31" t="str">
        <f aca="false">IF(F2370="","",IF(H2370&lt;&gt;"",H2370,MAX('Vade Sapması'!$D$3,G2370)))</f>
        <v/>
      </c>
      <c r="L2370" s="30" t="str">
        <f aca="false">IF(F2370="","",K2370-B2370)</f>
        <v/>
      </c>
      <c r="M2370" s="30" t="str">
        <f aca="false">IF(F2370="","",L2370-J2370)</f>
        <v/>
      </c>
      <c r="N2370" s="32" t="str">
        <f aca="false">IF(F2370="","",IF(H2370&lt;&gt;"","Kapandı",IF('Vade Sapması'!$D$3&gt;G2370,"Açık · vadesi geçti","Açık · vadesi gelmedi")))</f>
        <v/>
      </c>
      <c r="O2370" s="30" t="str">
        <f aca="false">IF(F2370="","",IF(AND(H2370="",'Vade Sapması'!$D$3&gt;G2370),'Vade Sapması'!$D$3-G2370,0))</f>
        <v/>
      </c>
      <c r="P2370" s="33" t="str">
        <f aca="false">IF(F2370="","",F2370*J2370)</f>
        <v/>
      </c>
      <c r="Q2370" s="33" t="str">
        <f aca="false">IF(F2370="","",F2370*L2370)</f>
        <v/>
      </c>
      <c r="R2370" s="33" t="str">
        <f aca="false">IF(F2370="","",IF(H2370="",F2370,0))</f>
        <v/>
      </c>
      <c r="S2370" s="32" t="str">
        <f aca="false">IF(F2370="","",IF(N(O2370)=0,"",IF(O2370&lt;=30,"1-30",IF(O2370&lt;=60,"31-60",IF(O2370&lt;=90,"61-90","90+")))))</f>
        <v/>
      </c>
      <c r="T2370" s="32" t="str">
        <f aca="false">IF(F2370="","",IF(E2370="","Diğer",E2370))</f>
        <v/>
      </c>
      <c r="U2370" s="32" t="str">
        <f aca="false">IF(OR(F2370="",C2370=""),"",IF(COUNTIF($C$2:C2370,C2370)=1,MAX($U$1:U2369)+1,""))</f>
        <v/>
      </c>
    </row>
    <row r="2371" customFormat="false" ht="15" hidden="false" customHeight="false" outlineLevel="0" collapsed="false">
      <c r="A2371" s="34"/>
      <c r="B2371" s="9"/>
      <c r="C2371" s="34"/>
      <c r="D2371" s="34"/>
      <c r="E2371" s="34"/>
      <c r="F2371" s="35"/>
      <c r="G2371" s="9"/>
      <c r="H2371" s="9"/>
      <c r="I2371" s="34"/>
      <c r="J2371" s="30" t="str">
        <f aca="false">IF(F2371="","",G2371-B2371)</f>
        <v/>
      </c>
      <c r="K2371" s="31" t="str">
        <f aca="false">IF(F2371="","",IF(H2371&lt;&gt;"",H2371,MAX('Vade Sapması'!$D$3,G2371)))</f>
        <v/>
      </c>
      <c r="L2371" s="30" t="str">
        <f aca="false">IF(F2371="","",K2371-B2371)</f>
        <v/>
      </c>
      <c r="M2371" s="30" t="str">
        <f aca="false">IF(F2371="","",L2371-J2371)</f>
        <v/>
      </c>
      <c r="N2371" s="32" t="str">
        <f aca="false">IF(F2371="","",IF(H2371&lt;&gt;"","Kapandı",IF('Vade Sapması'!$D$3&gt;G2371,"Açık · vadesi geçti","Açık · vadesi gelmedi")))</f>
        <v/>
      </c>
      <c r="O2371" s="30" t="str">
        <f aca="false">IF(F2371="","",IF(AND(H2371="",'Vade Sapması'!$D$3&gt;G2371),'Vade Sapması'!$D$3-G2371,0))</f>
        <v/>
      </c>
      <c r="P2371" s="33" t="str">
        <f aca="false">IF(F2371="","",F2371*J2371)</f>
        <v/>
      </c>
      <c r="Q2371" s="33" t="str">
        <f aca="false">IF(F2371="","",F2371*L2371)</f>
        <v/>
      </c>
      <c r="R2371" s="33" t="str">
        <f aca="false">IF(F2371="","",IF(H2371="",F2371,0))</f>
        <v/>
      </c>
      <c r="S2371" s="32" t="str">
        <f aca="false">IF(F2371="","",IF(N(O2371)=0,"",IF(O2371&lt;=30,"1-30",IF(O2371&lt;=60,"31-60",IF(O2371&lt;=90,"61-90","90+")))))</f>
        <v/>
      </c>
      <c r="T2371" s="32" t="str">
        <f aca="false">IF(F2371="","",IF(E2371="","Diğer",E2371))</f>
        <v/>
      </c>
      <c r="U2371" s="32" t="str">
        <f aca="false">IF(OR(F2371="",C2371=""),"",IF(COUNTIF($C$2:C2371,C2371)=1,MAX($U$1:U2370)+1,""))</f>
        <v/>
      </c>
    </row>
    <row r="2372" customFormat="false" ht="15" hidden="false" customHeight="false" outlineLevel="0" collapsed="false">
      <c r="A2372" s="34"/>
      <c r="B2372" s="9"/>
      <c r="C2372" s="34"/>
      <c r="D2372" s="34"/>
      <c r="E2372" s="34"/>
      <c r="F2372" s="35"/>
      <c r="G2372" s="9"/>
      <c r="H2372" s="9"/>
      <c r="I2372" s="34"/>
      <c r="J2372" s="30" t="str">
        <f aca="false">IF(F2372="","",G2372-B2372)</f>
        <v/>
      </c>
      <c r="K2372" s="31" t="str">
        <f aca="false">IF(F2372="","",IF(H2372&lt;&gt;"",H2372,MAX('Vade Sapması'!$D$3,G2372)))</f>
        <v/>
      </c>
      <c r="L2372" s="30" t="str">
        <f aca="false">IF(F2372="","",K2372-B2372)</f>
        <v/>
      </c>
      <c r="M2372" s="30" t="str">
        <f aca="false">IF(F2372="","",L2372-J2372)</f>
        <v/>
      </c>
      <c r="N2372" s="32" t="str">
        <f aca="false">IF(F2372="","",IF(H2372&lt;&gt;"","Kapandı",IF('Vade Sapması'!$D$3&gt;G2372,"Açık · vadesi geçti","Açık · vadesi gelmedi")))</f>
        <v/>
      </c>
      <c r="O2372" s="30" t="str">
        <f aca="false">IF(F2372="","",IF(AND(H2372="",'Vade Sapması'!$D$3&gt;G2372),'Vade Sapması'!$D$3-G2372,0))</f>
        <v/>
      </c>
      <c r="P2372" s="33" t="str">
        <f aca="false">IF(F2372="","",F2372*J2372)</f>
        <v/>
      </c>
      <c r="Q2372" s="33" t="str">
        <f aca="false">IF(F2372="","",F2372*L2372)</f>
        <v/>
      </c>
      <c r="R2372" s="33" t="str">
        <f aca="false">IF(F2372="","",IF(H2372="",F2372,0))</f>
        <v/>
      </c>
      <c r="S2372" s="32" t="str">
        <f aca="false">IF(F2372="","",IF(N(O2372)=0,"",IF(O2372&lt;=30,"1-30",IF(O2372&lt;=60,"31-60",IF(O2372&lt;=90,"61-90","90+")))))</f>
        <v/>
      </c>
      <c r="T2372" s="32" t="str">
        <f aca="false">IF(F2372="","",IF(E2372="","Diğer",E2372))</f>
        <v/>
      </c>
      <c r="U2372" s="32" t="str">
        <f aca="false">IF(OR(F2372="",C2372=""),"",IF(COUNTIF($C$2:C2372,C2372)=1,MAX($U$1:U2371)+1,""))</f>
        <v/>
      </c>
    </row>
    <row r="2373" customFormat="false" ht="15" hidden="false" customHeight="false" outlineLevel="0" collapsed="false">
      <c r="A2373" s="34"/>
      <c r="B2373" s="9"/>
      <c r="C2373" s="34"/>
      <c r="D2373" s="34"/>
      <c r="E2373" s="34"/>
      <c r="F2373" s="35"/>
      <c r="G2373" s="9"/>
      <c r="H2373" s="9"/>
      <c r="I2373" s="34"/>
      <c r="J2373" s="30" t="str">
        <f aca="false">IF(F2373="","",G2373-B2373)</f>
        <v/>
      </c>
      <c r="K2373" s="31" t="str">
        <f aca="false">IF(F2373="","",IF(H2373&lt;&gt;"",H2373,MAX('Vade Sapması'!$D$3,G2373)))</f>
        <v/>
      </c>
      <c r="L2373" s="30" t="str">
        <f aca="false">IF(F2373="","",K2373-B2373)</f>
        <v/>
      </c>
      <c r="M2373" s="30" t="str">
        <f aca="false">IF(F2373="","",L2373-J2373)</f>
        <v/>
      </c>
      <c r="N2373" s="32" t="str">
        <f aca="false">IF(F2373="","",IF(H2373&lt;&gt;"","Kapandı",IF('Vade Sapması'!$D$3&gt;G2373,"Açık · vadesi geçti","Açık · vadesi gelmedi")))</f>
        <v/>
      </c>
      <c r="O2373" s="30" t="str">
        <f aca="false">IF(F2373="","",IF(AND(H2373="",'Vade Sapması'!$D$3&gt;G2373),'Vade Sapması'!$D$3-G2373,0))</f>
        <v/>
      </c>
      <c r="P2373" s="33" t="str">
        <f aca="false">IF(F2373="","",F2373*J2373)</f>
        <v/>
      </c>
      <c r="Q2373" s="33" t="str">
        <f aca="false">IF(F2373="","",F2373*L2373)</f>
        <v/>
      </c>
      <c r="R2373" s="33" t="str">
        <f aca="false">IF(F2373="","",IF(H2373="",F2373,0))</f>
        <v/>
      </c>
      <c r="S2373" s="32" t="str">
        <f aca="false">IF(F2373="","",IF(N(O2373)=0,"",IF(O2373&lt;=30,"1-30",IF(O2373&lt;=60,"31-60",IF(O2373&lt;=90,"61-90","90+")))))</f>
        <v/>
      </c>
      <c r="T2373" s="32" t="str">
        <f aca="false">IF(F2373="","",IF(E2373="","Diğer",E2373))</f>
        <v/>
      </c>
      <c r="U2373" s="32" t="str">
        <f aca="false">IF(OR(F2373="",C2373=""),"",IF(COUNTIF($C$2:C2373,C2373)=1,MAX($U$1:U2372)+1,""))</f>
        <v/>
      </c>
    </row>
    <row r="2374" customFormat="false" ht="15" hidden="false" customHeight="false" outlineLevel="0" collapsed="false">
      <c r="A2374" s="34"/>
      <c r="B2374" s="9"/>
      <c r="C2374" s="34"/>
      <c r="D2374" s="34"/>
      <c r="E2374" s="34"/>
      <c r="F2374" s="35"/>
      <c r="G2374" s="9"/>
      <c r="H2374" s="9"/>
      <c r="I2374" s="34"/>
      <c r="J2374" s="30" t="str">
        <f aca="false">IF(F2374="","",G2374-B2374)</f>
        <v/>
      </c>
      <c r="K2374" s="31" t="str">
        <f aca="false">IF(F2374="","",IF(H2374&lt;&gt;"",H2374,MAX('Vade Sapması'!$D$3,G2374)))</f>
        <v/>
      </c>
      <c r="L2374" s="30" t="str">
        <f aca="false">IF(F2374="","",K2374-B2374)</f>
        <v/>
      </c>
      <c r="M2374" s="30" t="str">
        <f aca="false">IF(F2374="","",L2374-J2374)</f>
        <v/>
      </c>
      <c r="N2374" s="32" t="str">
        <f aca="false">IF(F2374="","",IF(H2374&lt;&gt;"","Kapandı",IF('Vade Sapması'!$D$3&gt;G2374,"Açık · vadesi geçti","Açık · vadesi gelmedi")))</f>
        <v/>
      </c>
      <c r="O2374" s="30" t="str">
        <f aca="false">IF(F2374="","",IF(AND(H2374="",'Vade Sapması'!$D$3&gt;G2374),'Vade Sapması'!$D$3-G2374,0))</f>
        <v/>
      </c>
      <c r="P2374" s="33" t="str">
        <f aca="false">IF(F2374="","",F2374*J2374)</f>
        <v/>
      </c>
      <c r="Q2374" s="33" t="str">
        <f aca="false">IF(F2374="","",F2374*L2374)</f>
        <v/>
      </c>
      <c r="R2374" s="33" t="str">
        <f aca="false">IF(F2374="","",IF(H2374="",F2374,0))</f>
        <v/>
      </c>
      <c r="S2374" s="32" t="str">
        <f aca="false">IF(F2374="","",IF(N(O2374)=0,"",IF(O2374&lt;=30,"1-30",IF(O2374&lt;=60,"31-60",IF(O2374&lt;=90,"61-90","90+")))))</f>
        <v/>
      </c>
      <c r="T2374" s="32" t="str">
        <f aca="false">IF(F2374="","",IF(E2374="","Diğer",E2374))</f>
        <v/>
      </c>
      <c r="U2374" s="32" t="str">
        <f aca="false">IF(OR(F2374="",C2374=""),"",IF(COUNTIF($C$2:C2374,C2374)=1,MAX($U$1:U2373)+1,""))</f>
        <v/>
      </c>
    </row>
    <row r="2375" customFormat="false" ht="15" hidden="false" customHeight="false" outlineLevel="0" collapsed="false">
      <c r="A2375" s="34"/>
      <c r="B2375" s="9"/>
      <c r="C2375" s="34"/>
      <c r="D2375" s="34"/>
      <c r="E2375" s="34"/>
      <c r="F2375" s="35"/>
      <c r="G2375" s="9"/>
      <c r="H2375" s="9"/>
      <c r="I2375" s="34"/>
      <c r="J2375" s="30" t="str">
        <f aca="false">IF(F2375="","",G2375-B2375)</f>
        <v/>
      </c>
      <c r="K2375" s="31" t="str">
        <f aca="false">IF(F2375="","",IF(H2375&lt;&gt;"",H2375,MAX('Vade Sapması'!$D$3,G2375)))</f>
        <v/>
      </c>
      <c r="L2375" s="30" t="str">
        <f aca="false">IF(F2375="","",K2375-B2375)</f>
        <v/>
      </c>
      <c r="M2375" s="30" t="str">
        <f aca="false">IF(F2375="","",L2375-J2375)</f>
        <v/>
      </c>
      <c r="N2375" s="32" t="str">
        <f aca="false">IF(F2375="","",IF(H2375&lt;&gt;"","Kapandı",IF('Vade Sapması'!$D$3&gt;G2375,"Açık · vadesi geçti","Açık · vadesi gelmedi")))</f>
        <v/>
      </c>
      <c r="O2375" s="30" t="str">
        <f aca="false">IF(F2375="","",IF(AND(H2375="",'Vade Sapması'!$D$3&gt;G2375),'Vade Sapması'!$D$3-G2375,0))</f>
        <v/>
      </c>
      <c r="P2375" s="33" t="str">
        <f aca="false">IF(F2375="","",F2375*J2375)</f>
        <v/>
      </c>
      <c r="Q2375" s="33" t="str">
        <f aca="false">IF(F2375="","",F2375*L2375)</f>
        <v/>
      </c>
      <c r="R2375" s="33" t="str">
        <f aca="false">IF(F2375="","",IF(H2375="",F2375,0))</f>
        <v/>
      </c>
      <c r="S2375" s="32" t="str">
        <f aca="false">IF(F2375="","",IF(N(O2375)=0,"",IF(O2375&lt;=30,"1-30",IF(O2375&lt;=60,"31-60",IF(O2375&lt;=90,"61-90","90+")))))</f>
        <v/>
      </c>
      <c r="T2375" s="32" t="str">
        <f aca="false">IF(F2375="","",IF(E2375="","Diğer",E2375))</f>
        <v/>
      </c>
      <c r="U2375" s="32" t="str">
        <f aca="false">IF(OR(F2375="",C2375=""),"",IF(COUNTIF($C$2:C2375,C2375)=1,MAX($U$1:U2374)+1,""))</f>
        <v/>
      </c>
    </row>
    <row r="2376" customFormat="false" ht="15" hidden="false" customHeight="false" outlineLevel="0" collapsed="false">
      <c r="A2376" s="34"/>
      <c r="B2376" s="9"/>
      <c r="C2376" s="34"/>
      <c r="D2376" s="34"/>
      <c r="E2376" s="34"/>
      <c r="F2376" s="35"/>
      <c r="G2376" s="9"/>
      <c r="H2376" s="9"/>
      <c r="I2376" s="34"/>
      <c r="J2376" s="30" t="str">
        <f aca="false">IF(F2376="","",G2376-B2376)</f>
        <v/>
      </c>
      <c r="K2376" s="31" t="str">
        <f aca="false">IF(F2376="","",IF(H2376&lt;&gt;"",H2376,MAX('Vade Sapması'!$D$3,G2376)))</f>
        <v/>
      </c>
      <c r="L2376" s="30" t="str">
        <f aca="false">IF(F2376="","",K2376-B2376)</f>
        <v/>
      </c>
      <c r="M2376" s="30" t="str">
        <f aca="false">IF(F2376="","",L2376-J2376)</f>
        <v/>
      </c>
      <c r="N2376" s="32" t="str">
        <f aca="false">IF(F2376="","",IF(H2376&lt;&gt;"","Kapandı",IF('Vade Sapması'!$D$3&gt;G2376,"Açık · vadesi geçti","Açık · vadesi gelmedi")))</f>
        <v/>
      </c>
      <c r="O2376" s="30" t="str">
        <f aca="false">IF(F2376="","",IF(AND(H2376="",'Vade Sapması'!$D$3&gt;G2376),'Vade Sapması'!$D$3-G2376,0))</f>
        <v/>
      </c>
      <c r="P2376" s="33" t="str">
        <f aca="false">IF(F2376="","",F2376*J2376)</f>
        <v/>
      </c>
      <c r="Q2376" s="33" t="str">
        <f aca="false">IF(F2376="","",F2376*L2376)</f>
        <v/>
      </c>
      <c r="R2376" s="33" t="str">
        <f aca="false">IF(F2376="","",IF(H2376="",F2376,0))</f>
        <v/>
      </c>
      <c r="S2376" s="32" t="str">
        <f aca="false">IF(F2376="","",IF(N(O2376)=0,"",IF(O2376&lt;=30,"1-30",IF(O2376&lt;=60,"31-60",IF(O2376&lt;=90,"61-90","90+")))))</f>
        <v/>
      </c>
      <c r="T2376" s="32" t="str">
        <f aca="false">IF(F2376="","",IF(E2376="","Diğer",E2376))</f>
        <v/>
      </c>
      <c r="U2376" s="32" t="str">
        <f aca="false">IF(OR(F2376="",C2376=""),"",IF(COUNTIF($C$2:C2376,C2376)=1,MAX($U$1:U2375)+1,""))</f>
        <v/>
      </c>
    </row>
    <row r="2377" customFormat="false" ht="15" hidden="false" customHeight="false" outlineLevel="0" collapsed="false">
      <c r="A2377" s="34"/>
      <c r="B2377" s="9"/>
      <c r="C2377" s="34"/>
      <c r="D2377" s="34"/>
      <c r="E2377" s="34"/>
      <c r="F2377" s="35"/>
      <c r="G2377" s="9"/>
      <c r="H2377" s="9"/>
      <c r="I2377" s="34"/>
      <c r="J2377" s="30" t="str">
        <f aca="false">IF(F2377="","",G2377-B2377)</f>
        <v/>
      </c>
      <c r="K2377" s="31" t="str">
        <f aca="false">IF(F2377="","",IF(H2377&lt;&gt;"",H2377,MAX('Vade Sapması'!$D$3,G2377)))</f>
        <v/>
      </c>
      <c r="L2377" s="30" t="str">
        <f aca="false">IF(F2377="","",K2377-B2377)</f>
        <v/>
      </c>
      <c r="M2377" s="30" t="str">
        <f aca="false">IF(F2377="","",L2377-J2377)</f>
        <v/>
      </c>
      <c r="N2377" s="32" t="str">
        <f aca="false">IF(F2377="","",IF(H2377&lt;&gt;"","Kapandı",IF('Vade Sapması'!$D$3&gt;G2377,"Açık · vadesi geçti","Açık · vadesi gelmedi")))</f>
        <v/>
      </c>
      <c r="O2377" s="30" t="str">
        <f aca="false">IF(F2377="","",IF(AND(H2377="",'Vade Sapması'!$D$3&gt;G2377),'Vade Sapması'!$D$3-G2377,0))</f>
        <v/>
      </c>
      <c r="P2377" s="33" t="str">
        <f aca="false">IF(F2377="","",F2377*J2377)</f>
        <v/>
      </c>
      <c r="Q2377" s="33" t="str">
        <f aca="false">IF(F2377="","",F2377*L2377)</f>
        <v/>
      </c>
      <c r="R2377" s="33" t="str">
        <f aca="false">IF(F2377="","",IF(H2377="",F2377,0))</f>
        <v/>
      </c>
      <c r="S2377" s="32" t="str">
        <f aca="false">IF(F2377="","",IF(N(O2377)=0,"",IF(O2377&lt;=30,"1-30",IF(O2377&lt;=60,"31-60",IF(O2377&lt;=90,"61-90","90+")))))</f>
        <v/>
      </c>
      <c r="T2377" s="32" t="str">
        <f aca="false">IF(F2377="","",IF(E2377="","Diğer",E2377))</f>
        <v/>
      </c>
      <c r="U2377" s="32" t="str">
        <f aca="false">IF(OR(F2377="",C2377=""),"",IF(COUNTIF($C$2:C2377,C2377)=1,MAX($U$1:U2376)+1,""))</f>
        <v/>
      </c>
    </row>
    <row r="2378" customFormat="false" ht="15" hidden="false" customHeight="false" outlineLevel="0" collapsed="false">
      <c r="A2378" s="34"/>
      <c r="B2378" s="9"/>
      <c r="C2378" s="34"/>
      <c r="D2378" s="34"/>
      <c r="E2378" s="34"/>
      <c r="F2378" s="35"/>
      <c r="G2378" s="9"/>
      <c r="H2378" s="9"/>
      <c r="I2378" s="34"/>
      <c r="J2378" s="30" t="str">
        <f aca="false">IF(F2378="","",G2378-B2378)</f>
        <v/>
      </c>
      <c r="K2378" s="31" t="str">
        <f aca="false">IF(F2378="","",IF(H2378&lt;&gt;"",H2378,MAX('Vade Sapması'!$D$3,G2378)))</f>
        <v/>
      </c>
      <c r="L2378" s="30" t="str">
        <f aca="false">IF(F2378="","",K2378-B2378)</f>
        <v/>
      </c>
      <c r="M2378" s="30" t="str">
        <f aca="false">IF(F2378="","",L2378-J2378)</f>
        <v/>
      </c>
      <c r="N2378" s="32" t="str">
        <f aca="false">IF(F2378="","",IF(H2378&lt;&gt;"","Kapandı",IF('Vade Sapması'!$D$3&gt;G2378,"Açık · vadesi geçti","Açık · vadesi gelmedi")))</f>
        <v/>
      </c>
      <c r="O2378" s="30" t="str">
        <f aca="false">IF(F2378="","",IF(AND(H2378="",'Vade Sapması'!$D$3&gt;G2378),'Vade Sapması'!$D$3-G2378,0))</f>
        <v/>
      </c>
      <c r="P2378" s="33" t="str">
        <f aca="false">IF(F2378="","",F2378*J2378)</f>
        <v/>
      </c>
      <c r="Q2378" s="33" t="str">
        <f aca="false">IF(F2378="","",F2378*L2378)</f>
        <v/>
      </c>
      <c r="R2378" s="33" t="str">
        <f aca="false">IF(F2378="","",IF(H2378="",F2378,0))</f>
        <v/>
      </c>
      <c r="S2378" s="32" t="str">
        <f aca="false">IF(F2378="","",IF(N(O2378)=0,"",IF(O2378&lt;=30,"1-30",IF(O2378&lt;=60,"31-60",IF(O2378&lt;=90,"61-90","90+")))))</f>
        <v/>
      </c>
      <c r="T2378" s="32" t="str">
        <f aca="false">IF(F2378="","",IF(E2378="","Diğer",E2378))</f>
        <v/>
      </c>
      <c r="U2378" s="32" t="str">
        <f aca="false">IF(OR(F2378="",C2378=""),"",IF(COUNTIF($C$2:C2378,C2378)=1,MAX($U$1:U2377)+1,""))</f>
        <v/>
      </c>
    </row>
    <row r="2379" customFormat="false" ht="15" hidden="false" customHeight="false" outlineLevel="0" collapsed="false">
      <c r="A2379" s="34"/>
      <c r="B2379" s="9"/>
      <c r="C2379" s="34"/>
      <c r="D2379" s="34"/>
      <c r="E2379" s="34"/>
      <c r="F2379" s="35"/>
      <c r="G2379" s="9"/>
      <c r="H2379" s="9"/>
      <c r="I2379" s="34"/>
      <c r="J2379" s="30" t="str">
        <f aca="false">IF(F2379="","",G2379-B2379)</f>
        <v/>
      </c>
      <c r="K2379" s="31" t="str">
        <f aca="false">IF(F2379="","",IF(H2379&lt;&gt;"",H2379,MAX('Vade Sapması'!$D$3,G2379)))</f>
        <v/>
      </c>
      <c r="L2379" s="30" t="str">
        <f aca="false">IF(F2379="","",K2379-B2379)</f>
        <v/>
      </c>
      <c r="M2379" s="30" t="str">
        <f aca="false">IF(F2379="","",L2379-J2379)</f>
        <v/>
      </c>
      <c r="N2379" s="32" t="str">
        <f aca="false">IF(F2379="","",IF(H2379&lt;&gt;"","Kapandı",IF('Vade Sapması'!$D$3&gt;G2379,"Açık · vadesi geçti","Açık · vadesi gelmedi")))</f>
        <v/>
      </c>
      <c r="O2379" s="30" t="str">
        <f aca="false">IF(F2379="","",IF(AND(H2379="",'Vade Sapması'!$D$3&gt;G2379),'Vade Sapması'!$D$3-G2379,0))</f>
        <v/>
      </c>
      <c r="P2379" s="33" t="str">
        <f aca="false">IF(F2379="","",F2379*J2379)</f>
        <v/>
      </c>
      <c r="Q2379" s="33" t="str">
        <f aca="false">IF(F2379="","",F2379*L2379)</f>
        <v/>
      </c>
      <c r="R2379" s="33" t="str">
        <f aca="false">IF(F2379="","",IF(H2379="",F2379,0))</f>
        <v/>
      </c>
      <c r="S2379" s="32" t="str">
        <f aca="false">IF(F2379="","",IF(N(O2379)=0,"",IF(O2379&lt;=30,"1-30",IF(O2379&lt;=60,"31-60",IF(O2379&lt;=90,"61-90","90+")))))</f>
        <v/>
      </c>
      <c r="T2379" s="32" t="str">
        <f aca="false">IF(F2379="","",IF(E2379="","Diğer",E2379))</f>
        <v/>
      </c>
      <c r="U2379" s="32" t="str">
        <f aca="false">IF(OR(F2379="",C2379=""),"",IF(COUNTIF($C$2:C2379,C2379)=1,MAX($U$1:U2378)+1,""))</f>
        <v/>
      </c>
    </row>
    <row r="2380" customFormat="false" ht="15" hidden="false" customHeight="false" outlineLevel="0" collapsed="false">
      <c r="A2380" s="34"/>
      <c r="B2380" s="9"/>
      <c r="C2380" s="34"/>
      <c r="D2380" s="34"/>
      <c r="E2380" s="34"/>
      <c r="F2380" s="35"/>
      <c r="G2380" s="9"/>
      <c r="H2380" s="9"/>
      <c r="I2380" s="34"/>
      <c r="J2380" s="30" t="str">
        <f aca="false">IF(F2380="","",G2380-B2380)</f>
        <v/>
      </c>
      <c r="K2380" s="31" t="str">
        <f aca="false">IF(F2380="","",IF(H2380&lt;&gt;"",H2380,MAX('Vade Sapması'!$D$3,G2380)))</f>
        <v/>
      </c>
      <c r="L2380" s="30" t="str">
        <f aca="false">IF(F2380="","",K2380-B2380)</f>
        <v/>
      </c>
      <c r="M2380" s="30" t="str">
        <f aca="false">IF(F2380="","",L2380-J2380)</f>
        <v/>
      </c>
      <c r="N2380" s="32" t="str">
        <f aca="false">IF(F2380="","",IF(H2380&lt;&gt;"","Kapandı",IF('Vade Sapması'!$D$3&gt;G2380,"Açık · vadesi geçti","Açık · vadesi gelmedi")))</f>
        <v/>
      </c>
      <c r="O2380" s="30" t="str">
        <f aca="false">IF(F2380="","",IF(AND(H2380="",'Vade Sapması'!$D$3&gt;G2380),'Vade Sapması'!$D$3-G2380,0))</f>
        <v/>
      </c>
      <c r="P2380" s="33" t="str">
        <f aca="false">IF(F2380="","",F2380*J2380)</f>
        <v/>
      </c>
      <c r="Q2380" s="33" t="str">
        <f aca="false">IF(F2380="","",F2380*L2380)</f>
        <v/>
      </c>
      <c r="R2380" s="33" t="str">
        <f aca="false">IF(F2380="","",IF(H2380="",F2380,0))</f>
        <v/>
      </c>
      <c r="S2380" s="32" t="str">
        <f aca="false">IF(F2380="","",IF(N(O2380)=0,"",IF(O2380&lt;=30,"1-30",IF(O2380&lt;=60,"31-60",IF(O2380&lt;=90,"61-90","90+")))))</f>
        <v/>
      </c>
      <c r="T2380" s="32" t="str">
        <f aca="false">IF(F2380="","",IF(E2380="","Diğer",E2380))</f>
        <v/>
      </c>
      <c r="U2380" s="32" t="str">
        <f aca="false">IF(OR(F2380="",C2380=""),"",IF(COUNTIF($C$2:C2380,C2380)=1,MAX($U$1:U2379)+1,""))</f>
        <v/>
      </c>
    </row>
    <row r="2381" customFormat="false" ht="15" hidden="false" customHeight="false" outlineLevel="0" collapsed="false">
      <c r="A2381" s="34"/>
      <c r="B2381" s="9"/>
      <c r="C2381" s="34"/>
      <c r="D2381" s="34"/>
      <c r="E2381" s="34"/>
      <c r="F2381" s="35"/>
      <c r="G2381" s="9"/>
      <c r="H2381" s="9"/>
      <c r="I2381" s="34"/>
      <c r="J2381" s="30" t="str">
        <f aca="false">IF(F2381="","",G2381-B2381)</f>
        <v/>
      </c>
      <c r="K2381" s="31" t="str">
        <f aca="false">IF(F2381="","",IF(H2381&lt;&gt;"",H2381,MAX('Vade Sapması'!$D$3,G2381)))</f>
        <v/>
      </c>
      <c r="L2381" s="30" t="str">
        <f aca="false">IF(F2381="","",K2381-B2381)</f>
        <v/>
      </c>
      <c r="M2381" s="30" t="str">
        <f aca="false">IF(F2381="","",L2381-J2381)</f>
        <v/>
      </c>
      <c r="N2381" s="32" t="str">
        <f aca="false">IF(F2381="","",IF(H2381&lt;&gt;"","Kapandı",IF('Vade Sapması'!$D$3&gt;G2381,"Açık · vadesi geçti","Açık · vadesi gelmedi")))</f>
        <v/>
      </c>
      <c r="O2381" s="30" t="str">
        <f aca="false">IF(F2381="","",IF(AND(H2381="",'Vade Sapması'!$D$3&gt;G2381),'Vade Sapması'!$D$3-G2381,0))</f>
        <v/>
      </c>
      <c r="P2381" s="33" t="str">
        <f aca="false">IF(F2381="","",F2381*J2381)</f>
        <v/>
      </c>
      <c r="Q2381" s="33" t="str">
        <f aca="false">IF(F2381="","",F2381*L2381)</f>
        <v/>
      </c>
      <c r="R2381" s="33" t="str">
        <f aca="false">IF(F2381="","",IF(H2381="",F2381,0))</f>
        <v/>
      </c>
      <c r="S2381" s="32" t="str">
        <f aca="false">IF(F2381="","",IF(N(O2381)=0,"",IF(O2381&lt;=30,"1-30",IF(O2381&lt;=60,"31-60",IF(O2381&lt;=90,"61-90","90+")))))</f>
        <v/>
      </c>
      <c r="T2381" s="32" t="str">
        <f aca="false">IF(F2381="","",IF(E2381="","Diğer",E2381))</f>
        <v/>
      </c>
      <c r="U2381" s="32" t="str">
        <f aca="false">IF(OR(F2381="",C2381=""),"",IF(COUNTIF($C$2:C2381,C2381)=1,MAX($U$1:U2380)+1,""))</f>
        <v/>
      </c>
    </row>
    <row r="2382" customFormat="false" ht="15" hidden="false" customHeight="false" outlineLevel="0" collapsed="false">
      <c r="A2382" s="34"/>
      <c r="B2382" s="9"/>
      <c r="C2382" s="34"/>
      <c r="D2382" s="34"/>
      <c r="E2382" s="34"/>
      <c r="F2382" s="35"/>
      <c r="G2382" s="9"/>
      <c r="H2382" s="9"/>
      <c r="I2382" s="34"/>
      <c r="J2382" s="30" t="str">
        <f aca="false">IF(F2382="","",G2382-B2382)</f>
        <v/>
      </c>
      <c r="K2382" s="31" t="str">
        <f aca="false">IF(F2382="","",IF(H2382&lt;&gt;"",H2382,MAX('Vade Sapması'!$D$3,G2382)))</f>
        <v/>
      </c>
      <c r="L2382" s="30" t="str">
        <f aca="false">IF(F2382="","",K2382-B2382)</f>
        <v/>
      </c>
      <c r="M2382" s="30" t="str">
        <f aca="false">IF(F2382="","",L2382-J2382)</f>
        <v/>
      </c>
      <c r="N2382" s="32" t="str">
        <f aca="false">IF(F2382="","",IF(H2382&lt;&gt;"","Kapandı",IF('Vade Sapması'!$D$3&gt;G2382,"Açık · vadesi geçti","Açık · vadesi gelmedi")))</f>
        <v/>
      </c>
      <c r="O2382" s="30" t="str">
        <f aca="false">IF(F2382="","",IF(AND(H2382="",'Vade Sapması'!$D$3&gt;G2382),'Vade Sapması'!$D$3-G2382,0))</f>
        <v/>
      </c>
      <c r="P2382" s="33" t="str">
        <f aca="false">IF(F2382="","",F2382*J2382)</f>
        <v/>
      </c>
      <c r="Q2382" s="33" t="str">
        <f aca="false">IF(F2382="","",F2382*L2382)</f>
        <v/>
      </c>
      <c r="R2382" s="33" t="str">
        <f aca="false">IF(F2382="","",IF(H2382="",F2382,0))</f>
        <v/>
      </c>
      <c r="S2382" s="32" t="str">
        <f aca="false">IF(F2382="","",IF(N(O2382)=0,"",IF(O2382&lt;=30,"1-30",IF(O2382&lt;=60,"31-60",IF(O2382&lt;=90,"61-90","90+")))))</f>
        <v/>
      </c>
      <c r="T2382" s="32" t="str">
        <f aca="false">IF(F2382="","",IF(E2382="","Diğer",E2382))</f>
        <v/>
      </c>
      <c r="U2382" s="32" t="str">
        <f aca="false">IF(OR(F2382="",C2382=""),"",IF(COUNTIF($C$2:C2382,C2382)=1,MAX($U$1:U2381)+1,""))</f>
        <v/>
      </c>
    </row>
    <row r="2383" customFormat="false" ht="15" hidden="false" customHeight="false" outlineLevel="0" collapsed="false">
      <c r="A2383" s="34"/>
      <c r="B2383" s="9"/>
      <c r="C2383" s="34"/>
      <c r="D2383" s="34"/>
      <c r="E2383" s="34"/>
      <c r="F2383" s="35"/>
      <c r="G2383" s="9"/>
      <c r="H2383" s="9"/>
      <c r="I2383" s="34"/>
      <c r="J2383" s="30" t="str">
        <f aca="false">IF(F2383="","",G2383-B2383)</f>
        <v/>
      </c>
      <c r="K2383" s="31" t="str">
        <f aca="false">IF(F2383="","",IF(H2383&lt;&gt;"",H2383,MAX('Vade Sapması'!$D$3,G2383)))</f>
        <v/>
      </c>
      <c r="L2383" s="30" t="str">
        <f aca="false">IF(F2383="","",K2383-B2383)</f>
        <v/>
      </c>
      <c r="M2383" s="30" t="str">
        <f aca="false">IF(F2383="","",L2383-J2383)</f>
        <v/>
      </c>
      <c r="N2383" s="32" t="str">
        <f aca="false">IF(F2383="","",IF(H2383&lt;&gt;"","Kapandı",IF('Vade Sapması'!$D$3&gt;G2383,"Açık · vadesi geçti","Açık · vadesi gelmedi")))</f>
        <v/>
      </c>
      <c r="O2383" s="30" t="str">
        <f aca="false">IF(F2383="","",IF(AND(H2383="",'Vade Sapması'!$D$3&gt;G2383),'Vade Sapması'!$D$3-G2383,0))</f>
        <v/>
      </c>
      <c r="P2383" s="33" t="str">
        <f aca="false">IF(F2383="","",F2383*J2383)</f>
        <v/>
      </c>
      <c r="Q2383" s="33" t="str">
        <f aca="false">IF(F2383="","",F2383*L2383)</f>
        <v/>
      </c>
      <c r="R2383" s="33" t="str">
        <f aca="false">IF(F2383="","",IF(H2383="",F2383,0))</f>
        <v/>
      </c>
      <c r="S2383" s="32" t="str">
        <f aca="false">IF(F2383="","",IF(N(O2383)=0,"",IF(O2383&lt;=30,"1-30",IF(O2383&lt;=60,"31-60",IF(O2383&lt;=90,"61-90","90+")))))</f>
        <v/>
      </c>
      <c r="T2383" s="32" t="str">
        <f aca="false">IF(F2383="","",IF(E2383="","Diğer",E2383))</f>
        <v/>
      </c>
      <c r="U2383" s="32" t="str">
        <f aca="false">IF(OR(F2383="",C2383=""),"",IF(COUNTIF($C$2:C2383,C2383)=1,MAX($U$1:U2382)+1,""))</f>
        <v/>
      </c>
    </row>
    <row r="2384" customFormat="false" ht="15" hidden="false" customHeight="false" outlineLevel="0" collapsed="false">
      <c r="A2384" s="34"/>
      <c r="B2384" s="9"/>
      <c r="C2384" s="34"/>
      <c r="D2384" s="34"/>
      <c r="E2384" s="34"/>
      <c r="F2384" s="35"/>
      <c r="G2384" s="9"/>
      <c r="H2384" s="9"/>
      <c r="I2384" s="34"/>
      <c r="J2384" s="30" t="str">
        <f aca="false">IF(F2384="","",G2384-B2384)</f>
        <v/>
      </c>
      <c r="K2384" s="31" t="str">
        <f aca="false">IF(F2384="","",IF(H2384&lt;&gt;"",H2384,MAX('Vade Sapması'!$D$3,G2384)))</f>
        <v/>
      </c>
      <c r="L2384" s="30" t="str">
        <f aca="false">IF(F2384="","",K2384-B2384)</f>
        <v/>
      </c>
      <c r="M2384" s="30" t="str">
        <f aca="false">IF(F2384="","",L2384-J2384)</f>
        <v/>
      </c>
      <c r="N2384" s="32" t="str">
        <f aca="false">IF(F2384="","",IF(H2384&lt;&gt;"","Kapandı",IF('Vade Sapması'!$D$3&gt;G2384,"Açık · vadesi geçti","Açık · vadesi gelmedi")))</f>
        <v/>
      </c>
      <c r="O2384" s="30" t="str">
        <f aca="false">IF(F2384="","",IF(AND(H2384="",'Vade Sapması'!$D$3&gt;G2384),'Vade Sapması'!$D$3-G2384,0))</f>
        <v/>
      </c>
      <c r="P2384" s="33" t="str">
        <f aca="false">IF(F2384="","",F2384*J2384)</f>
        <v/>
      </c>
      <c r="Q2384" s="33" t="str">
        <f aca="false">IF(F2384="","",F2384*L2384)</f>
        <v/>
      </c>
      <c r="R2384" s="33" t="str">
        <f aca="false">IF(F2384="","",IF(H2384="",F2384,0))</f>
        <v/>
      </c>
      <c r="S2384" s="32" t="str">
        <f aca="false">IF(F2384="","",IF(N(O2384)=0,"",IF(O2384&lt;=30,"1-30",IF(O2384&lt;=60,"31-60",IF(O2384&lt;=90,"61-90","90+")))))</f>
        <v/>
      </c>
      <c r="T2384" s="32" t="str">
        <f aca="false">IF(F2384="","",IF(E2384="","Diğer",E2384))</f>
        <v/>
      </c>
      <c r="U2384" s="32" t="str">
        <f aca="false">IF(OR(F2384="",C2384=""),"",IF(COUNTIF($C$2:C2384,C2384)=1,MAX($U$1:U2383)+1,""))</f>
        <v/>
      </c>
    </row>
    <row r="2385" customFormat="false" ht="15" hidden="false" customHeight="false" outlineLevel="0" collapsed="false">
      <c r="A2385" s="34"/>
      <c r="B2385" s="9"/>
      <c r="C2385" s="34"/>
      <c r="D2385" s="34"/>
      <c r="E2385" s="34"/>
      <c r="F2385" s="35"/>
      <c r="G2385" s="9"/>
      <c r="H2385" s="9"/>
      <c r="I2385" s="34"/>
      <c r="J2385" s="30" t="str">
        <f aca="false">IF(F2385="","",G2385-B2385)</f>
        <v/>
      </c>
      <c r="K2385" s="31" t="str">
        <f aca="false">IF(F2385="","",IF(H2385&lt;&gt;"",H2385,MAX('Vade Sapması'!$D$3,G2385)))</f>
        <v/>
      </c>
      <c r="L2385" s="30" t="str">
        <f aca="false">IF(F2385="","",K2385-B2385)</f>
        <v/>
      </c>
      <c r="M2385" s="30" t="str">
        <f aca="false">IF(F2385="","",L2385-J2385)</f>
        <v/>
      </c>
      <c r="N2385" s="32" t="str">
        <f aca="false">IF(F2385="","",IF(H2385&lt;&gt;"","Kapandı",IF('Vade Sapması'!$D$3&gt;G2385,"Açık · vadesi geçti","Açık · vadesi gelmedi")))</f>
        <v/>
      </c>
      <c r="O2385" s="30" t="str">
        <f aca="false">IF(F2385="","",IF(AND(H2385="",'Vade Sapması'!$D$3&gt;G2385),'Vade Sapması'!$D$3-G2385,0))</f>
        <v/>
      </c>
      <c r="P2385" s="33" t="str">
        <f aca="false">IF(F2385="","",F2385*J2385)</f>
        <v/>
      </c>
      <c r="Q2385" s="33" t="str">
        <f aca="false">IF(F2385="","",F2385*L2385)</f>
        <v/>
      </c>
      <c r="R2385" s="33" t="str">
        <f aca="false">IF(F2385="","",IF(H2385="",F2385,0))</f>
        <v/>
      </c>
      <c r="S2385" s="32" t="str">
        <f aca="false">IF(F2385="","",IF(N(O2385)=0,"",IF(O2385&lt;=30,"1-30",IF(O2385&lt;=60,"31-60",IF(O2385&lt;=90,"61-90","90+")))))</f>
        <v/>
      </c>
      <c r="T2385" s="32" t="str">
        <f aca="false">IF(F2385="","",IF(E2385="","Diğer",E2385))</f>
        <v/>
      </c>
      <c r="U2385" s="32" t="str">
        <f aca="false">IF(OR(F2385="",C2385=""),"",IF(COUNTIF($C$2:C2385,C2385)=1,MAX($U$1:U2384)+1,""))</f>
        <v/>
      </c>
    </row>
    <row r="2386" customFormat="false" ht="15" hidden="false" customHeight="false" outlineLevel="0" collapsed="false">
      <c r="A2386" s="34"/>
      <c r="B2386" s="9"/>
      <c r="C2386" s="34"/>
      <c r="D2386" s="34"/>
      <c r="E2386" s="34"/>
      <c r="F2386" s="35"/>
      <c r="G2386" s="9"/>
      <c r="H2386" s="9"/>
      <c r="I2386" s="34"/>
      <c r="J2386" s="30" t="str">
        <f aca="false">IF(F2386="","",G2386-B2386)</f>
        <v/>
      </c>
      <c r="K2386" s="31" t="str">
        <f aca="false">IF(F2386="","",IF(H2386&lt;&gt;"",H2386,MAX('Vade Sapması'!$D$3,G2386)))</f>
        <v/>
      </c>
      <c r="L2386" s="30" t="str">
        <f aca="false">IF(F2386="","",K2386-B2386)</f>
        <v/>
      </c>
      <c r="M2386" s="30" t="str">
        <f aca="false">IF(F2386="","",L2386-J2386)</f>
        <v/>
      </c>
      <c r="N2386" s="32" t="str">
        <f aca="false">IF(F2386="","",IF(H2386&lt;&gt;"","Kapandı",IF('Vade Sapması'!$D$3&gt;G2386,"Açık · vadesi geçti","Açık · vadesi gelmedi")))</f>
        <v/>
      </c>
      <c r="O2386" s="30" t="str">
        <f aca="false">IF(F2386="","",IF(AND(H2386="",'Vade Sapması'!$D$3&gt;G2386),'Vade Sapması'!$D$3-G2386,0))</f>
        <v/>
      </c>
      <c r="P2386" s="33" t="str">
        <f aca="false">IF(F2386="","",F2386*J2386)</f>
        <v/>
      </c>
      <c r="Q2386" s="33" t="str">
        <f aca="false">IF(F2386="","",F2386*L2386)</f>
        <v/>
      </c>
      <c r="R2386" s="33" t="str">
        <f aca="false">IF(F2386="","",IF(H2386="",F2386,0))</f>
        <v/>
      </c>
      <c r="S2386" s="32" t="str">
        <f aca="false">IF(F2386="","",IF(N(O2386)=0,"",IF(O2386&lt;=30,"1-30",IF(O2386&lt;=60,"31-60",IF(O2386&lt;=90,"61-90","90+")))))</f>
        <v/>
      </c>
      <c r="T2386" s="32" t="str">
        <f aca="false">IF(F2386="","",IF(E2386="","Diğer",E2386))</f>
        <v/>
      </c>
      <c r="U2386" s="32" t="str">
        <f aca="false">IF(OR(F2386="",C2386=""),"",IF(COUNTIF($C$2:C2386,C2386)=1,MAX($U$1:U2385)+1,""))</f>
        <v/>
      </c>
    </row>
    <row r="2387" customFormat="false" ht="15" hidden="false" customHeight="false" outlineLevel="0" collapsed="false">
      <c r="A2387" s="34"/>
      <c r="B2387" s="9"/>
      <c r="C2387" s="34"/>
      <c r="D2387" s="34"/>
      <c r="E2387" s="34"/>
      <c r="F2387" s="35"/>
      <c r="G2387" s="9"/>
      <c r="H2387" s="9"/>
      <c r="I2387" s="34"/>
      <c r="J2387" s="30" t="str">
        <f aca="false">IF(F2387="","",G2387-B2387)</f>
        <v/>
      </c>
      <c r="K2387" s="31" t="str">
        <f aca="false">IF(F2387="","",IF(H2387&lt;&gt;"",H2387,MAX('Vade Sapması'!$D$3,G2387)))</f>
        <v/>
      </c>
      <c r="L2387" s="30" t="str">
        <f aca="false">IF(F2387="","",K2387-B2387)</f>
        <v/>
      </c>
      <c r="M2387" s="30" t="str">
        <f aca="false">IF(F2387="","",L2387-J2387)</f>
        <v/>
      </c>
      <c r="N2387" s="32" t="str">
        <f aca="false">IF(F2387="","",IF(H2387&lt;&gt;"","Kapandı",IF('Vade Sapması'!$D$3&gt;G2387,"Açık · vadesi geçti","Açık · vadesi gelmedi")))</f>
        <v/>
      </c>
      <c r="O2387" s="30" t="str">
        <f aca="false">IF(F2387="","",IF(AND(H2387="",'Vade Sapması'!$D$3&gt;G2387),'Vade Sapması'!$D$3-G2387,0))</f>
        <v/>
      </c>
      <c r="P2387" s="33" t="str">
        <f aca="false">IF(F2387="","",F2387*J2387)</f>
        <v/>
      </c>
      <c r="Q2387" s="33" t="str">
        <f aca="false">IF(F2387="","",F2387*L2387)</f>
        <v/>
      </c>
      <c r="R2387" s="33" t="str">
        <f aca="false">IF(F2387="","",IF(H2387="",F2387,0))</f>
        <v/>
      </c>
      <c r="S2387" s="32" t="str">
        <f aca="false">IF(F2387="","",IF(N(O2387)=0,"",IF(O2387&lt;=30,"1-30",IF(O2387&lt;=60,"31-60",IF(O2387&lt;=90,"61-90","90+")))))</f>
        <v/>
      </c>
      <c r="T2387" s="32" t="str">
        <f aca="false">IF(F2387="","",IF(E2387="","Diğer",E2387))</f>
        <v/>
      </c>
      <c r="U2387" s="32" t="str">
        <f aca="false">IF(OR(F2387="",C2387=""),"",IF(COUNTIF($C$2:C2387,C2387)=1,MAX($U$1:U2386)+1,""))</f>
        <v/>
      </c>
    </row>
    <row r="2388" customFormat="false" ht="15" hidden="false" customHeight="false" outlineLevel="0" collapsed="false">
      <c r="A2388" s="34"/>
      <c r="B2388" s="9"/>
      <c r="C2388" s="34"/>
      <c r="D2388" s="34"/>
      <c r="E2388" s="34"/>
      <c r="F2388" s="35"/>
      <c r="G2388" s="9"/>
      <c r="H2388" s="9"/>
      <c r="I2388" s="34"/>
      <c r="J2388" s="30" t="str">
        <f aca="false">IF(F2388="","",G2388-B2388)</f>
        <v/>
      </c>
      <c r="K2388" s="31" t="str">
        <f aca="false">IF(F2388="","",IF(H2388&lt;&gt;"",H2388,MAX('Vade Sapması'!$D$3,G2388)))</f>
        <v/>
      </c>
      <c r="L2388" s="30" t="str">
        <f aca="false">IF(F2388="","",K2388-B2388)</f>
        <v/>
      </c>
      <c r="M2388" s="30" t="str">
        <f aca="false">IF(F2388="","",L2388-J2388)</f>
        <v/>
      </c>
      <c r="N2388" s="32" t="str">
        <f aca="false">IF(F2388="","",IF(H2388&lt;&gt;"","Kapandı",IF('Vade Sapması'!$D$3&gt;G2388,"Açık · vadesi geçti","Açık · vadesi gelmedi")))</f>
        <v/>
      </c>
      <c r="O2388" s="30" t="str">
        <f aca="false">IF(F2388="","",IF(AND(H2388="",'Vade Sapması'!$D$3&gt;G2388),'Vade Sapması'!$D$3-G2388,0))</f>
        <v/>
      </c>
      <c r="P2388" s="33" t="str">
        <f aca="false">IF(F2388="","",F2388*J2388)</f>
        <v/>
      </c>
      <c r="Q2388" s="33" t="str">
        <f aca="false">IF(F2388="","",F2388*L2388)</f>
        <v/>
      </c>
      <c r="R2388" s="33" t="str">
        <f aca="false">IF(F2388="","",IF(H2388="",F2388,0))</f>
        <v/>
      </c>
      <c r="S2388" s="32" t="str">
        <f aca="false">IF(F2388="","",IF(N(O2388)=0,"",IF(O2388&lt;=30,"1-30",IF(O2388&lt;=60,"31-60",IF(O2388&lt;=90,"61-90","90+")))))</f>
        <v/>
      </c>
      <c r="T2388" s="32" t="str">
        <f aca="false">IF(F2388="","",IF(E2388="","Diğer",E2388))</f>
        <v/>
      </c>
      <c r="U2388" s="32" t="str">
        <f aca="false">IF(OR(F2388="",C2388=""),"",IF(COUNTIF($C$2:C2388,C2388)=1,MAX($U$1:U2387)+1,""))</f>
        <v/>
      </c>
    </row>
    <row r="2389" customFormat="false" ht="15" hidden="false" customHeight="false" outlineLevel="0" collapsed="false">
      <c r="A2389" s="34"/>
      <c r="B2389" s="9"/>
      <c r="C2389" s="34"/>
      <c r="D2389" s="34"/>
      <c r="E2389" s="34"/>
      <c r="F2389" s="35"/>
      <c r="G2389" s="9"/>
      <c r="H2389" s="9"/>
      <c r="I2389" s="34"/>
      <c r="J2389" s="30" t="str">
        <f aca="false">IF(F2389="","",G2389-B2389)</f>
        <v/>
      </c>
      <c r="K2389" s="31" t="str">
        <f aca="false">IF(F2389="","",IF(H2389&lt;&gt;"",H2389,MAX('Vade Sapması'!$D$3,G2389)))</f>
        <v/>
      </c>
      <c r="L2389" s="30" t="str">
        <f aca="false">IF(F2389="","",K2389-B2389)</f>
        <v/>
      </c>
      <c r="M2389" s="30" t="str">
        <f aca="false">IF(F2389="","",L2389-J2389)</f>
        <v/>
      </c>
      <c r="N2389" s="32" t="str">
        <f aca="false">IF(F2389="","",IF(H2389&lt;&gt;"","Kapandı",IF('Vade Sapması'!$D$3&gt;G2389,"Açık · vadesi geçti","Açık · vadesi gelmedi")))</f>
        <v/>
      </c>
      <c r="O2389" s="30" t="str">
        <f aca="false">IF(F2389="","",IF(AND(H2389="",'Vade Sapması'!$D$3&gt;G2389),'Vade Sapması'!$D$3-G2389,0))</f>
        <v/>
      </c>
      <c r="P2389" s="33" t="str">
        <f aca="false">IF(F2389="","",F2389*J2389)</f>
        <v/>
      </c>
      <c r="Q2389" s="33" t="str">
        <f aca="false">IF(F2389="","",F2389*L2389)</f>
        <v/>
      </c>
      <c r="R2389" s="33" t="str">
        <f aca="false">IF(F2389="","",IF(H2389="",F2389,0))</f>
        <v/>
      </c>
      <c r="S2389" s="32" t="str">
        <f aca="false">IF(F2389="","",IF(N(O2389)=0,"",IF(O2389&lt;=30,"1-30",IF(O2389&lt;=60,"31-60",IF(O2389&lt;=90,"61-90","90+")))))</f>
        <v/>
      </c>
      <c r="T2389" s="32" t="str">
        <f aca="false">IF(F2389="","",IF(E2389="","Diğer",E2389))</f>
        <v/>
      </c>
      <c r="U2389" s="32" t="str">
        <f aca="false">IF(OR(F2389="",C2389=""),"",IF(COUNTIF($C$2:C2389,C2389)=1,MAX($U$1:U2388)+1,""))</f>
        <v/>
      </c>
    </row>
    <row r="2390" customFormat="false" ht="15" hidden="false" customHeight="false" outlineLevel="0" collapsed="false">
      <c r="A2390" s="34"/>
      <c r="B2390" s="9"/>
      <c r="C2390" s="34"/>
      <c r="D2390" s="34"/>
      <c r="E2390" s="34"/>
      <c r="F2390" s="35"/>
      <c r="G2390" s="9"/>
      <c r="H2390" s="9"/>
      <c r="I2390" s="34"/>
      <c r="J2390" s="30" t="str">
        <f aca="false">IF(F2390="","",G2390-B2390)</f>
        <v/>
      </c>
      <c r="K2390" s="31" t="str">
        <f aca="false">IF(F2390="","",IF(H2390&lt;&gt;"",H2390,MAX('Vade Sapması'!$D$3,G2390)))</f>
        <v/>
      </c>
      <c r="L2390" s="30" t="str">
        <f aca="false">IF(F2390="","",K2390-B2390)</f>
        <v/>
      </c>
      <c r="M2390" s="30" t="str">
        <f aca="false">IF(F2390="","",L2390-J2390)</f>
        <v/>
      </c>
      <c r="N2390" s="32" t="str">
        <f aca="false">IF(F2390="","",IF(H2390&lt;&gt;"","Kapandı",IF('Vade Sapması'!$D$3&gt;G2390,"Açık · vadesi geçti","Açık · vadesi gelmedi")))</f>
        <v/>
      </c>
      <c r="O2390" s="30" t="str">
        <f aca="false">IF(F2390="","",IF(AND(H2390="",'Vade Sapması'!$D$3&gt;G2390),'Vade Sapması'!$D$3-G2390,0))</f>
        <v/>
      </c>
      <c r="P2390" s="33" t="str">
        <f aca="false">IF(F2390="","",F2390*J2390)</f>
        <v/>
      </c>
      <c r="Q2390" s="33" t="str">
        <f aca="false">IF(F2390="","",F2390*L2390)</f>
        <v/>
      </c>
      <c r="R2390" s="33" t="str">
        <f aca="false">IF(F2390="","",IF(H2390="",F2390,0))</f>
        <v/>
      </c>
      <c r="S2390" s="32" t="str">
        <f aca="false">IF(F2390="","",IF(N(O2390)=0,"",IF(O2390&lt;=30,"1-30",IF(O2390&lt;=60,"31-60",IF(O2390&lt;=90,"61-90","90+")))))</f>
        <v/>
      </c>
      <c r="T2390" s="32" t="str">
        <f aca="false">IF(F2390="","",IF(E2390="","Diğer",E2390))</f>
        <v/>
      </c>
      <c r="U2390" s="32" t="str">
        <f aca="false">IF(OR(F2390="",C2390=""),"",IF(COUNTIF($C$2:C2390,C2390)=1,MAX($U$1:U2389)+1,""))</f>
        <v/>
      </c>
    </row>
    <row r="2391" customFormat="false" ht="15" hidden="false" customHeight="false" outlineLevel="0" collapsed="false">
      <c r="A2391" s="34"/>
      <c r="B2391" s="9"/>
      <c r="C2391" s="34"/>
      <c r="D2391" s="34"/>
      <c r="E2391" s="34"/>
      <c r="F2391" s="35"/>
      <c r="G2391" s="9"/>
      <c r="H2391" s="9"/>
      <c r="I2391" s="34"/>
      <c r="J2391" s="30" t="str">
        <f aca="false">IF(F2391="","",G2391-B2391)</f>
        <v/>
      </c>
      <c r="K2391" s="31" t="str">
        <f aca="false">IF(F2391="","",IF(H2391&lt;&gt;"",H2391,MAX('Vade Sapması'!$D$3,G2391)))</f>
        <v/>
      </c>
      <c r="L2391" s="30" t="str">
        <f aca="false">IF(F2391="","",K2391-B2391)</f>
        <v/>
      </c>
      <c r="M2391" s="30" t="str">
        <f aca="false">IF(F2391="","",L2391-J2391)</f>
        <v/>
      </c>
      <c r="N2391" s="32" t="str">
        <f aca="false">IF(F2391="","",IF(H2391&lt;&gt;"","Kapandı",IF('Vade Sapması'!$D$3&gt;G2391,"Açık · vadesi geçti","Açık · vadesi gelmedi")))</f>
        <v/>
      </c>
      <c r="O2391" s="30" t="str">
        <f aca="false">IF(F2391="","",IF(AND(H2391="",'Vade Sapması'!$D$3&gt;G2391),'Vade Sapması'!$D$3-G2391,0))</f>
        <v/>
      </c>
      <c r="P2391" s="33" t="str">
        <f aca="false">IF(F2391="","",F2391*J2391)</f>
        <v/>
      </c>
      <c r="Q2391" s="33" t="str">
        <f aca="false">IF(F2391="","",F2391*L2391)</f>
        <v/>
      </c>
      <c r="R2391" s="33" t="str">
        <f aca="false">IF(F2391="","",IF(H2391="",F2391,0))</f>
        <v/>
      </c>
      <c r="S2391" s="32" t="str">
        <f aca="false">IF(F2391="","",IF(N(O2391)=0,"",IF(O2391&lt;=30,"1-30",IF(O2391&lt;=60,"31-60",IF(O2391&lt;=90,"61-90","90+")))))</f>
        <v/>
      </c>
      <c r="T2391" s="32" t="str">
        <f aca="false">IF(F2391="","",IF(E2391="","Diğer",E2391))</f>
        <v/>
      </c>
      <c r="U2391" s="32" t="str">
        <f aca="false">IF(OR(F2391="",C2391=""),"",IF(COUNTIF($C$2:C2391,C2391)=1,MAX($U$1:U2390)+1,""))</f>
        <v/>
      </c>
    </row>
    <row r="2392" customFormat="false" ht="15" hidden="false" customHeight="false" outlineLevel="0" collapsed="false">
      <c r="A2392" s="34"/>
      <c r="B2392" s="9"/>
      <c r="C2392" s="34"/>
      <c r="D2392" s="34"/>
      <c r="E2392" s="34"/>
      <c r="F2392" s="35"/>
      <c r="G2392" s="9"/>
      <c r="H2392" s="9"/>
      <c r="I2392" s="34"/>
      <c r="J2392" s="30" t="str">
        <f aca="false">IF(F2392="","",G2392-B2392)</f>
        <v/>
      </c>
      <c r="K2392" s="31" t="str">
        <f aca="false">IF(F2392="","",IF(H2392&lt;&gt;"",H2392,MAX('Vade Sapması'!$D$3,G2392)))</f>
        <v/>
      </c>
      <c r="L2392" s="30" t="str">
        <f aca="false">IF(F2392="","",K2392-B2392)</f>
        <v/>
      </c>
      <c r="M2392" s="30" t="str">
        <f aca="false">IF(F2392="","",L2392-J2392)</f>
        <v/>
      </c>
      <c r="N2392" s="32" t="str">
        <f aca="false">IF(F2392="","",IF(H2392&lt;&gt;"","Kapandı",IF('Vade Sapması'!$D$3&gt;G2392,"Açık · vadesi geçti","Açık · vadesi gelmedi")))</f>
        <v/>
      </c>
      <c r="O2392" s="30" t="str">
        <f aca="false">IF(F2392="","",IF(AND(H2392="",'Vade Sapması'!$D$3&gt;G2392),'Vade Sapması'!$D$3-G2392,0))</f>
        <v/>
      </c>
      <c r="P2392" s="33" t="str">
        <f aca="false">IF(F2392="","",F2392*J2392)</f>
        <v/>
      </c>
      <c r="Q2392" s="33" t="str">
        <f aca="false">IF(F2392="","",F2392*L2392)</f>
        <v/>
      </c>
      <c r="R2392" s="33" t="str">
        <f aca="false">IF(F2392="","",IF(H2392="",F2392,0))</f>
        <v/>
      </c>
      <c r="S2392" s="32" t="str">
        <f aca="false">IF(F2392="","",IF(N(O2392)=0,"",IF(O2392&lt;=30,"1-30",IF(O2392&lt;=60,"31-60",IF(O2392&lt;=90,"61-90","90+")))))</f>
        <v/>
      </c>
      <c r="T2392" s="32" t="str">
        <f aca="false">IF(F2392="","",IF(E2392="","Diğer",E2392))</f>
        <v/>
      </c>
      <c r="U2392" s="32" t="str">
        <f aca="false">IF(OR(F2392="",C2392=""),"",IF(COUNTIF($C$2:C2392,C2392)=1,MAX($U$1:U2391)+1,""))</f>
        <v/>
      </c>
    </row>
    <row r="2393" customFormat="false" ht="15" hidden="false" customHeight="false" outlineLevel="0" collapsed="false">
      <c r="A2393" s="34"/>
      <c r="B2393" s="9"/>
      <c r="C2393" s="34"/>
      <c r="D2393" s="34"/>
      <c r="E2393" s="34"/>
      <c r="F2393" s="35"/>
      <c r="G2393" s="9"/>
      <c r="H2393" s="9"/>
      <c r="I2393" s="34"/>
      <c r="J2393" s="30" t="str">
        <f aca="false">IF(F2393="","",G2393-B2393)</f>
        <v/>
      </c>
      <c r="K2393" s="31" t="str">
        <f aca="false">IF(F2393="","",IF(H2393&lt;&gt;"",H2393,MAX('Vade Sapması'!$D$3,G2393)))</f>
        <v/>
      </c>
      <c r="L2393" s="30" t="str">
        <f aca="false">IF(F2393="","",K2393-B2393)</f>
        <v/>
      </c>
      <c r="M2393" s="30" t="str">
        <f aca="false">IF(F2393="","",L2393-J2393)</f>
        <v/>
      </c>
      <c r="N2393" s="32" t="str">
        <f aca="false">IF(F2393="","",IF(H2393&lt;&gt;"","Kapandı",IF('Vade Sapması'!$D$3&gt;G2393,"Açık · vadesi geçti","Açık · vadesi gelmedi")))</f>
        <v/>
      </c>
      <c r="O2393" s="30" t="str">
        <f aca="false">IF(F2393="","",IF(AND(H2393="",'Vade Sapması'!$D$3&gt;G2393),'Vade Sapması'!$D$3-G2393,0))</f>
        <v/>
      </c>
      <c r="P2393" s="33" t="str">
        <f aca="false">IF(F2393="","",F2393*J2393)</f>
        <v/>
      </c>
      <c r="Q2393" s="33" t="str">
        <f aca="false">IF(F2393="","",F2393*L2393)</f>
        <v/>
      </c>
      <c r="R2393" s="33" t="str">
        <f aca="false">IF(F2393="","",IF(H2393="",F2393,0))</f>
        <v/>
      </c>
      <c r="S2393" s="32" t="str">
        <f aca="false">IF(F2393="","",IF(N(O2393)=0,"",IF(O2393&lt;=30,"1-30",IF(O2393&lt;=60,"31-60",IF(O2393&lt;=90,"61-90","90+")))))</f>
        <v/>
      </c>
      <c r="T2393" s="32" t="str">
        <f aca="false">IF(F2393="","",IF(E2393="","Diğer",E2393))</f>
        <v/>
      </c>
      <c r="U2393" s="32" t="str">
        <f aca="false">IF(OR(F2393="",C2393=""),"",IF(COUNTIF($C$2:C2393,C2393)=1,MAX($U$1:U2392)+1,""))</f>
        <v/>
      </c>
    </row>
    <row r="2394" customFormat="false" ht="15" hidden="false" customHeight="false" outlineLevel="0" collapsed="false">
      <c r="A2394" s="34"/>
      <c r="B2394" s="9"/>
      <c r="C2394" s="34"/>
      <c r="D2394" s="34"/>
      <c r="E2394" s="34"/>
      <c r="F2394" s="35"/>
      <c r="G2394" s="9"/>
      <c r="H2394" s="9"/>
      <c r="I2394" s="34"/>
      <c r="J2394" s="30" t="str">
        <f aca="false">IF(F2394="","",G2394-B2394)</f>
        <v/>
      </c>
      <c r="K2394" s="31" t="str">
        <f aca="false">IF(F2394="","",IF(H2394&lt;&gt;"",H2394,MAX('Vade Sapması'!$D$3,G2394)))</f>
        <v/>
      </c>
      <c r="L2394" s="30" t="str">
        <f aca="false">IF(F2394="","",K2394-B2394)</f>
        <v/>
      </c>
      <c r="M2394" s="30" t="str">
        <f aca="false">IF(F2394="","",L2394-J2394)</f>
        <v/>
      </c>
      <c r="N2394" s="32" t="str">
        <f aca="false">IF(F2394="","",IF(H2394&lt;&gt;"","Kapandı",IF('Vade Sapması'!$D$3&gt;G2394,"Açık · vadesi geçti","Açık · vadesi gelmedi")))</f>
        <v/>
      </c>
      <c r="O2394" s="30" t="str">
        <f aca="false">IF(F2394="","",IF(AND(H2394="",'Vade Sapması'!$D$3&gt;G2394),'Vade Sapması'!$D$3-G2394,0))</f>
        <v/>
      </c>
      <c r="P2394" s="33" t="str">
        <f aca="false">IF(F2394="","",F2394*J2394)</f>
        <v/>
      </c>
      <c r="Q2394" s="33" t="str">
        <f aca="false">IF(F2394="","",F2394*L2394)</f>
        <v/>
      </c>
      <c r="R2394" s="33" t="str">
        <f aca="false">IF(F2394="","",IF(H2394="",F2394,0))</f>
        <v/>
      </c>
      <c r="S2394" s="32" t="str">
        <f aca="false">IF(F2394="","",IF(N(O2394)=0,"",IF(O2394&lt;=30,"1-30",IF(O2394&lt;=60,"31-60",IF(O2394&lt;=90,"61-90","90+")))))</f>
        <v/>
      </c>
      <c r="T2394" s="32" t="str">
        <f aca="false">IF(F2394="","",IF(E2394="","Diğer",E2394))</f>
        <v/>
      </c>
      <c r="U2394" s="32" t="str">
        <f aca="false">IF(OR(F2394="",C2394=""),"",IF(COUNTIF($C$2:C2394,C2394)=1,MAX($U$1:U2393)+1,""))</f>
        <v/>
      </c>
    </row>
    <row r="2395" customFormat="false" ht="15" hidden="false" customHeight="false" outlineLevel="0" collapsed="false">
      <c r="A2395" s="34"/>
      <c r="B2395" s="9"/>
      <c r="C2395" s="34"/>
      <c r="D2395" s="34"/>
      <c r="E2395" s="34"/>
      <c r="F2395" s="35"/>
      <c r="G2395" s="9"/>
      <c r="H2395" s="9"/>
      <c r="I2395" s="34"/>
      <c r="J2395" s="30" t="str">
        <f aca="false">IF(F2395="","",G2395-B2395)</f>
        <v/>
      </c>
      <c r="K2395" s="31" t="str">
        <f aca="false">IF(F2395="","",IF(H2395&lt;&gt;"",H2395,MAX('Vade Sapması'!$D$3,G2395)))</f>
        <v/>
      </c>
      <c r="L2395" s="30" t="str">
        <f aca="false">IF(F2395="","",K2395-B2395)</f>
        <v/>
      </c>
      <c r="M2395" s="30" t="str">
        <f aca="false">IF(F2395="","",L2395-J2395)</f>
        <v/>
      </c>
      <c r="N2395" s="32" t="str">
        <f aca="false">IF(F2395="","",IF(H2395&lt;&gt;"","Kapandı",IF('Vade Sapması'!$D$3&gt;G2395,"Açık · vadesi geçti","Açık · vadesi gelmedi")))</f>
        <v/>
      </c>
      <c r="O2395" s="30" t="str">
        <f aca="false">IF(F2395="","",IF(AND(H2395="",'Vade Sapması'!$D$3&gt;G2395),'Vade Sapması'!$D$3-G2395,0))</f>
        <v/>
      </c>
      <c r="P2395" s="33" t="str">
        <f aca="false">IF(F2395="","",F2395*J2395)</f>
        <v/>
      </c>
      <c r="Q2395" s="33" t="str">
        <f aca="false">IF(F2395="","",F2395*L2395)</f>
        <v/>
      </c>
      <c r="R2395" s="33" t="str">
        <f aca="false">IF(F2395="","",IF(H2395="",F2395,0))</f>
        <v/>
      </c>
      <c r="S2395" s="32" t="str">
        <f aca="false">IF(F2395="","",IF(N(O2395)=0,"",IF(O2395&lt;=30,"1-30",IF(O2395&lt;=60,"31-60",IF(O2395&lt;=90,"61-90","90+")))))</f>
        <v/>
      </c>
      <c r="T2395" s="32" t="str">
        <f aca="false">IF(F2395="","",IF(E2395="","Diğer",E2395))</f>
        <v/>
      </c>
      <c r="U2395" s="32" t="str">
        <f aca="false">IF(OR(F2395="",C2395=""),"",IF(COUNTIF($C$2:C2395,C2395)=1,MAX($U$1:U2394)+1,""))</f>
        <v/>
      </c>
    </row>
    <row r="2396" customFormat="false" ht="15" hidden="false" customHeight="false" outlineLevel="0" collapsed="false">
      <c r="A2396" s="34"/>
      <c r="B2396" s="9"/>
      <c r="C2396" s="34"/>
      <c r="D2396" s="34"/>
      <c r="E2396" s="34"/>
      <c r="F2396" s="35"/>
      <c r="G2396" s="9"/>
      <c r="H2396" s="9"/>
      <c r="I2396" s="34"/>
      <c r="J2396" s="30" t="str">
        <f aca="false">IF(F2396="","",G2396-B2396)</f>
        <v/>
      </c>
      <c r="K2396" s="31" t="str">
        <f aca="false">IF(F2396="","",IF(H2396&lt;&gt;"",H2396,MAX('Vade Sapması'!$D$3,G2396)))</f>
        <v/>
      </c>
      <c r="L2396" s="30" t="str">
        <f aca="false">IF(F2396="","",K2396-B2396)</f>
        <v/>
      </c>
      <c r="M2396" s="30" t="str">
        <f aca="false">IF(F2396="","",L2396-J2396)</f>
        <v/>
      </c>
      <c r="N2396" s="32" t="str">
        <f aca="false">IF(F2396="","",IF(H2396&lt;&gt;"","Kapandı",IF('Vade Sapması'!$D$3&gt;G2396,"Açık · vadesi geçti","Açık · vadesi gelmedi")))</f>
        <v/>
      </c>
      <c r="O2396" s="30" t="str">
        <f aca="false">IF(F2396="","",IF(AND(H2396="",'Vade Sapması'!$D$3&gt;G2396),'Vade Sapması'!$D$3-G2396,0))</f>
        <v/>
      </c>
      <c r="P2396" s="33" t="str">
        <f aca="false">IF(F2396="","",F2396*J2396)</f>
        <v/>
      </c>
      <c r="Q2396" s="33" t="str">
        <f aca="false">IF(F2396="","",F2396*L2396)</f>
        <v/>
      </c>
      <c r="R2396" s="33" t="str">
        <f aca="false">IF(F2396="","",IF(H2396="",F2396,0))</f>
        <v/>
      </c>
      <c r="S2396" s="32" t="str">
        <f aca="false">IF(F2396="","",IF(N(O2396)=0,"",IF(O2396&lt;=30,"1-30",IF(O2396&lt;=60,"31-60",IF(O2396&lt;=90,"61-90","90+")))))</f>
        <v/>
      </c>
      <c r="T2396" s="32" t="str">
        <f aca="false">IF(F2396="","",IF(E2396="","Diğer",E2396))</f>
        <v/>
      </c>
      <c r="U2396" s="32" t="str">
        <f aca="false">IF(OR(F2396="",C2396=""),"",IF(COUNTIF($C$2:C2396,C2396)=1,MAX($U$1:U2395)+1,""))</f>
        <v/>
      </c>
    </row>
    <row r="2397" customFormat="false" ht="15" hidden="false" customHeight="false" outlineLevel="0" collapsed="false">
      <c r="A2397" s="34"/>
      <c r="B2397" s="9"/>
      <c r="C2397" s="34"/>
      <c r="D2397" s="34"/>
      <c r="E2397" s="34"/>
      <c r="F2397" s="35"/>
      <c r="G2397" s="9"/>
      <c r="H2397" s="9"/>
      <c r="I2397" s="34"/>
      <c r="J2397" s="30" t="str">
        <f aca="false">IF(F2397="","",G2397-B2397)</f>
        <v/>
      </c>
      <c r="K2397" s="31" t="str">
        <f aca="false">IF(F2397="","",IF(H2397&lt;&gt;"",H2397,MAX('Vade Sapması'!$D$3,G2397)))</f>
        <v/>
      </c>
      <c r="L2397" s="30" t="str">
        <f aca="false">IF(F2397="","",K2397-B2397)</f>
        <v/>
      </c>
      <c r="M2397" s="30" t="str">
        <f aca="false">IF(F2397="","",L2397-J2397)</f>
        <v/>
      </c>
      <c r="N2397" s="32" t="str">
        <f aca="false">IF(F2397="","",IF(H2397&lt;&gt;"","Kapandı",IF('Vade Sapması'!$D$3&gt;G2397,"Açık · vadesi geçti","Açık · vadesi gelmedi")))</f>
        <v/>
      </c>
      <c r="O2397" s="30" t="str">
        <f aca="false">IF(F2397="","",IF(AND(H2397="",'Vade Sapması'!$D$3&gt;G2397),'Vade Sapması'!$D$3-G2397,0))</f>
        <v/>
      </c>
      <c r="P2397" s="33" t="str">
        <f aca="false">IF(F2397="","",F2397*J2397)</f>
        <v/>
      </c>
      <c r="Q2397" s="33" t="str">
        <f aca="false">IF(F2397="","",F2397*L2397)</f>
        <v/>
      </c>
      <c r="R2397" s="33" t="str">
        <f aca="false">IF(F2397="","",IF(H2397="",F2397,0))</f>
        <v/>
      </c>
      <c r="S2397" s="32" t="str">
        <f aca="false">IF(F2397="","",IF(N(O2397)=0,"",IF(O2397&lt;=30,"1-30",IF(O2397&lt;=60,"31-60",IF(O2397&lt;=90,"61-90","90+")))))</f>
        <v/>
      </c>
      <c r="T2397" s="32" t="str">
        <f aca="false">IF(F2397="","",IF(E2397="","Diğer",E2397))</f>
        <v/>
      </c>
      <c r="U2397" s="32" t="str">
        <f aca="false">IF(OR(F2397="",C2397=""),"",IF(COUNTIF($C$2:C2397,C2397)=1,MAX($U$1:U2396)+1,""))</f>
        <v/>
      </c>
    </row>
    <row r="2398" customFormat="false" ht="15" hidden="false" customHeight="false" outlineLevel="0" collapsed="false">
      <c r="A2398" s="34"/>
      <c r="B2398" s="9"/>
      <c r="C2398" s="34"/>
      <c r="D2398" s="34"/>
      <c r="E2398" s="34"/>
      <c r="F2398" s="35"/>
      <c r="G2398" s="9"/>
      <c r="H2398" s="9"/>
      <c r="I2398" s="34"/>
      <c r="J2398" s="30" t="str">
        <f aca="false">IF(F2398="","",G2398-B2398)</f>
        <v/>
      </c>
      <c r="K2398" s="31" t="str">
        <f aca="false">IF(F2398="","",IF(H2398&lt;&gt;"",H2398,MAX('Vade Sapması'!$D$3,G2398)))</f>
        <v/>
      </c>
      <c r="L2398" s="30" t="str">
        <f aca="false">IF(F2398="","",K2398-B2398)</f>
        <v/>
      </c>
      <c r="M2398" s="30" t="str">
        <f aca="false">IF(F2398="","",L2398-J2398)</f>
        <v/>
      </c>
      <c r="N2398" s="32" t="str">
        <f aca="false">IF(F2398="","",IF(H2398&lt;&gt;"","Kapandı",IF('Vade Sapması'!$D$3&gt;G2398,"Açık · vadesi geçti","Açık · vadesi gelmedi")))</f>
        <v/>
      </c>
      <c r="O2398" s="30" t="str">
        <f aca="false">IF(F2398="","",IF(AND(H2398="",'Vade Sapması'!$D$3&gt;G2398),'Vade Sapması'!$D$3-G2398,0))</f>
        <v/>
      </c>
      <c r="P2398" s="33" t="str">
        <f aca="false">IF(F2398="","",F2398*J2398)</f>
        <v/>
      </c>
      <c r="Q2398" s="33" t="str">
        <f aca="false">IF(F2398="","",F2398*L2398)</f>
        <v/>
      </c>
      <c r="R2398" s="33" t="str">
        <f aca="false">IF(F2398="","",IF(H2398="",F2398,0))</f>
        <v/>
      </c>
      <c r="S2398" s="32" t="str">
        <f aca="false">IF(F2398="","",IF(N(O2398)=0,"",IF(O2398&lt;=30,"1-30",IF(O2398&lt;=60,"31-60",IF(O2398&lt;=90,"61-90","90+")))))</f>
        <v/>
      </c>
      <c r="T2398" s="32" t="str">
        <f aca="false">IF(F2398="","",IF(E2398="","Diğer",E2398))</f>
        <v/>
      </c>
      <c r="U2398" s="32" t="str">
        <f aca="false">IF(OR(F2398="",C2398=""),"",IF(COUNTIF($C$2:C2398,C2398)=1,MAX($U$1:U2397)+1,""))</f>
        <v/>
      </c>
    </row>
    <row r="2399" customFormat="false" ht="15" hidden="false" customHeight="false" outlineLevel="0" collapsed="false">
      <c r="A2399" s="34"/>
      <c r="B2399" s="9"/>
      <c r="C2399" s="34"/>
      <c r="D2399" s="34"/>
      <c r="E2399" s="34"/>
      <c r="F2399" s="35"/>
      <c r="G2399" s="9"/>
      <c r="H2399" s="9"/>
      <c r="I2399" s="34"/>
      <c r="J2399" s="30" t="str">
        <f aca="false">IF(F2399="","",G2399-B2399)</f>
        <v/>
      </c>
      <c r="K2399" s="31" t="str">
        <f aca="false">IF(F2399="","",IF(H2399&lt;&gt;"",H2399,MAX('Vade Sapması'!$D$3,G2399)))</f>
        <v/>
      </c>
      <c r="L2399" s="30" t="str">
        <f aca="false">IF(F2399="","",K2399-B2399)</f>
        <v/>
      </c>
      <c r="M2399" s="30" t="str">
        <f aca="false">IF(F2399="","",L2399-J2399)</f>
        <v/>
      </c>
      <c r="N2399" s="32" t="str">
        <f aca="false">IF(F2399="","",IF(H2399&lt;&gt;"","Kapandı",IF('Vade Sapması'!$D$3&gt;G2399,"Açık · vadesi geçti","Açık · vadesi gelmedi")))</f>
        <v/>
      </c>
      <c r="O2399" s="30" t="str">
        <f aca="false">IF(F2399="","",IF(AND(H2399="",'Vade Sapması'!$D$3&gt;G2399),'Vade Sapması'!$D$3-G2399,0))</f>
        <v/>
      </c>
      <c r="P2399" s="33" t="str">
        <f aca="false">IF(F2399="","",F2399*J2399)</f>
        <v/>
      </c>
      <c r="Q2399" s="33" t="str">
        <f aca="false">IF(F2399="","",F2399*L2399)</f>
        <v/>
      </c>
      <c r="R2399" s="33" t="str">
        <f aca="false">IF(F2399="","",IF(H2399="",F2399,0))</f>
        <v/>
      </c>
      <c r="S2399" s="32" t="str">
        <f aca="false">IF(F2399="","",IF(N(O2399)=0,"",IF(O2399&lt;=30,"1-30",IF(O2399&lt;=60,"31-60",IF(O2399&lt;=90,"61-90","90+")))))</f>
        <v/>
      </c>
      <c r="T2399" s="32" t="str">
        <f aca="false">IF(F2399="","",IF(E2399="","Diğer",E2399))</f>
        <v/>
      </c>
      <c r="U2399" s="32" t="str">
        <f aca="false">IF(OR(F2399="",C2399=""),"",IF(COUNTIF($C$2:C2399,C2399)=1,MAX($U$1:U2398)+1,""))</f>
        <v/>
      </c>
    </row>
    <row r="2400" customFormat="false" ht="15" hidden="false" customHeight="false" outlineLevel="0" collapsed="false">
      <c r="A2400" s="34"/>
      <c r="B2400" s="9"/>
      <c r="C2400" s="34"/>
      <c r="D2400" s="34"/>
      <c r="E2400" s="34"/>
      <c r="F2400" s="35"/>
      <c r="G2400" s="9"/>
      <c r="H2400" s="9"/>
      <c r="I2400" s="34"/>
      <c r="J2400" s="30" t="str">
        <f aca="false">IF(F2400="","",G2400-B2400)</f>
        <v/>
      </c>
      <c r="K2400" s="31" t="str">
        <f aca="false">IF(F2400="","",IF(H2400&lt;&gt;"",H2400,MAX('Vade Sapması'!$D$3,G2400)))</f>
        <v/>
      </c>
      <c r="L2400" s="30" t="str">
        <f aca="false">IF(F2400="","",K2400-B2400)</f>
        <v/>
      </c>
      <c r="M2400" s="30" t="str">
        <f aca="false">IF(F2400="","",L2400-J2400)</f>
        <v/>
      </c>
      <c r="N2400" s="32" t="str">
        <f aca="false">IF(F2400="","",IF(H2400&lt;&gt;"","Kapandı",IF('Vade Sapması'!$D$3&gt;G2400,"Açık · vadesi geçti","Açık · vadesi gelmedi")))</f>
        <v/>
      </c>
      <c r="O2400" s="30" t="str">
        <f aca="false">IF(F2400="","",IF(AND(H2400="",'Vade Sapması'!$D$3&gt;G2400),'Vade Sapması'!$D$3-G2400,0))</f>
        <v/>
      </c>
      <c r="P2400" s="33" t="str">
        <f aca="false">IF(F2400="","",F2400*J2400)</f>
        <v/>
      </c>
      <c r="Q2400" s="33" t="str">
        <f aca="false">IF(F2400="","",F2400*L2400)</f>
        <v/>
      </c>
      <c r="R2400" s="33" t="str">
        <f aca="false">IF(F2400="","",IF(H2400="",F2400,0))</f>
        <v/>
      </c>
      <c r="S2400" s="32" t="str">
        <f aca="false">IF(F2400="","",IF(N(O2400)=0,"",IF(O2400&lt;=30,"1-30",IF(O2400&lt;=60,"31-60",IF(O2400&lt;=90,"61-90","90+")))))</f>
        <v/>
      </c>
      <c r="T2400" s="32" t="str">
        <f aca="false">IF(F2400="","",IF(E2400="","Diğer",E2400))</f>
        <v/>
      </c>
      <c r="U2400" s="32" t="str">
        <f aca="false">IF(OR(F2400="",C2400=""),"",IF(COUNTIF($C$2:C2400,C2400)=1,MAX($U$1:U2399)+1,""))</f>
        <v/>
      </c>
    </row>
    <row r="2401" customFormat="false" ht="15" hidden="false" customHeight="false" outlineLevel="0" collapsed="false">
      <c r="A2401" s="34"/>
      <c r="B2401" s="9"/>
      <c r="C2401" s="34"/>
      <c r="D2401" s="34"/>
      <c r="E2401" s="34"/>
      <c r="F2401" s="35"/>
      <c r="G2401" s="9"/>
      <c r="H2401" s="9"/>
      <c r="I2401" s="34"/>
      <c r="J2401" s="30" t="str">
        <f aca="false">IF(F2401="","",G2401-B2401)</f>
        <v/>
      </c>
      <c r="K2401" s="31" t="str">
        <f aca="false">IF(F2401="","",IF(H2401&lt;&gt;"",H2401,MAX('Vade Sapması'!$D$3,G2401)))</f>
        <v/>
      </c>
      <c r="L2401" s="30" t="str">
        <f aca="false">IF(F2401="","",K2401-B2401)</f>
        <v/>
      </c>
      <c r="M2401" s="30" t="str">
        <f aca="false">IF(F2401="","",L2401-J2401)</f>
        <v/>
      </c>
      <c r="N2401" s="32" t="str">
        <f aca="false">IF(F2401="","",IF(H2401&lt;&gt;"","Kapandı",IF('Vade Sapması'!$D$3&gt;G2401,"Açık · vadesi geçti","Açık · vadesi gelmedi")))</f>
        <v/>
      </c>
      <c r="O2401" s="30" t="str">
        <f aca="false">IF(F2401="","",IF(AND(H2401="",'Vade Sapması'!$D$3&gt;G2401),'Vade Sapması'!$D$3-G2401,0))</f>
        <v/>
      </c>
      <c r="P2401" s="33" t="str">
        <f aca="false">IF(F2401="","",F2401*J2401)</f>
        <v/>
      </c>
      <c r="Q2401" s="33" t="str">
        <f aca="false">IF(F2401="","",F2401*L2401)</f>
        <v/>
      </c>
      <c r="R2401" s="33" t="str">
        <f aca="false">IF(F2401="","",IF(H2401="",F2401,0))</f>
        <v/>
      </c>
      <c r="S2401" s="32" t="str">
        <f aca="false">IF(F2401="","",IF(N(O2401)=0,"",IF(O2401&lt;=30,"1-30",IF(O2401&lt;=60,"31-60",IF(O2401&lt;=90,"61-90","90+")))))</f>
        <v/>
      </c>
      <c r="T2401" s="32" t="str">
        <f aca="false">IF(F2401="","",IF(E2401="","Diğer",E2401))</f>
        <v/>
      </c>
      <c r="U2401" s="32" t="str">
        <f aca="false">IF(OR(F2401="",C2401=""),"",IF(COUNTIF($C$2:C2401,C2401)=1,MAX($U$1:U2400)+1,""))</f>
        <v/>
      </c>
    </row>
    <row r="2402" customFormat="false" ht="15" hidden="false" customHeight="false" outlineLevel="0" collapsed="false">
      <c r="A2402" s="34"/>
      <c r="B2402" s="9"/>
      <c r="C2402" s="34"/>
      <c r="D2402" s="34"/>
      <c r="E2402" s="34"/>
      <c r="F2402" s="35"/>
      <c r="G2402" s="9"/>
      <c r="H2402" s="9"/>
      <c r="I2402" s="34"/>
      <c r="J2402" s="30" t="str">
        <f aca="false">IF(F2402="","",G2402-B2402)</f>
        <v/>
      </c>
      <c r="K2402" s="31" t="str">
        <f aca="false">IF(F2402="","",IF(H2402&lt;&gt;"",H2402,MAX('Vade Sapması'!$D$3,G2402)))</f>
        <v/>
      </c>
      <c r="L2402" s="30" t="str">
        <f aca="false">IF(F2402="","",K2402-B2402)</f>
        <v/>
      </c>
      <c r="M2402" s="30" t="str">
        <f aca="false">IF(F2402="","",L2402-J2402)</f>
        <v/>
      </c>
      <c r="N2402" s="32" t="str">
        <f aca="false">IF(F2402="","",IF(H2402&lt;&gt;"","Kapandı",IF('Vade Sapması'!$D$3&gt;G2402,"Açık · vadesi geçti","Açık · vadesi gelmedi")))</f>
        <v/>
      </c>
      <c r="O2402" s="30" t="str">
        <f aca="false">IF(F2402="","",IF(AND(H2402="",'Vade Sapması'!$D$3&gt;G2402),'Vade Sapması'!$D$3-G2402,0))</f>
        <v/>
      </c>
      <c r="P2402" s="33" t="str">
        <f aca="false">IF(F2402="","",F2402*J2402)</f>
        <v/>
      </c>
      <c r="Q2402" s="33" t="str">
        <f aca="false">IF(F2402="","",F2402*L2402)</f>
        <v/>
      </c>
      <c r="R2402" s="33" t="str">
        <f aca="false">IF(F2402="","",IF(H2402="",F2402,0))</f>
        <v/>
      </c>
      <c r="S2402" s="32" t="str">
        <f aca="false">IF(F2402="","",IF(N(O2402)=0,"",IF(O2402&lt;=30,"1-30",IF(O2402&lt;=60,"31-60",IF(O2402&lt;=90,"61-90","90+")))))</f>
        <v/>
      </c>
      <c r="T2402" s="32" t="str">
        <f aca="false">IF(F2402="","",IF(E2402="","Diğer",E2402))</f>
        <v/>
      </c>
      <c r="U2402" s="32" t="str">
        <f aca="false">IF(OR(F2402="",C2402=""),"",IF(COUNTIF($C$2:C2402,C2402)=1,MAX($U$1:U2401)+1,""))</f>
        <v/>
      </c>
    </row>
    <row r="2403" customFormat="false" ht="15" hidden="false" customHeight="false" outlineLevel="0" collapsed="false">
      <c r="A2403" s="34"/>
      <c r="B2403" s="9"/>
      <c r="C2403" s="34"/>
      <c r="D2403" s="34"/>
      <c r="E2403" s="34"/>
      <c r="F2403" s="35"/>
      <c r="G2403" s="9"/>
      <c r="H2403" s="9"/>
      <c r="I2403" s="34"/>
      <c r="J2403" s="30" t="str">
        <f aca="false">IF(F2403="","",G2403-B2403)</f>
        <v/>
      </c>
      <c r="K2403" s="31" t="str">
        <f aca="false">IF(F2403="","",IF(H2403&lt;&gt;"",H2403,MAX('Vade Sapması'!$D$3,G2403)))</f>
        <v/>
      </c>
      <c r="L2403" s="30" t="str">
        <f aca="false">IF(F2403="","",K2403-B2403)</f>
        <v/>
      </c>
      <c r="M2403" s="30" t="str">
        <f aca="false">IF(F2403="","",L2403-J2403)</f>
        <v/>
      </c>
      <c r="N2403" s="32" t="str">
        <f aca="false">IF(F2403="","",IF(H2403&lt;&gt;"","Kapandı",IF('Vade Sapması'!$D$3&gt;G2403,"Açık · vadesi geçti","Açık · vadesi gelmedi")))</f>
        <v/>
      </c>
      <c r="O2403" s="30" t="str">
        <f aca="false">IF(F2403="","",IF(AND(H2403="",'Vade Sapması'!$D$3&gt;G2403),'Vade Sapması'!$D$3-G2403,0))</f>
        <v/>
      </c>
      <c r="P2403" s="33" t="str">
        <f aca="false">IF(F2403="","",F2403*J2403)</f>
        <v/>
      </c>
      <c r="Q2403" s="33" t="str">
        <f aca="false">IF(F2403="","",F2403*L2403)</f>
        <v/>
      </c>
      <c r="R2403" s="33" t="str">
        <f aca="false">IF(F2403="","",IF(H2403="",F2403,0))</f>
        <v/>
      </c>
      <c r="S2403" s="32" t="str">
        <f aca="false">IF(F2403="","",IF(N(O2403)=0,"",IF(O2403&lt;=30,"1-30",IF(O2403&lt;=60,"31-60",IF(O2403&lt;=90,"61-90","90+")))))</f>
        <v/>
      </c>
      <c r="T2403" s="32" t="str">
        <f aca="false">IF(F2403="","",IF(E2403="","Diğer",E2403))</f>
        <v/>
      </c>
      <c r="U2403" s="32" t="str">
        <f aca="false">IF(OR(F2403="",C2403=""),"",IF(COUNTIF($C$2:C2403,C2403)=1,MAX($U$1:U2402)+1,""))</f>
        <v/>
      </c>
    </row>
    <row r="2404" customFormat="false" ht="15" hidden="false" customHeight="false" outlineLevel="0" collapsed="false">
      <c r="A2404" s="34"/>
      <c r="B2404" s="9"/>
      <c r="C2404" s="34"/>
      <c r="D2404" s="34"/>
      <c r="E2404" s="34"/>
      <c r="F2404" s="35"/>
      <c r="G2404" s="9"/>
      <c r="H2404" s="9"/>
      <c r="I2404" s="34"/>
      <c r="J2404" s="30" t="str">
        <f aca="false">IF(F2404="","",G2404-B2404)</f>
        <v/>
      </c>
      <c r="K2404" s="31" t="str">
        <f aca="false">IF(F2404="","",IF(H2404&lt;&gt;"",H2404,MAX('Vade Sapması'!$D$3,G2404)))</f>
        <v/>
      </c>
      <c r="L2404" s="30" t="str">
        <f aca="false">IF(F2404="","",K2404-B2404)</f>
        <v/>
      </c>
      <c r="M2404" s="30" t="str">
        <f aca="false">IF(F2404="","",L2404-J2404)</f>
        <v/>
      </c>
      <c r="N2404" s="32" t="str">
        <f aca="false">IF(F2404="","",IF(H2404&lt;&gt;"","Kapandı",IF('Vade Sapması'!$D$3&gt;G2404,"Açık · vadesi geçti","Açık · vadesi gelmedi")))</f>
        <v/>
      </c>
      <c r="O2404" s="30" t="str">
        <f aca="false">IF(F2404="","",IF(AND(H2404="",'Vade Sapması'!$D$3&gt;G2404),'Vade Sapması'!$D$3-G2404,0))</f>
        <v/>
      </c>
      <c r="P2404" s="33" t="str">
        <f aca="false">IF(F2404="","",F2404*J2404)</f>
        <v/>
      </c>
      <c r="Q2404" s="33" t="str">
        <f aca="false">IF(F2404="","",F2404*L2404)</f>
        <v/>
      </c>
      <c r="R2404" s="33" t="str">
        <f aca="false">IF(F2404="","",IF(H2404="",F2404,0))</f>
        <v/>
      </c>
      <c r="S2404" s="32" t="str">
        <f aca="false">IF(F2404="","",IF(N(O2404)=0,"",IF(O2404&lt;=30,"1-30",IF(O2404&lt;=60,"31-60",IF(O2404&lt;=90,"61-90","90+")))))</f>
        <v/>
      </c>
      <c r="T2404" s="32" t="str">
        <f aca="false">IF(F2404="","",IF(E2404="","Diğer",E2404))</f>
        <v/>
      </c>
      <c r="U2404" s="32" t="str">
        <f aca="false">IF(OR(F2404="",C2404=""),"",IF(COUNTIF($C$2:C2404,C2404)=1,MAX($U$1:U2403)+1,""))</f>
        <v/>
      </c>
    </row>
    <row r="2405" customFormat="false" ht="15" hidden="false" customHeight="false" outlineLevel="0" collapsed="false">
      <c r="A2405" s="34"/>
      <c r="B2405" s="9"/>
      <c r="C2405" s="34"/>
      <c r="D2405" s="34"/>
      <c r="E2405" s="34"/>
      <c r="F2405" s="35"/>
      <c r="G2405" s="9"/>
      <c r="H2405" s="9"/>
      <c r="I2405" s="34"/>
      <c r="J2405" s="30" t="str">
        <f aca="false">IF(F2405="","",G2405-B2405)</f>
        <v/>
      </c>
      <c r="K2405" s="31" t="str">
        <f aca="false">IF(F2405="","",IF(H2405&lt;&gt;"",H2405,MAX('Vade Sapması'!$D$3,G2405)))</f>
        <v/>
      </c>
      <c r="L2405" s="30" t="str">
        <f aca="false">IF(F2405="","",K2405-B2405)</f>
        <v/>
      </c>
      <c r="M2405" s="30" t="str">
        <f aca="false">IF(F2405="","",L2405-J2405)</f>
        <v/>
      </c>
      <c r="N2405" s="32" t="str">
        <f aca="false">IF(F2405="","",IF(H2405&lt;&gt;"","Kapandı",IF('Vade Sapması'!$D$3&gt;G2405,"Açık · vadesi geçti","Açık · vadesi gelmedi")))</f>
        <v/>
      </c>
      <c r="O2405" s="30" t="str">
        <f aca="false">IF(F2405="","",IF(AND(H2405="",'Vade Sapması'!$D$3&gt;G2405),'Vade Sapması'!$D$3-G2405,0))</f>
        <v/>
      </c>
      <c r="P2405" s="33" t="str">
        <f aca="false">IF(F2405="","",F2405*J2405)</f>
        <v/>
      </c>
      <c r="Q2405" s="33" t="str">
        <f aca="false">IF(F2405="","",F2405*L2405)</f>
        <v/>
      </c>
      <c r="R2405" s="33" t="str">
        <f aca="false">IF(F2405="","",IF(H2405="",F2405,0))</f>
        <v/>
      </c>
      <c r="S2405" s="32" t="str">
        <f aca="false">IF(F2405="","",IF(N(O2405)=0,"",IF(O2405&lt;=30,"1-30",IF(O2405&lt;=60,"31-60",IF(O2405&lt;=90,"61-90","90+")))))</f>
        <v/>
      </c>
      <c r="T2405" s="32" t="str">
        <f aca="false">IF(F2405="","",IF(E2405="","Diğer",E2405))</f>
        <v/>
      </c>
      <c r="U2405" s="32" t="str">
        <f aca="false">IF(OR(F2405="",C2405=""),"",IF(COUNTIF($C$2:C2405,C2405)=1,MAX($U$1:U2404)+1,""))</f>
        <v/>
      </c>
    </row>
    <row r="2406" customFormat="false" ht="15" hidden="false" customHeight="false" outlineLevel="0" collapsed="false">
      <c r="A2406" s="34"/>
      <c r="B2406" s="9"/>
      <c r="C2406" s="34"/>
      <c r="D2406" s="34"/>
      <c r="E2406" s="34"/>
      <c r="F2406" s="35"/>
      <c r="G2406" s="9"/>
      <c r="H2406" s="9"/>
      <c r="I2406" s="34"/>
      <c r="J2406" s="30" t="str">
        <f aca="false">IF(F2406="","",G2406-B2406)</f>
        <v/>
      </c>
      <c r="K2406" s="31" t="str">
        <f aca="false">IF(F2406="","",IF(H2406&lt;&gt;"",H2406,MAX('Vade Sapması'!$D$3,G2406)))</f>
        <v/>
      </c>
      <c r="L2406" s="30" t="str">
        <f aca="false">IF(F2406="","",K2406-B2406)</f>
        <v/>
      </c>
      <c r="M2406" s="30" t="str">
        <f aca="false">IF(F2406="","",L2406-J2406)</f>
        <v/>
      </c>
      <c r="N2406" s="32" t="str">
        <f aca="false">IF(F2406="","",IF(H2406&lt;&gt;"","Kapandı",IF('Vade Sapması'!$D$3&gt;G2406,"Açık · vadesi geçti","Açık · vadesi gelmedi")))</f>
        <v/>
      </c>
      <c r="O2406" s="30" t="str">
        <f aca="false">IF(F2406="","",IF(AND(H2406="",'Vade Sapması'!$D$3&gt;G2406),'Vade Sapması'!$D$3-G2406,0))</f>
        <v/>
      </c>
      <c r="P2406" s="33" t="str">
        <f aca="false">IF(F2406="","",F2406*J2406)</f>
        <v/>
      </c>
      <c r="Q2406" s="33" t="str">
        <f aca="false">IF(F2406="","",F2406*L2406)</f>
        <v/>
      </c>
      <c r="R2406" s="33" t="str">
        <f aca="false">IF(F2406="","",IF(H2406="",F2406,0))</f>
        <v/>
      </c>
      <c r="S2406" s="32" t="str">
        <f aca="false">IF(F2406="","",IF(N(O2406)=0,"",IF(O2406&lt;=30,"1-30",IF(O2406&lt;=60,"31-60",IF(O2406&lt;=90,"61-90","90+")))))</f>
        <v/>
      </c>
      <c r="T2406" s="32" t="str">
        <f aca="false">IF(F2406="","",IF(E2406="","Diğer",E2406))</f>
        <v/>
      </c>
      <c r="U2406" s="32" t="str">
        <f aca="false">IF(OR(F2406="",C2406=""),"",IF(COUNTIF($C$2:C2406,C2406)=1,MAX($U$1:U2405)+1,""))</f>
        <v/>
      </c>
    </row>
    <row r="2407" customFormat="false" ht="15" hidden="false" customHeight="false" outlineLevel="0" collapsed="false">
      <c r="A2407" s="34"/>
      <c r="B2407" s="9"/>
      <c r="C2407" s="34"/>
      <c r="D2407" s="34"/>
      <c r="E2407" s="34"/>
      <c r="F2407" s="35"/>
      <c r="G2407" s="9"/>
      <c r="H2407" s="9"/>
      <c r="I2407" s="34"/>
      <c r="J2407" s="30" t="str">
        <f aca="false">IF(F2407="","",G2407-B2407)</f>
        <v/>
      </c>
      <c r="K2407" s="31" t="str">
        <f aca="false">IF(F2407="","",IF(H2407&lt;&gt;"",H2407,MAX('Vade Sapması'!$D$3,G2407)))</f>
        <v/>
      </c>
      <c r="L2407" s="30" t="str">
        <f aca="false">IF(F2407="","",K2407-B2407)</f>
        <v/>
      </c>
      <c r="M2407" s="30" t="str">
        <f aca="false">IF(F2407="","",L2407-J2407)</f>
        <v/>
      </c>
      <c r="N2407" s="32" t="str">
        <f aca="false">IF(F2407="","",IF(H2407&lt;&gt;"","Kapandı",IF('Vade Sapması'!$D$3&gt;G2407,"Açık · vadesi geçti","Açık · vadesi gelmedi")))</f>
        <v/>
      </c>
      <c r="O2407" s="30" t="str">
        <f aca="false">IF(F2407="","",IF(AND(H2407="",'Vade Sapması'!$D$3&gt;G2407),'Vade Sapması'!$D$3-G2407,0))</f>
        <v/>
      </c>
      <c r="P2407" s="33" t="str">
        <f aca="false">IF(F2407="","",F2407*J2407)</f>
        <v/>
      </c>
      <c r="Q2407" s="33" t="str">
        <f aca="false">IF(F2407="","",F2407*L2407)</f>
        <v/>
      </c>
      <c r="R2407" s="33" t="str">
        <f aca="false">IF(F2407="","",IF(H2407="",F2407,0))</f>
        <v/>
      </c>
      <c r="S2407" s="32" t="str">
        <f aca="false">IF(F2407="","",IF(N(O2407)=0,"",IF(O2407&lt;=30,"1-30",IF(O2407&lt;=60,"31-60",IF(O2407&lt;=90,"61-90","90+")))))</f>
        <v/>
      </c>
      <c r="T2407" s="32" t="str">
        <f aca="false">IF(F2407="","",IF(E2407="","Diğer",E2407))</f>
        <v/>
      </c>
      <c r="U2407" s="32" t="str">
        <f aca="false">IF(OR(F2407="",C2407=""),"",IF(COUNTIF($C$2:C2407,C2407)=1,MAX($U$1:U2406)+1,""))</f>
        <v/>
      </c>
    </row>
    <row r="2408" customFormat="false" ht="15" hidden="false" customHeight="false" outlineLevel="0" collapsed="false">
      <c r="A2408" s="34"/>
      <c r="B2408" s="9"/>
      <c r="C2408" s="34"/>
      <c r="D2408" s="34"/>
      <c r="E2408" s="34"/>
      <c r="F2408" s="35"/>
      <c r="G2408" s="9"/>
      <c r="H2408" s="9"/>
      <c r="I2408" s="34"/>
      <c r="J2408" s="30" t="str">
        <f aca="false">IF(F2408="","",G2408-B2408)</f>
        <v/>
      </c>
      <c r="K2408" s="31" t="str">
        <f aca="false">IF(F2408="","",IF(H2408&lt;&gt;"",H2408,MAX('Vade Sapması'!$D$3,G2408)))</f>
        <v/>
      </c>
      <c r="L2408" s="30" t="str">
        <f aca="false">IF(F2408="","",K2408-B2408)</f>
        <v/>
      </c>
      <c r="M2408" s="30" t="str">
        <f aca="false">IF(F2408="","",L2408-J2408)</f>
        <v/>
      </c>
      <c r="N2408" s="32" t="str">
        <f aca="false">IF(F2408="","",IF(H2408&lt;&gt;"","Kapandı",IF('Vade Sapması'!$D$3&gt;G2408,"Açık · vadesi geçti","Açık · vadesi gelmedi")))</f>
        <v/>
      </c>
      <c r="O2408" s="30" t="str">
        <f aca="false">IF(F2408="","",IF(AND(H2408="",'Vade Sapması'!$D$3&gt;G2408),'Vade Sapması'!$D$3-G2408,0))</f>
        <v/>
      </c>
      <c r="P2408" s="33" t="str">
        <f aca="false">IF(F2408="","",F2408*J2408)</f>
        <v/>
      </c>
      <c r="Q2408" s="33" t="str">
        <f aca="false">IF(F2408="","",F2408*L2408)</f>
        <v/>
      </c>
      <c r="R2408" s="33" t="str">
        <f aca="false">IF(F2408="","",IF(H2408="",F2408,0))</f>
        <v/>
      </c>
      <c r="S2408" s="32" t="str">
        <f aca="false">IF(F2408="","",IF(N(O2408)=0,"",IF(O2408&lt;=30,"1-30",IF(O2408&lt;=60,"31-60",IF(O2408&lt;=90,"61-90","90+")))))</f>
        <v/>
      </c>
      <c r="T2408" s="32" t="str">
        <f aca="false">IF(F2408="","",IF(E2408="","Diğer",E2408))</f>
        <v/>
      </c>
      <c r="U2408" s="32" t="str">
        <f aca="false">IF(OR(F2408="",C2408=""),"",IF(COUNTIF($C$2:C2408,C2408)=1,MAX($U$1:U2407)+1,""))</f>
        <v/>
      </c>
    </row>
    <row r="2409" customFormat="false" ht="15" hidden="false" customHeight="false" outlineLevel="0" collapsed="false">
      <c r="A2409" s="34"/>
      <c r="B2409" s="9"/>
      <c r="C2409" s="34"/>
      <c r="D2409" s="34"/>
      <c r="E2409" s="34"/>
      <c r="F2409" s="35"/>
      <c r="G2409" s="9"/>
      <c r="H2409" s="9"/>
      <c r="I2409" s="34"/>
      <c r="J2409" s="30" t="str">
        <f aca="false">IF(F2409="","",G2409-B2409)</f>
        <v/>
      </c>
      <c r="K2409" s="31" t="str">
        <f aca="false">IF(F2409="","",IF(H2409&lt;&gt;"",H2409,MAX('Vade Sapması'!$D$3,G2409)))</f>
        <v/>
      </c>
      <c r="L2409" s="30" t="str">
        <f aca="false">IF(F2409="","",K2409-B2409)</f>
        <v/>
      </c>
      <c r="M2409" s="30" t="str">
        <f aca="false">IF(F2409="","",L2409-J2409)</f>
        <v/>
      </c>
      <c r="N2409" s="32" t="str">
        <f aca="false">IF(F2409="","",IF(H2409&lt;&gt;"","Kapandı",IF('Vade Sapması'!$D$3&gt;G2409,"Açık · vadesi geçti","Açık · vadesi gelmedi")))</f>
        <v/>
      </c>
      <c r="O2409" s="30" t="str">
        <f aca="false">IF(F2409="","",IF(AND(H2409="",'Vade Sapması'!$D$3&gt;G2409),'Vade Sapması'!$D$3-G2409,0))</f>
        <v/>
      </c>
      <c r="P2409" s="33" t="str">
        <f aca="false">IF(F2409="","",F2409*J2409)</f>
        <v/>
      </c>
      <c r="Q2409" s="33" t="str">
        <f aca="false">IF(F2409="","",F2409*L2409)</f>
        <v/>
      </c>
      <c r="R2409" s="33" t="str">
        <f aca="false">IF(F2409="","",IF(H2409="",F2409,0))</f>
        <v/>
      </c>
      <c r="S2409" s="32" t="str">
        <f aca="false">IF(F2409="","",IF(N(O2409)=0,"",IF(O2409&lt;=30,"1-30",IF(O2409&lt;=60,"31-60",IF(O2409&lt;=90,"61-90","90+")))))</f>
        <v/>
      </c>
      <c r="T2409" s="32" t="str">
        <f aca="false">IF(F2409="","",IF(E2409="","Diğer",E2409))</f>
        <v/>
      </c>
      <c r="U2409" s="32" t="str">
        <f aca="false">IF(OR(F2409="",C2409=""),"",IF(COUNTIF($C$2:C2409,C2409)=1,MAX($U$1:U2408)+1,""))</f>
        <v/>
      </c>
    </row>
    <row r="2410" customFormat="false" ht="15" hidden="false" customHeight="false" outlineLevel="0" collapsed="false">
      <c r="A2410" s="34"/>
      <c r="B2410" s="9"/>
      <c r="C2410" s="34"/>
      <c r="D2410" s="34"/>
      <c r="E2410" s="34"/>
      <c r="F2410" s="35"/>
      <c r="G2410" s="9"/>
      <c r="H2410" s="9"/>
      <c r="I2410" s="34"/>
      <c r="J2410" s="30" t="str">
        <f aca="false">IF(F2410="","",G2410-B2410)</f>
        <v/>
      </c>
      <c r="K2410" s="31" t="str">
        <f aca="false">IF(F2410="","",IF(H2410&lt;&gt;"",H2410,MAX('Vade Sapması'!$D$3,G2410)))</f>
        <v/>
      </c>
      <c r="L2410" s="30" t="str">
        <f aca="false">IF(F2410="","",K2410-B2410)</f>
        <v/>
      </c>
      <c r="M2410" s="30" t="str">
        <f aca="false">IF(F2410="","",L2410-J2410)</f>
        <v/>
      </c>
      <c r="N2410" s="32" t="str">
        <f aca="false">IF(F2410="","",IF(H2410&lt;&gt;"","Kapandı",IF('Vade Sapması'!$D$3&gt;G2410,"Açık · vadesi geçti","Açık · vadesi gelmedi")))</f>
        <v/>
      </c>
      <c r="O2410" s="30" t="str">
        <f aca="false">IF(F2410="","",IF(AND(H2410="",'Vade Sapması'!$D$3&gt;G2410),'Vade Sapması'!$D$3-G2410,0))</f>
        <v/>
      </c>
      <c r="P2410" s="33" t="str">
        <f aca="false">IF(F2410="","",F2410*J2410)</f>
        <v/>
      </c>
      <c r="Q2410" s="33" t="str">
        <f aca="false">IF(F2410="","",F2410*L2410)</f>
        <v/>
      </c>
      <c r="R2410" s="33" t="str">
        <f aca="false">IF(F2410="","",IF(H2410="",F2410,0))</f>
        <v/>
      </c>
      <c r="S2410" s="32" t="str">
        <f aca="false">IF(F2410="","",IF(N(O2410)=0,"",IF(O2410&lt;=30,"1-30",IF(O2410&lt;=60,"31-60",IF(O2410&lt;=90,"61-90","90+")))))</f>
        <v/>
      </c>
      <c r="T2410" s="32" t="str">
        <f aca="false">IF(F2410="","",IF(E2410="","Diğer",E2410))</f>
        <v/>
      </c>
      <c r="U2410" s="32" t="str">
        <f aca="false">IF(OR(F2410="",C2410=""),"",IF(COUNTIF($C$2:C2410,C2410)=1,MAX($U$1:U2409)+1,""))</f>
        <v/>
      </c>
    </row>
    <row r="2411" customFormat="false" ht="15" hidden="false" customHeight="false" outlineLevel="0" collapsed="false">
      <c r="A2411" s="34"/>
      <c r="B2411" s="9"/>
      <c r="C2411" s="34"/>
      <c r="D2411" s="34"/>
      <c r="E2411" s="34"/>
      <c r="F2411" s="35"/>
      <c r="G2411" s="9"/>
      <c r="H2411" s="9"/>
      <c r="I2411" s="34"/>
      <c r="J2411" s="30" t="str">
        <f aca="false">IF(F2411="","",G2411-B2411)</f>
        <v/>
      </c>
      <c r="K2411" s="31" t="str">
        <f aca="false">IF(F2411="","",IF(H2411&lt;&gt;"",H2411,MAX('Vade Sapması'!$D$3,G2411)))</f>
        <v/>
      </c>
      <c r="L2411" s="30" t="str">
        <f aca="false">IF(F2411="","",K2411-B2411)</f>
        <v/>
      </c>
      <c r="M2411" s="30" t="str">
        <f aca="false">IF(F2411="","",L2411-J2411)</f>
        <v/>
      </c>
      <c r="N2411" s="32" t="str">
        <f aca="false">IF(F2411="","",IF(H2411&lt;&gt;"","Kapandı",IF('Vade Sapması'!$D$3&gt;G2411,"Açık · vadesi geçti","Açık · vadesi gelmedi")))</f>
        <v/>
      </c>
      <c r="O2411" s="30" t="str">
        <f aca="false">IF(F2411="","",IF(AND(H2411="",'Vade Sapması'!$D$3&gt;G2411),'Vade Sapması'!$D$3-G2411,0))</f>
        <v/>
      </c>
      <c r="P2411" s="33" t="str">
        <f aca="false">IF(F2411="","",F2411*J2411)</f>
        <v/>
      </c>
      <c r="Q2411" s="33" t="str">
        <f aca="false">IF(F2411="","",F2411*L2411)</f>
        <v/>
      </c>
      <c r="R2411" s="33" t="str">
        <f aca="false">IF(F2411="","",IF(H2411="",F2411,0))</f>
        <v/>
      </c>
      <c r="S2411" s="32" t="str">
        <f aca="false">IF(F2411="","",IF(N(O2411)=0,"",IF(O2411&lt;=30,"1-30",IF(O2411&lt;=60,"31-60",IF(O2411&lt;=90,"61-90","90+")))))</f>
        <v/>
      </c>
      <c r="T2411" s="32" t="str">
        <f aca="false">IF(F2411="","",IF(E2411="","Diğer",E2411))</f>
        <v/>
      </c>
      <c r="U2411" s="32" t="str">
        <f aca="false">IF(OR(F2411="",C2411=""),"",IF(COUNTIF($C$2:C2411,C2411)=1,MAX($U$1:U2410)+1,""))</f>
        <v/>
      </c>
    </row>
    <row r="2412" customFormat="false" ht="15" hidden="false" customHeight="false" outlineLevel="0" collapsed="false">
      <c r="A2412" s="34"/>
      <c r="B2412" s="9"/>
      <c r="C2412" s="34"/>
      <c r="D2412" s="34"/>
      <c r="E2412" s="34"/>
      <c r="F2412" s="35"/>
      <c r="G2412" s="9"/>
      <c r="H2412" s="9"/>
      <c r="I2412" s="34"/>
      <c r="J2412" s="30" t="str">
        <f aca="false">IF(F2412="","",G2412-B2412)</f>
        <v/>
      </c>
      <c r="K2412" s="31" t="str">
        <f aca="false">IF(F2412="","",IF(H2412&lt;&gt;"",H2412,MAX('Vade Sapması'!$D$3,G2412)))</f>
        <v/>
      </c>
      <c r="L2412" s="30" t="str">
        <f aca="false">IF(F2412="","",K2412-B2412)</f>
        <v/>
      </c>
      <c r="M2412" s="30" t="str">
        <f aca="false">IF(F2412="","",L2412-J2412)</f>
        <v/>
      </c>
      <c r="N2412" s="32" t="str">
        <f aca="false">IF(F2412="","",IF(H2412&lt;&gt;"","Kapandı",IF('Vade Sapması'!$D$3&gt;G2412,"Açık · vadesi geçti","Açık · vadesi gelmedi")))</f>
        <v/>
      </c>
      <c r="O2412" s="30" t="str">
        <f aca="false">IF(F2412="","",IF(AND(H2412="",'Vade Sapması'!$D$3&gt;G2412),'Vade Sapması'!$D$3-G2412,0))</f>
        <v/>
      </c>
      <c r="P2412" s="33" t="str">
        <f aca="false">IF(F2412="","",F2412*J2412)</f>
        <v/>
      </c>
      <c r="Q2412" s="33" t="str">
        <f aca="false">IF(F2412="","",F2412*L2412)</f>
        <v/>
      </c>
      <c r="R2412" s="33" t="str">
        <f aca="false">IF(F2412="","",IF(H2412="",F2412,0))</f>
        <v/>
      </c>
      <c r="S2412" s="32" t="str">
        <f aca="false">IF(F2412="","",IF(N(O2412)=0,"",IF(O2412&lt;=30,"1-30",IF(O2412&lt;=60,"31-60",IF(O2412&lt;=90,"61-90","90+")))))</f>
        <v/>
      </c>
      <c r="T2412" s="32" t="str">
        <f aca="false">IF(F2412="","",IF(E2412="","Diğer",E2412))</f>
        <v/>
      </c>
      <c r="U2412" s="32" t="str">
        <f aca="false">IF(OR(F2412="",C2412=""),"",IF(COUNTIF($C$2:C2412,C2412)=1,MAX($U$1:U2411)+1,""))</f>
        <v/>
      </c>
    </row>
    <row r="2413" customFormat="false" ht="15" hidden="false" customHeight="false" outlineLevel="0" collapsed="false">
      <c r="A2413" s="34"/>
      <c r="B2413" s="9"/>
      <c r="C2413" s="34"/>
      <c r="D2413" s="34"/>
      <c r="E2413" s="34"/>
      <c r="F2413" s="35"/>
      <c r="G2413" s="9"/>
      <c r="H2413" s="9"/>
      <c r="I2413" s="34"/>
      <c r="J2413" s="30" t="str">
        <f aca="false">IF(F2413="","",G2413-B2413)</f>
        <v/>
      </c>
      <c r="K2413" s="31" t="str">
        <f aca="false">IF(F2413="","",IF(H2413&lt;&gt;"",H2413,MAX('Vade Sapması'!$D$3,G2413)))</f>
        <v/>
      </c>
      <c r="L2413" s="30" t="str">
        <f aca="false">IF(F2413="","",K2413-B2413)</f>
        <v/>
      </c>
      <c r="M2413" s="30" t="str">
        <f aca="false">IF(F2413="","",L2413-J2413)</f>
        <v/>
      </c>
      <c r="N2413" s="32" t="str">
        <f aca="false">IF(F2413="","",IF(H2413&lt;&gt;"","Kapandı",IF('Vade Sapması'!$D$3&gt;G2413,"Açık · vadesi geçti","Açık · vadesi gelmedi")))</f>
        <v/>
      </c>
      <c r="O2413" s="30" t="str">
        <f aca="false">IF(F2413="","",IF(AND(H2413="",'Vade Sapması'!$D$3&gt;G2413),'Vade Sapması'!$D$3-G2413,0))</f>
        <v/>
      </c>
      <c r="P2413" s="33" t="str">
        <f aca="false">IF(F2413="","",F2413*J2413)</f>
        <v/>
      </c>
      <c r="Q2413" s="33" t="str">
        <f aca="false">IF(F2413="","",F2413*L2413)</f>
        <v/>
      </c>
      <c r="R2413" s="33" t="str">
        <f aca="false">IF(F2413="","",IF(H2413="",F2413,0))</f>
        <v/>
      </c>
      <c r="S2413" s="32" t="str">
        <f aca="false">IF(F2413="","",IF(N(O2413)=0,"",IF(O2413&lt;=30,"1-30",IF(O2413&lt;=60,"31-60",IF(O2413&lt;=90,"61-90","90+")))))</f>
        <v/>
      </c>
      <c r="T2413" s="32" t="str">
        <f aca="false">IF(F2413="","",IF(E2413="","Diğer",E2413))</f>
        <v/>
      </c>
      <c r="U2413" s="32" t="str">
        <f aca="false">IF(OR(F2413="",C2413=""),"",IF(COUNTIF($C$2:C2413,C2413)=1,MAX($U$1:U2412)+1,""))</f>
        <v/>
      </c>
    </row>
    <row r="2414" customFormat="false" ht="15" hidden="false" customHeight="false" outlineLevel="0" collapsed="false">
      <c r="A2414" s="34"/>
      <c r="B2414" s="9"/>
      <c r="C2414" s="34"/>
      <c r="D2414" s="34"/>
      <c r="E2414" s="34"/>
      <c r="F2414" s="35"/>
      <c r="G2414" s="9"/>
      <c r="H2414" s="9"/>
      <c r="I2414" s="34"/>
      <c r="J2414" s="30" t="str">
        <f aca="false">IF(F2414="","",G2414-B2414)</f>
        <v/>
      </c>
      <c r="K2414" s="31" t="str">
        <f aca="false">IF(F2414="","",IF(H2414&lt;&gt;"",H2414,MAX('Vade Sapması'!$D$3,G2414)))</f>
        <v/>
      </c>
      <c r="L2414" s="30" t="str">
        <f aca="false">IF(F2414="","",K2414-B2414)</f>
        <v/>
      </c>
      <c r="M2414" s="30" t="str">
        <f aca="false">IF(F2414="","",L2414-J2414)</f>
        <v/>
      </c>
      <c r="N2414" s="32" t="str">
        <f aca="false">IF(F2414="","",IF(H2414&lt;&gt;"","Kapandı",IF('Vade Sapması'!$D$3&gt;G2414,"Açık · vadesi geçti","Açık · vadesi gelmedi")))</f>
        <v/>
      </c>
      <c r="O2414" s="30" t="str">
        <f aca="false">IF(F2414="","",IF(AND(H2414="",'Vade Sapması'!$D$3&gt;G2414),'Vade Sapması'!$D$3-G2414,0))</f>
        <v/>
      </c>
      <c r="P2414" s="33" t="str">
        <f aca="false">IF(F2414="","",F2414*J2414)</f>
        <v/>
      </c>
      <c r="Q2414" s="33" t="str">
        <f aca="false">IF(F2414="","",F2414*L2414)</f>
        <v/>
      </c>
      <c r="R2414" s="33" t="str">
        <f aca="false">IF(F2414="","",IF(H2414="",F2414,0))</f>
        <v/>
      </c>
      <c r="S2414" s="32" t="str">
        <f aca="false">IF(F2414="","",IF(N(O2414)=0,"",IF(O2414&lt;=30,"1-30",IF(O2414&lt;=60,"31-60",IF(O2414&lt;=90,"61-90","90+")))))</f>
        <v/>
      </c>
      <c r="T2414" s="32" t="str">
        <f aca="false">IF(F2414="","",IF(E2414="","Diğer",E2414))</f>
        <v/>
      </c>
      <c r="U2414" s="32" t="str">
        <f aca="false">IF(OR(F2414="",C2414=""),"",IF(COUNTIF($C$2:C2414,C2414)=1,MAX($U$1:U2413)+1,""))</f>
        <v/>
      </c>
    </row>
    <row r="2415" customFormat="false" ht="15" hidden="false" customHeight="false" outlineLevel="0" collapsed="false">
      <c r="A2415" s="34"/>
      <c r="B2415" s="9"/>
      <c r="C2415" s="34"/>
      <c r="D2415" s="34"/>
      <c r="E2415" s="34"/>
      <c r="F2415" s="35"/>
      <c r="G2415" s="9"/>
      <c r="H2415" s="9"/>
      <c r="I2415" s="34"/>
      <c r="J2415" s="30" t="str">
        <f aca="false">IF(F2415="","",G2415-B2415)</f>
        <v/>
      </c>
      <c r="K2415" s="31" t="str">
        <f aca="false">IF(F2415="","",IF(H2415&lt;&gt;"",H2415,MAX('Vade Sapması'!$D$3,G2415)))</f>
        <v/>
      </c>
      <c r="L2415" s="30" t="str">
        <f aca="false">IF(F2415="","",K2415-B2415)</f>
        <v/>
      </c>
      <c r="M2415" s="30" t="str">
        <f aca="false">IF(F2415="","",L2415-J2415)</f>
        <v/>
      </c>
      <c r="N2415" s="32" t="str">
        <f aca="false">IF(F2415="","",IF(H2415&lt;&gt;"","Kapandı",IF('Vade Sapması'!$D$3&gt;G2415,"Açık · vadesi geçti","Açık · vadesi gelmedi")))</f>
        <v/>
      </c>
      <c r="O2415" s="30" t="str">
        <f aca="false">IF(F2415="","",IF(AND(H2415="",'Vade Sapması'!$D$3&gt;G2415),'Vade Sapması'!$D$3-G2415,0))</f>
        <v/>
      </c>
      <c r="P2415" s="33" t="str">
        <f aca="false">IF(F2415="","",F2415*J2415)</f>
        <v/>
      </c>
      <c r="Q2415" s="33" t="str">
        <f aca="false">IF(F2415="","",F2415*L2415)</f>
        <v/>
      </c>
      <c r="R2415" s="33" t="str">
        <f aca="false">IF(F2415="","",IF(H2415="",F2415,0))</f>
        <v/>
      </c>
      <c r="S2415" s="32" t="str">
        <f aca="false">IF(F2415="","",IF(N(O2415)=0,"",IF(O2415&lt;=30,"1-30",IF(O2415&lt;=60,"31-60",IF(O2415&lt;=90,"61-90","90+")))))</f>
        <v/>
      </c>
      <c r="T2415" s="32" t="str">
        <f aca="false">IF(F2415="","",IF(E2415="","Diğer",E2415))</f>
        <v/>
      </c>
      <c r="U2415" s="32" t="str">
        <f aca="false">IF(OR(F2415="",C2415=""),"",IF(COUNTIF($C$2:C2415,C2415)=1,MAX($U$1:U2414)+1,""))</f>
        <v/>
      </c>
    </row>
    <row r="2416" customFormat="false" ht="15" hidden="false" customHeight="false" outlineLevel="0" collapsed="false">
      <c r="A2416" s="34"/>
      <c r="B2416" s="9"/>
      <c r="C2416" s="34"/>
      <c r="D2416" s="34"/>
      <c r="E2416" s="34"/>
      <c r="F2416" s="35"/>
      <c r="G2416" s="9"/>
      <c r="H2416" s="9"/>
      <c r="I2416" s="34"/>
      <c r="J2416" s="30" t="str">
        <f aca="false">IF(F2416="","",G2416-B2416)</f>
        <v/>
      </c>
      <c r="K2416" s="31" t="str">
        <f aca="false">IF(F2416="","",IF(H2416&lt;&gt;"",H2416,MAX('Vade Sapması'!$D$3,G2416)))</f>
        <v/>
      </c>
      <c r="L2416" s="30" t="str">
        <f aca="false">IF(F2416="","",K2416-B2416)</f>
        <v/>
      </c>
      <c r="M2416" s="30" t="str">
        <f aca="false">IF(F2416="","",L2416-J2416)</f>
        <v/>
      </c>
      <c r="N2416" s="32" t="str">
        <f aca="false">IF(F2416="","",IF(H2416&lt;&gt;"","Kapandı",IF('Vade Sapması'!$D$3&gt;G2416,"Açık · vadesi geçti","Açık · vadesi gelmedi")))</f>
        <v/>
      </c>
      <c r="O2416" s="30" t="str">
        <f aca="false">IF(F2416="","",IF(AND(H2416="",'Vade Sapması'!$D$3&gt;G2416),'Vade Sapması'!$D$3-G2416,0))</f>
        <v/>
      </c>
      <c r="P2416" s="33" t="str">
        <f aca="false">IF(F2416="","",F2416*J2416)</f>
        <v/>
      </c>
      <c r="Q2416" s="33" t="str">
        <f aca="false">IF(F2416="","",F2416*L2416)</f>
        <v/>
      </c>
      <c r="R2416" s="33" t="str">
        <f aca="false">IF(F2416="","",IF(H2416="",F2416,0))</f>
        <v/>
      </c>
      <c r="S2416" s="32" t="str">
        <f aca="false">IF(F2416="","",IF(N(O2416)=0,"",IF(O2416&lt;=30,"1-30",IF(O2416&lt;=60,"31-60",IF(O2416&lt;=90,"61-90","90+")))))</f>
        <v/>
      </c>
      <c r="T2416" s="32" t="str">
        <f aca="false">IF(F2416="","",IF(E2416="","Diğer",E2416))</f>
        <v/>
      </c>
      <c r="U2416" s="32" t="str">
        <f aca="false">IF(OR(F2416="",C2416=""),"",IF(COUNTIF($C$2:C2416,C2416)=1,MAX($U$1:U2415)+1,""))</f>
        <v/>
      </c>
    </row>
    <row r="2417" customFormat="false" ht="15" hidden="false" customHeight="false" outlineLevel="0" collapsed="false">
      <c r="A2417" s="34"/>
      <c r="B2417" s="9"/>
      <c r="C2417" s="34"/>
      <c r="D2417" s="34"/>
      <c r="E2417" s="34"/>
      <c r="F2417" s="35"/>
      <c r="G2417" s="9"/>
      <c r="H2417" s="9"/>
      <c r="I2417" s="34"/>
      <c r="J2417" s="30" t="str">
        <f aca="false">IF(F2417="","",G2417-B2417)</f>
        <v/>
      </c>
      <c r="K2417" s="31" t="str">
        <f aca="false">IF(F2417="","",IF(H2417&lt;&gt;"",H2417,MAX('Vade Sapması'!$D$3,G2417)))</f>
        <v/>
      </c>
      <c r="L2417" s="30" t="str">
        <f aca="false">IF(F2417="","",K2417-B2417)</f>
        <v/>
      </c>
      <c r="M2417" s="30" t="str">
        <f aca="false">IF(F2417="","",L2417-J2417)</f>
        <v/>
      </c>
      <c r="N2417" s="32" t="str">
        <f aca="false">IF(F2417="","",IF(H2417&lt;&gt;"","Kapandı",IF('Vade Sapması'!$D$3&gt;G2417,"Açık · vadesi geçti","Açık · vadesi gelmedi")))</f>
        <v/>
      </c>
      <c r="O2417" s="30" t="str">
        <f aca="false">IF(F2417="","",IF(AND(H2417="",'Vade Sapması'!$D$3&gt;G2417),'Vade Sapması'!$D$3-G2417,0))</f>
        <v/>
      </c>
      <c r="P2417" s="33" t="str">
        <f aca="false">IF(F2417="","",F2417*J2417)</f>
        <v/>
      </c>
      <c r="Q2417" s="33" t="str">
        <f aca="false">IF(F2417="","",F2417*L2417)</f>
        <v/>
      </c>
      <c r="R2417" s="33" t="str">
        <f aca="false">IF(F2417="","",IF(H2417="",F2417,0))</f>
        <v/>
      </c>
      <c r="S2417" s="32" t="str">
        <f aca="false">IF(F2417="","",IF(N(O2417)=0,"",IF(O2417&lt;=30,"1-30",IF(O2417&lt;=60,"31-60",IF(O2417&lt;=90,"61-90","90+")))))</f>
        <v/>
      </c>
      <c r="T2417" s="32" t="str">
        <f aca="false">IF(F2417="","",IF(E2417="","Diğer",E2417))</f>
        <v/>
      </c>
      <c r="U2417" s="32" t="str">
        <f aca="false">IF(OR(F2417="",C2417=""),"",IF(COUNTIF($C$2:C2417,C2417)=1,MAX($U$1:U2416)+1,""))</f>
        <v/>
      </c>
    </row>
    <row r="2418" customFormat="false" ht="15" hidden="false" customHeight="false" outlineLevel="0" collapsed="false">
      <c r="A2418" s="34"/>
      <c r="B2418" s="9"/>
      <c r="C2418" s="34"/>
      <c r="D2418" s="34"/>
      <c r="E2418" s="34"/>
      <c r="F2418" s="35"/>
      <c r="G2418" s="9"/>
      <c r="H2418" s="9"/>
      <c r="I2418" s="34"/>
      <c r="J2418" s="30" t="str">
        <f aca="false">IF(F2418="","",G2418-B2418)</f>
        <v/>
      </c>
      <c r="K2418" s="31" t="str">
        <f aca="false">IF(F2418="","",IF(H2418&lt;&gt;"",H2418,MAX('Vade Sapması'!$D$3,G2418)))</f>
        <v/>
      </c>
      <c r="L2418" s="30" t="str">
        <f aca="false">IF(F2418="","",K2418-B2418)</f>
        <v/>
      </c>
      <c r="M2418" s="30" t="str">
        <f aca="false">IF(F2418="","",L2418-J2418)</f>
        <v/>
      </c>
      <c r="N2418" s="32" t="str">
        <f aca="false">IF(F2418="","",IF(H2418&lt;&gt;"","Kapandı",IF('Vade Sapması'!$D$3&gt;G2418,"Açık · vadesi geçti","Açık · vadesi gelmedi")))</f>
        <v/>
      </c>
      <c r="O2418" s="30" t="str">
        <f aca="false">IF(F2418="","",IF(AND(H2418="",'Vade Sapması'!$D$3&gt;G2418),'Vade Sapması'!$D$3-G2418,0))</f>
        <v/>
      </c>
      <c r="P2418" s="33" t="str">
        <f aca="false">IF(F2418="","",F2418*J2418)</f>
        <v/>
      </c>
      <c r="Q2418" s="33" t="str">
        <f aca="false">IF(F2418="","",F2418*L2418)</f>
        <v/>
      </c>
      <c r="R2418" s="33" t="str">
        <f aca="false">IF(F2418="","",IF(H2418="",F2418,0))</f>
        <v/>
      </c>
      <c r="S2418" s="32" t="str">
        <f aca="false">IF(F2418="","",IF(N(O2418)=0,"",IF(O2418&lt;=30,"1-30",IF(O2418&lt;=60,"31-60",IF(O2418&lt;=90,"61-90","90+")))))</f>
        <v/>
      </c>
      <c r="T2418" s="32" t="str">
        <f aca="false">IF(F2418="","",IF(E2418="","Diğer",E2418))</f>
        <v/>
      </c>
      <c r="U2418" s="32" t="str">
        <f aca="false">IF(OR(F2418="",C2418=""),"",IF(COUNTIF($C$2:C2418,C2418)=1,MAX($U$1:U2417)+1,""))</f>
        <v/>
      </c>
    </row>
    <row r="2419" customFormat="false" ht="15" hidden="false" customHeight="false" outlineLevel="0" collapsed="false">
      <c r="A2419" s="34"/>
      <c r="B2419" s="9"/>
      <c r="C2419" s="34"/>
      <c r="D2419" s="34"/>
      <c r="E2419" s="34"/>
      <c r="F2419" s="35"/>
      <c r="G2419" s="9"/>
      <c r="H2419" s="9"/>
      <c r="I2419" s="34"/>
      <c r="J2419" s="30" t="str">
        <f aca="false">IF(F2419="","",G2419-B2419)</f>
        <v/>
      </c>
      <c r="K2419" s="31" t="str">
        <f aca="false">IF(F2419="","",IF(H2419&lt;&gt;"",H2419,MAX('Vade Sapması'!$D$3,G2419)))</f>
        <v/>
      </c>
      <c r="L2419" s="30" t="str">
        <f aca="false">IF(F2419="","",K2419-B2419)</f>
        <v/>
      </c>
      <c r="M2419" s="30" t="str">
        <f aca="false">IF(F2419="","",L2419-J2419)</f>
        <v/>
      </c>
      <c r="N2419" s="32" t="str">
        <f aca="false">IF(F2419="","",IF(H2419&lt;&gt;"","Kapandı",IF('Vade Sapması'!$D$3&gt;G2419,"Açık · vadesi geçti","Açık · vadesi gelmedi")))</f>
        <v/>
      </c>
      <c r="O2419" s="30" t="str">
        <f aca="false">IF(F2419="","",IF(AND(H2419="",'Vade Sapması'!$D$3&gt;G2419),'Vade Sapması'!$D$3-G2419,0))</f>
        <v/>
      </c>
      <c r="P2419" s="33" t="str">
        <f aca="false">IF(F2419="","",F2419*J2419)</f>
        <v/>
      </c>
      <c r="Q2419" s="33" t="str">
        <f aca="false">IF(F2419="","",F2419*L2419)</f>
        <v/>
      </c>
      <c r="R2419" s="33" t="str">
        <f aca="false">IF(F2419="","",IF(H2419="",F2419,0))</f>
        <v/>
      </c>
      <c r="S2419" s="32" t="str">
        <f aca="false">IF(F2419="","",IF(N(O2419)=0,"",IF(O2419&lt;=30,"1-30",IF(O2419&lt;=60,"31-60",IF(O2419&lt;=90,"61-90","90+")))))</f>
        <v/>
      </c>
      <c r="T2419" s="32" t="str">
        <f aca="false">IF(F2419="","",IF(E2419="","Diğer",E2419))</f>
        <v/>
      </c>
      <c r="U2419" s="32" t="str">
        <f aca="false">IF(OR(F2419="",C2419=""),"",IF(COUNTIF($C$2:C2419,C2419)=1,MAX($U$1:U2418)+1,""))</f>
        <v/>
      </c>
    </row>
    <row r="2420" customFormat="false" ht="15" hidden="false" customHeight="false" outlineLevel="0" collapsed="false">
      <c r="A2420" s="34"/>
      <c r="B2420" s="9"/>
      <c r="C2420" s="34"/>
      <c r="D2420" s="34"/>
      <c r="E2420" s="34"/>
      <c r="F2420" s="35"/>
      <c r="G2420" s="9"/>
      <c r="H2420" s="9"/>
      <c r="I2420" s="34"/>
      <c r="J2420" s="30" t="str">
        <f aca="false">IF(F2420="","",G2420-B2420)</f>
        <v/>
      </c>
      <c r="K2420" s="31" t="str">
        <f aca="false">IF(F2420="","",IF(H2420&lt;&gt;"",H2420,MAX('Vade Sapması'!$D$3,G2420)))</f>
        <v/>
      </c>
      <c r="L2420" s="30" t="str">
        <f aca="false">IF(F2420="","",K2420-B2420)</f>
        <v/>
      </c>
      <c r="M2420" s="30" t="str">
        <f aca="false">IF(F2420="","",L2420-J2420)</f>
        <v/>
      </c>
      <c r="N2420" s="32" t="str">
        <f aca="false">IF(F2420="","",IF(H2420&lt;&gt;"","Kapandı",IF('Vade Sapması'!$D$3&gt;G2420,"Açık · vadesi geçti","Açık · vadesi gelmedi")))</f>
        <v/>
      </c>
      <c r="O2420" s="30" t="str">
        <f aca="false">IF(F2420="","",IF(AND(H2420="",'Vade Sapması'!$D$3&gt;G2420),'Vade Sapması'!$D$3-G2420,0))</f>
        <v/>
      </c>
      <c r="P2420" s="33" t="str">
        <f aca="false">IF(F2420="","",F2420*J2420)</f>
        <v/>
      </c>
      <c r="Q2420" s="33" t="str">
        <f aca="false">IF(F2420="","",F2420*L2420)</f>
        <v/>
      </c>
      <c r="R2420" s="33" t="str">
        <f aca="false">IF(F2420="","",IF(H2420="",F2420,0))</f>
        <v/>
      </c>
      <c r="S2420" s="32" t="str">
        <f aca="false">IF(F2420="","",IF(N(O2420)=0,"",IF(O2420&lt;=30,"1-30",IF(O2420&lt;=60,"31-60",IF(O2420&lt;=90,"61-90","90+")))))</f>
        <v/>
      </c>
      <c r="T2420" s="32" t="str">
        <f aca="false">IF(F2420="","",IF(E2420="","Diğer",E2420))</f>
        <v/>
      </c>
      <c r="U2420" s="32" t="str">
        <f aca="false">IF(OR(F2420="",C2420=""),"",IF(COUNTIF($C$2:C2420,C2420)=1,MAX($U$1:U2419)+1,""))</f>
        <v/>
      </c>
    </row>
    <row r="2421" customFormat="false" ht="15" hidden="false" customHeight="false" outlineLevel="0" collapsed="false">
      <c r="A2421" s="34"/>
      <c r="B2421" s="9"/>
      <c r="C2421" s="34"/>
      <c r="D2421" s="34"/>
      <c r="E2421" s="34"/>
      <c r="F2421" s="35"/>
      <c r="G2421" s="9"/>
      <c r="H2421" s="9"/>
      <c r="I2421" s="34"/>
      <c r="J2421" s="30" t="str">
        <f aca="false">IF(F2421="","",G2421-B2421)</f>
        <v/>
      </c>
      <c r="K2421" s="31" t="str">
        <f aca="false">IF(F2421="","",IF(H2421&lt;&gt;"",H2421,MAX('Vade Sapması'!$D$3,G2421)))</f>
        <v/>
      </c>
      <c r="L2421" s="30" t="str">
        <f aca="false">IF(F2421="","",K2421-B2421)</f>
        <v/>
      </c>
      <c r="M2421" s="30" t="str">
        <f aca="false">IF(F2421="","",L2421-J2421)</f>
        <v/>
      </c>
      <c r="N2421" s="32" t="str">
        <f aca="false">IF(F2421="","",IF(H2421&lt;&gt;"","Kapandı",IF('Vade Sapması'!$D$3&gt;G2421,"Açık · vadesi geçti","Açık · vadesi gelmedi")))</f>
        <v/>
      </c>
      <c r="O2421" s="30" t="str">
        <f aca="false">IF(F2421="","",IF(AND(H2421="",'Vade Sapması'!$D$3&gt;G2421),'Vade Sapması'!$D$3-G2421,0))</f>
        <v/>
      </c>
      <c r="P2421" s="33" t="str">
        <f aca="false">IF(F2421="","",F2421*J2421)</f>
        <v/>
      </c>
      <c r="Q2421" s="33" t="str">
        <f aca="false">IF(F2421="","",F2421*L2421)</f>
        <v/>
      </c>
      <c r="R2421" s="33" t="str">
        <f aca="false">IF(F2421="","",IF(H2421="",F2421,0))</f>
        <v/>
      </c>
      <c r="S2421" s="32" t="str">
        <f aca="false">IF(F2421="","",IF(N(O2421)=0,"",IF(O2421&lt;=30,"1-30",IF(O2421&lt;=60,"31-60",IF(O2421&lt;=90,"61-90","90+")))))</f>
        <v/>
      </c>
      <c r="T2421" s="32" t="str">
        <f aca="false">IF(F2421="","",IF(E2421="","Diğer",E2421))</f>
        <v/>
      </c>
      <c r="U2421" s="32" t="str">
        <f aca="false">IF(OR(F2421="",C2421=""),"",IF(COUNTIF($C$2:C2421,C2421)=1,MAX($U$1:U2420)+1,""))</f>
        <v/>
      </c>
    </row>
    <row r="2422" customFormat="false" ht="15" hidden="false" customHeight="false" outlineLevel="0" collapsed="false">
      <c r="A2422" s="34"/>
      <c r="B2422" s="9"/>
      <c r="C2422" s="34"/>
      <c r="D2422" s="34"/>
      <c r="E2422" s="34"/>
      <c r="F2422" s="35"/>
      <c r="G2422" s="9"/>
      <c r="H2422" s="9"/>
      <c r="I2422" s="34"/>
      <c r="J2422" s="30" t="str">
        <f aca="false">IF(F2422="","",G2422-B2422)</f>
        <v/>
      </c>
      <c r="K2422" s="31" t="str">
        <f aca="false">IF(F2422="","",IF(H2422&lt;&gt;"",H2422,MAX('Vade Sapması'!$D$3,G2422)))</f>
        <v/>
      </c>
      <c r="L2422" s="30" t="str">
        <f aca="false">IF(F2422="","",K2422-B2422)</f>
        <v/>
      </c>
      <c r="M2422" s="30" t="str">
        <f aca="false">IF(F2422="","",L2422-J2422)</f>
        <v/>
      </c>
      <c r="N2422" s="32" t="str">
        <f aca="false">IF(F2422="","",IF(H2422&lt;&gt;"","Kapandı",IF('Vade Sapması'!$D$3&gt;G2422,"Açık · vadesi geçti","Açık · vadesi gelmedi")))</f>
        <v/>
      </c>
      <c r="O2422" s="30" t="str">
        <f aca="false">IF(F2422="","",IF(AND(H2422="",'Vade Sapması'!$D$3&gt;G2422),'Vade Sapması'!$D$3-G2422,0))</f>
        <v/>
      </c>
      <c r="P2422" s="33" t="str">
        <f aca="false">IF(F2422="","",F2422*J2422)</f>
        <v/>
      </c>
      <c r="Q2422" s="33" t="str">
        <f aca="false">IF(F2422="","",F2422*L2422)</f>
        <v/>
      </c>
      <c r="R2422" s="33" t="str">
        <f aca="false">IF(F2422="","",IF(H2422="",F2422,0))</f>
        <v/>
      </c>
      <c r="S2422" s="32" t="str">
        <f aca="false">IF(F2422="","",IF(N(O2422)=0,"",IF(O2422&lt;=30,"1-30",IF(O2422&lt;=60,"31-60",IF(O2422&lt;=90,"61-90","90+")))))</f>
        <v/>
      </c>
      <c r="T2422" s="32" t="str">
        <f aca="false">IF(F2422="","",IF(E2422="","Diğer",E2422))</f>
        <v/>
      </c>
      <c r="U2422" s="32" t="str">
        <f aca="false">IF(OR(F2422="",C2422=""),"",IF(COUNTIF($C$2:C2422,C2422)=1,MAX($U$1:U2421)+1,""))</f>
        <v/>
      </c>
    </row>
    <row r="2423" customFormat="false" ht="15" hidden="false" customHeight="false" outlineLevel="0" collapsed="false">
      <c r="A2423" s="34"/>
      <c r="B2423" s="9"/>
      <c r="C2423" s="34"/>
      <c r="D2423" s="34"/>
      <c r="E2423" s="34"/>
      <c r="F2423" s="35"/>
      <c r="G2423" s="9"/>
      <c r="H2423" s="9"/>
      <c r="I2423" s="34"/>
      <c r="J2423" s="30" t="str">
        <f aca="false">IF(F2423="","",G2423-B2423)</f>
        <v/>
      </c>
      <c r="K2423" s="31" t="str">
        <f aca="false">IF(F2423="","",IF(H2423&lt;&gt;"",H2423,MAX('Vade Sapması'!$D$3,G2423)))</f>
        <v/>
      </c>
      <c r="L2423" s="30" t="str">
        <f aca="false">IF(F2423="","",K2423-B2423)</f>
        <v/>
      </c>
      <c r="M2423" s="30" t="str">
        <f aca="false">IF(F2423="","",L2423-J2423)</f>
        <v/>
      </c>
      <c r="N2423" s="32" t="str">
        <f aca="false">IF(F2423="","",IF(H2423&lt;&gt;"","Kapandı",IF('Vade Sapması'!$D$3&gt;G2423,"Açık · vadesi geçti","Açık · vadesi gelmedi")))</f>
        <v/>
      </c>
      <c r="O2423" s="30" t="str">
        <f aca="false">IF(F2423="","",IF(AND(H2423="",'Vade Sapması'!$D$3&gt;G2423),'Vade Sapması'!$D$3-G2423,0))</f>
        <v/>
      </c>
      <c r="P2423" s="33" t="str">
        <f aca="false">IF(F2423="","",F2423*J2423)</f>
        <v/>
      </c>
      <c r="Q2423" s="33" t="str">
        <f aca="false">IF(F2423="","",F2423*L2423)</f>
        <v/>
      </c>
      <c r="R2423" s="33" t="str">
        <f aca="false">IF(F2423="","",IF(H2423="",F2423,0))</f>
        <v/>
      </c>
      <c r="S2423" s="32" t="str">
        <f aca="false">IF(F2423="","",IF(N(O2423)=0,"",IF(O2423&lt;=30,"1-30",IF(O2423&lt;=60,"31-60",IF(O2423&lt;=90,"61-90","90+")))))</f>
        <v/>
      </c>
      <c r="T2423" s="32" t="str">
        <f aca="false">IF(F2423="","",IF(E2423="","Diğer",E2423))</f>
        <v/>
      </c>
      <c r="U2423" s="32" t="str">
        <f aca="false">IF(OR(F2423="",C2423=""),"",IF(COUNTIF($C$2:C2423,C2423)=1,MAX($U$1:U2422)+1,""))</f>
        <v/>
      </c>
    </row>
    <row r="2424" customFormat="false" ht="15" hidden="false" customHeight="false" outlineLevel="0" collapsed="false">
      <c r="A2424" s="34"/>
      <c r="B2424" s="9"/>
      <c r="C2424" s="34"/>
      <c r="D2424" s="34"/>
      <c r="E2424" s="34"/>
      <c r="F2424" s="35"/>
      <c r="G2424" s="9"/>
      <c r="H2424" s="9"/>
      <c r="I2424" s="34"/>
      <c r="J2424" s="30" t="str">
        <f aca="false">IF(F2424="","",G2424-B2424)</f>
        <v/>
      </c>
      <c r="K2424" s="31" t="str">
        <f aca="false">IF(F2424="","",IF(H2424&lt;&gt;"",H2424,MAX('Vade Sapması'!$D$3,G2424)))</f>
        <v/>
      </c>
      <c r="L2424" s="30" t="str">
        <f aca="false">IF(F2424="","",K2424-B2424)</f>
        <v/>
      </c>
      <c r="M2424" s="30" t="str">
        <f aca="false">IF(F2424="","",L2424-J2424)</f>
        <v/>
      </c>
      <c r="N2424" s="32" t="str">
        <f aca="false">IF(F2424="","",IF(H2424&lt;&gt;"","Kapandı",IF('Vade Sapması'!$D$3&gt;G2424,"Açık · vadesi geçti","Açık · vadesi gelmedi")))</f>
        <v/>
      </c>
      <c r="O2424" s="30" t="str">
        <f aca="false">IF(F2424="","",IF(AND(H2424="",'Vade Sapması'!$D$3&gt;G2424),'Vade Sapması'!$D$3-G2424,0))</f>
        <v/>
      </c>
      <c r="P2424" s="33" t="str">
        <f aca="false">IF(F2424="","",F2424*J2424)</f>
        <v/>
      </c>
      <c r="Q2424" s="33" t="str">
        <f aca="false">IF(F2424="","",F2424*L2424)</f>
        <v/>
      </c>
      <c r="R2424" s="33" t="str">
        <f aca="false">IF(F2424="","",IF(H2424="",F2424,0))</f>
        <v/>
      </c>
      <c r="S2424" s="32" t="str">
        <f aca="false">IF(F2424="","",IF(N(O2424)=0,"",IF(O2424&lt;=30,"1-30",IF(O2424&lt;=60,"31-60",IF(O2424&lt;=90,"61-90","90+")))))</f>
        <v/>
      </c>
      <c r="T2424" s="32" t="str">
        <f aca="false">IF(F2424="","",IF(E2424="","Diğer",E2424))</f>
        <v/>
      </c>
      <c r="U2424" s="32" t="str">
        <f aca="false">IF(OR(F2424="",C2424=""),"",IF(COUNTIF($C$2:C2424,C2424)=1,MAX($U$1:U2423)+1,""))</f>
        <v/>
      </c>
    </row>
    <row r="2425" customFormat="false" ht="15" hidden="false" customHeight="false" outlineLevel="0" collapsed="false">
      <c r="A2425" s="34"/>
      <c r="B2425" s="9"/>
      <c r="C2425" s="34"/>
      <c r="D2425" s="34"/>
      <c r="E2425" s="34"/>
      <c r="F2425" s="35"/>
      <c r="G2425" s="9"/>
      <c r="H2425" s="9"/>
      <c r="I2425" s="34"/>
      <c r="J2425" s="30" t="str">
        <f aca="false">IF(F2425="","",G2425-B2425)</f>
        <v/>
      </c>
      <c r="K2425" s="31" t="str">
        <f aca="false">IF(F2425="","",IF(H2425&lt;&gt;"",H2425,MAX('Vade Sapması'!$D$3,G2425)))</f>
        <v/>
      </c>
      <c r="L2425" s="30" t="str">
        <f aca="false">IF(F2425="","",K2425-B2425)</f>
        <v/>
      </c>
      <c r="M2425" s="30" t="str">
        <f aca="false">IF(F2425="","",L2425-J2425)</f>
        <v/>
      </c>
      <c r="N2425" s="32" t="str">
        <f aca="false">IF(F2425="","",IF(H2425&lt;&gt;"","Kapandı",IF('Vade Sapması'!$D$3&gt;G2425,"Açık · vadesi geçti","Açık · vadesi gelmedi")))</f>
        <v/>
      </c>
      <c r="O2425" s="30" t="str">
        <f aca="false">IF(F2425="","",IF(AND(H2425="",'Vade Sapması'!$D$3&gt;G2425),'Vade Sapması'!$D$3-G2425,0))</f>
        <v/>
      </c>
      <c r="P2425" s="33" t="str">
        <f aca="false">IF(F2425="","",F2425*J2425)</f>
        <v/>
      </c>
      <c r="Q2425" s="33" t="str">
        <f aca="false">IF(F2425="","",F2425*L2425)</f>
        <v/>
      </c>
      <c r="R2425" s="33" t="str">
        <f aca="false">IF(F2425="","",IF(H2425="",F2425,0))</f>
        <v/>
      </c>
      <c r="S2425" s="32" t="str">
        <f aca="false">IF(F2425="","",IF(N(O2425)=0,"",IF(O2425&lt;=30,"1-30",IF(O2425&lt;=60,"31-60",IF(O2425&lt;=90,"61-90","90+")))))</f>
        <v/>
      </c>
      <c r="T2425" s="32" t="str">
        <f aca="false">IF(F2425="","",IF(E2425="","Diğer",E2425))</f>
        <v/>
      </c>
      <c r="U2425" s="32" t="str">
        <f aca="false">IF(OR(F2425="",C2425=""),"",IF(COUNTIF($C$2:C2425,C2425)=1,MAX($U$1:U2424)+1,""))</f>
        <v/>
      </c>
    </row>
    <row r="2426" customFormat="false" ht="15" hidden="false" customHeight="false" outlineLevel="0" collapsed="false">
      <c r="A2426" s="34"/>
      <c r="B2426" s="9"/>
      <c r="C2426" s="34"/>
      <c r="D2426" s="34"/>
      <c r="E2426" s="34"/>
      <c r="F2426" s="35"/>
      <c r="G2426" s="9"/>
      <c r="H2426" s="9"/>
      <c r="I2426" s="34"/>
      <c r="J2426" s="30" t="str">
        <f aca="false">IF(F2426="","",G2426-B2426)</f>
        <v/>
      </c>
      <c r="K2426" s="31" t="str">
        <f aca="false">IF(F2426="","",IF(H2426&lt;&gt;"",H2426,MAX('Vade Sapması'!$D$3,G2426)))</f>
        <v/>
      </c>
      <c r="L2426" s="30" t="str">
        <f aca="false">IF(F2426="","",K2426-B2426)</f>
        <v/>
      </c>
      <c r="M2426" s="30" t="str">
        <f aca="false">IF(F2426="","",L2426-J2426)</f>
        <v/>
      </c>
      <c r="N2426" s="32" t="str">
        <f aca="false">IF(F2426="","",IF(H2426&lt;&gt;"","Kapandı",IF('Vade Sapması'!$D$3&gt;G2426,"Açık · vadesi geçti","Açık · vadesi gelmedi")))</f>
        <v/>
      </c>
      <c r="O2426" s="30" t="str">
        <f aca="false">IF(F2426="","",IF(AND(H2426="",'Vade Sapması'!$D$3&gt;G2426),'Vade Sapması'!$D$3-G2426,0))</f>
        <v/>
      </c>
      <c r="P2426" s="33" t="str">
        <f aca="false">IF(F2426="","",F2426*J2426)</f>
        <v/>
      </c>
      <c r="Q2426" s="33" t="str">
        <f aca="false">IF(F2426="","",F2426*L2426)</f>
        <v/>
      </c>
      <c r="R2426" s="33" t="str">
        <f aca="false">IF(F2426="","",IF(H2426="",F2426,0))</f>
        <v/>
      </c>
      <c r="S2426" s="32" t="str">
        <f aca="false">IF(F2426="","",IF(N(O2426)=0,"",IF(O2426&lt;=30,"1-30",IF(O2426&lt;=60,"31-60",IF(O2426&lt;=90,"61-90","90+")))))</f>
        <v/>
      </c>
      <c r="T2426" s="32" t="str">
        <f aca="false">IF(F2426="","",IF(E2426="","Diğer",E2426))</f>
        <v/>
      </c>
      <c r="U2426" s="32" t="str">
        <f aca="false">IF(OR(F2426="",C2426=""),"",IF(COUNTIF($C$2:C2426,C2426)=1,MAX($U$1:U2425)+1,""))</f>
        <v/>
      </c>
    </row>
    <row r="2427" customFormat="false" ht="15" hidden="false" customHeight="false" outlineLevel="0" collapsed="false">
      <c r="A2427" s="34"/>
      <c r="B2427" s="9"/>
      <c r="C2427" s="34"/>
      <c r="D2427" s="34"/>
      <c r="E2427" s="34"/>
      <c r="F2427" s="35"/>
      <c r="G2427" s="9"/>
      <c r="H2427" s="9"/>
      <c r="I2427" s="34"/>
      <c r="J2427" s="30" t="str">
        <f aca="false">IF(F2427="","",G2427-B2427)</f>
        <v/>
      </c>
      <c r="K2427" s="31" t="str">
        <f aca="false">IF(F2427="","",IF(H2427&lt;&gt;"",H2427,MAX('Vade Sapması'!$D$3,G2427)))</f>
        <v/>
      </c>
      <c r="L2427" s="30" t="str">
        <f aca="false">IF(F2427="","",K2427-B2427)</f>
        <v/>
      </c>
      <c r="M2427" s="30" t="str">
        <f aca="false">IF(F2427="","",L2427-J2427)</f>
        <v/>
      </c>
      <c r="N2427" s="32" t="str">
        <f aca="false">IF(F2427="","",IF(H2427&lt;&gt;"","Kapandı",IF('Vade Sapması'!$D$3&gt;G2427,"Açık · vadesi geçti","Açık · vadesi gelmedi")))</f>
        <v/>
      </c>
      <c r="O2427" s="30" t="str">
        <f aca="false">IF(F2427="","",IF(AND(H2427="",'Vade Sapması'!$D$3&gt;G2427),'Vade Sapması'!$D$3-G2427,0))</f>
        <v/>
      </c>
      <c r="P2427" s="33" t="str">
        <f aca="false">IF(F2427="","",F2427*J2427)</f>
        <v/>
      </c>
      <c r="Q2427" s="33" t="str">
        <f aca="false">IF(F2427="","",F2427*L2427)</f>
        <v/>
      </c>
      <c r="R2427" s="33" t="str">
        <f aca="false">IF(F2427="","",IF(H2427="",F2427,0))</f>
        <v/>
      </c>
      <c r="S2427" s="32" t="str">
        <f aca="false">IF(F2427="","",IF(N(O2427)=0,"",IF(O2427&lt;=30,"1-30",IF(O2427&lt;=60,"31-60",IF(O2427&lt;=90,"61-90","90+")))))</f>
        <v/>
      </c>
      <c r="T2427" s="32" t="str">
        <f aca="false">IF(F2427="","",IF(E2427="","Diğer",E2427))</f>
        <v/>
      </c>
      <c r="U2427" s="32" t="str">
        <f aca="false">IF(OR(F2427="",C2427=""),"",IF(COUNTIF($C$2:C2427,C2427)=1,MAX($U$1:U2426)+1,""))</f>
        <v/>
      </c>
    </row>
    <row r="2428" customFormat="false" ht="15" hidden="false" customHeight="false" outlineLevel="0" collapsed="false">
      <c r="A2428" s="34"/>
      <c r="B2428" s="9"/>
      <c r="C2428" s="34"/>
      <c r="D2428" s="34"/>
      <c r="E2428" s="34"/>
      <c r="F2428" s="35"/>
      <c r="G2428" s="9"/>
      <c r="H2428" s="9"/>
      <c r="I2428" s="34"/>
      <c r="J2428" s="30" t="str">
        <f aca="false">IF(F2428="","",G2428-B2428)</f>
        <v/>
      </c>
      <c r="K2428" s="31" t="str">
        <f aca="false">IF(F2428="","",IF(H2428&lt;&gt;"",H2428,MAX('Vade Sapması'!$D$3,G2428)))</f>
        <v/>
      </c>
      <c r="L2428" s="30" t="str">
        <f aca="false">IF(F2428="","",K2428-B2428)</f>
        <v/>
      </c>
      <c r="M2428" s="30" t="str">
        <f aca="false">IF(F2428="","",L2428-J2428)</f>
        <v/>
      </c>
      <c r="N2428" s="32" t="str">
        <f aca="false">IF(F2428="","",IF(H2428&lt;&gt;"","Kapandı",IF('Vade Sapması'!$D$3&gt;G2428,"Açık · vadesi geçti","Açık · vadesi gelmedi")))</f>
        <v/>
      </c>
      <c r="O2428" s="30" t="str">
        <f aca="false">IF(F2428="","",IF(AND(H2428="",'Vade Sapması'!$D$3&gt;G2428),'Vade Sapması'!$D$3-G2428,0))</f>
        <v/>
      </c>
      <c r="P2428" s="33" t="str">
        <f aca="false">IF(F2428="","",F2428*J2428)</f>
        <v/>
      </c>
      <c r="Q2428" s="33" t="str">
        <f aca="false">IF(F2428="","",F2428*L2428)</f>
        <v/>
      </c>
      <c r="R2428" s="33" t="str">
        <f aca="false">IF(F2428="","",IF(H2428="",F2428,0))</f>
        <v/>
      </c>
      <c r="S2428" s="32" t="str">
        <f aca="false">IF(F2428="","",IF(N(O2428)=0,"",IF(O2428&lt;=30,"1-30",IF(O2428&lt;=60,"31-60",IF(O2428&lt;=90,"61-90","90+")))))</f>
        <v/>
      </c>
      <c r="T2428" s="32" t="str">
        <f aca="false">IF(F2428="","",IF(E2428="","Diğer",E2428))</f>
        <v/>
      </c>
      <c r="U2428" s="32" t="str">
        <f aca="false">IF(OR(F2428="",C2428=""),"",IF(COUNTIF($C$2:C2428,C2428)=1,MAX($U$1:U2427)+1,""))</f>
        <v/>
      </c>
    </row>
    <row r="2429" customFormat="false" ht="15" hidden="false" customHeight="false" outlineLevel="0" collapsed="false">
      <c r="A2429" s="34"/>
      <c r="B2429" s="9"/>
      <c r="C2429" s="34"/>
      <c r="D2429" s="34"/>
      <c r="E2429" s="34"/>
      <c r="F2429" s="35"/>
      <c r="G2429" s="9"/>
      <c r="H2429" s="9"/>
      <c r="I2429" s="34"/>
      <c r="J2429" s="30" t="str">
        <f aca="false">IF(F2429="","",G2429-B2429)</f>
        <v/>
      </c>
      <c r="K2429" s="31" t="str">
        <f aca="false">IF(F2429="","",IF(H2429&lt;&gt;"",H2429,MAX('Vade Sapması'!$D$3,G2429)))</f>
        <v/>
      </c>
      <c r="L2429" s="30" t="str">
        <f aca="false">IF(F2429="","",K2429-B2429)</f>
        <v/>
      </c>
      <c r="M2429" s="30" t="str">
        <f aca="false">IF(F2429="","",L2429-J2429)</f>
        <v/>
      </c>
      <c r="N2429" s="32" t="str">
        <f aca="false">IF(F2429="","",IF(H2429&lt;&gt;"","Kapandı",IF('Vade Sapması'!$D$3&gt;G2429,"Açık · vadesi geçti","Açık · vadesi gelmedi")))</f>
        <v/>
      </c>
      <c r="O2429" s="30" t="str">
        <f aca="false">IF(F2429="","",IF(AND(H2429="",'Vade Sapması'!$D$3&gt;G2429),'Vade Sapması'!$D$3-G2429,0))</f>
        <v/>
      </c>
      <c r="P2429" s="33" t="str">
        <f aca="false">IF(F2429="","",F2429*J2429)</f>
        <v/>
      </c>
      <c r="Q2429" s="33" t="str">
        <f aca="false">IF(F2429="","",F2429*L2429)</f>
        <v/>
      </c>
      <c r="R2429" s="33" t="str">
        <f aca="false">IF(F2429="","",IF(H2429="",F2429,0))</f>
        <v/>
      </c>
      <c r="S2429" s="32" t="str">
        <f aca="false">IF(F2429="","",IF(N(O2429)=0,"",IF(O2429&lt;=30,"1-30",IF(O2429&lt;=60,"31-60",IF(O2429&lt;=90,"61-90","90+")))))</f>
        <v/>
      </c>
      <c r="T2429" s="32" t="str">
        <f aca="false">IF(F2429="","",IF(E2429="","Diğer",E2429))</f>
        <v/>
      </c>
      <c r="U2429" s="32" t="str">
        <f aca="false">IF(OR(F2429="",C2429=""),"",IF(COUNTIF($C$2:C2429,C2429)=1,MAX($U$1:U2428)+1,""))</f>
        <v/>
      </c>
    </row>
    <row r="2430" customFormat="false" ht="15" hidden="false" customHeight="false" outlineLevel="0" collapsed="false">
      <c r="A2430" s="34"/>
      <c r="B2430" s="9"/>
      <c r="C2430" s="34"/>
      <c r="D2430" s="34"/>
      <c r="E2430" s="34"/>
      <c r="F2430" s="35"/>
      <c r="G2430" s="9"/>
      <c r="H2430" s="9"/>
      <c r="I2430" s="34"/>
      <c r="J2430" s="30" t="str">
        <f aca="false">IF(F2430="","",G2430-B2430)</f>
        <v/>
      </c>
      <c r="K2430" s="31" t="str">
        <f aca="false">IF(F2430="","",IF(H2430&lt;&gt;"",H2430,MAX('Vade Sapması'!$D$3,G2430)))</f>
        <v/>
      </c>
      <c r="L2430" s="30" t="str">
        <f aca="false">IF(F2430="","",K2430-B2430)</f>
        <v/>
      </c>
      <c r="M2430" s="30" t="str">
        <f aca="false">IF(F2430="","",L2430-J2430)</f>
        <v/>
      </c>
      <c r="N2430" s="32" t="str">
        <f aca="false">IF(F2430="","",IF(H2430&lt;&gt;"","Kapandı",IF('Vade Sapması'!$D$3&gt;G2430,"Açık · vadesi geçti","Açık · vadesi gelmedi")))</f>
        <v/>
      </c>
      <c r="O2430" s="30" t="str">
        <f aca="false">IF(F2430="","",IF(AND(H2430="",'Vade Sapması'!$D$3&gt;G2430),'Vade Sapması'!$D$3-G2430,0))</f>
        <v/>
      </c>
      <c r="P2430" s="33" t="str">
        <f aca="false">IF(F2430="","",F2430*J2430)</f>
        <v/>
      </c>
      <c r="Q2430" s="33" t="str">
        <f aca="false">IF(F2430="","",F2430*L2430)</f>
        <v/>
      </c>
      <c r="R2430" s="33" t="str">
        <f aca="false">IF(F2430="","",IF(H2430="",F2430,0))</f>
        <v/>
      </c>
      <c r="S2430" s="32" t="str">
        <f aca="false">IF(F2430="","",IF(N(O2430)=0,"",IF(O2430&lt;=30,"1-30",IF(O2430&lt;=60,"31-60",IF(O2430&lt;=90,"61-90","90+")))))</f>
        <v/>
      </c>
      <c r="T2430" s="32" t="str">
        <f aca="false">IF(F2430="","",IF(E2430="","Diğer",E2430))</f>
        <v/>
      </c>
      <c r="U2430" s="32" t="str">
        <f aca="false">IF(OR(F2430="",C2430=""),"",IF(COUNTIF($C$2:C2430,C2430)=1,MAX($U$1:U2429)+1,""))</f>
        <v/>
      </c>
    </row>
    <row r="2431" customFormat="false" ht="15" hidden="false" customHeight="false" outlineLevel="0" collapsed="false">
      <c r="A2431" s="34"/>
      <c r="B2431" s="9"/>
      <c r="C2431" s="34"/>
      <c r="D2431" s="34"/>
      <c r="E2431" s="34"/>
      <c r="F2431" s="35"/>
      <c r="G2431" s="9"/>
      <c r="H2431" s="9"/>
      <c r="I2431" s="34"/>
      <c r="J2431" s="30" t="str">
        <f aca="false">IF(F2431="","",G2431-B2431)</f>
        <v/>
      </c>
      <c r="K2431" s="31" t="str">
        <f aca="false">IF(F2431="","",IF(H2431&lt;&gt;"",H2431,MAX('Vade Sapması'!$D$3,G2431)))</f>
        <v/>
      </c>
      <c r="L2431" s="30" t="str">
        <f aca="false">IF(F2431="","",K2431-B2431)</f>
        <v/>
      </c>
      <c r="M2431" s="30" t="str">
        <f aca="false">IF(F2431="","",L2431-J2431)</f>
        <v/>
      </c>
      <c r="N2431" s="32" t="str">
        <f aca="false">IF(F2431="","",IF(H2431&lt;&gt;"","Kapandı",IF('Vade Sapması'!$D$3&gt;G2431,"Açık · vadesi geçti","Açık · vadesi gelmedi")))</f>
        <v/>
      </c>
      <c r="O2431" s="30" t="str">
        <f aca="false">IF(F2431="","",IF(AND(H2431="",'Vade Sapması'!$D$3&gt;G2431),'Vade Sapması'!$D$3-G2431,0))</f>
        <v/>
      </c>
      <c r="P2431" s="33" t="str">
        <f aca="false">IF(F2431="","",F2431*J2431)</f>
        <v/>
      </c>
      <c r="Q2431" s="33" t="str">
        <f aca="false">IF(F2431="","",F2431*L2431)</f>
        <v/>
      </c>
      <c r="R2431" s="33" t="str">
        <f aca="false">IF(F2431="","",IF(H2431="",F2431,0))</f>
        <v/>
      </c>
      <c r="S2431" s="32" t="str">
        <f aca="false">IF(F2431="","",IF(N(O2431)=0,"",IF(O2431&lt;=30,"1-30",IF(O2431&lt;=60,"31-60",IF(O2431&lt;=90,"61-90","90+")))))</f>
        <v/>
      </c>
      <c r="T2431" s="32" t="str">
        <f aca="false">IF(F2431="","",IF(E2431="","Diğer",E2431))</f>
        <v/>
      </c>
      <c r="U2431" s="32" t="str">
        <f aca="false">IF(OR(F2431="",C2431=""),"",IF(COUNTIF($C$2:C2431,C2431)=1,MAX($U$1:U2430)+1,""))</f>
        <v/>
      </c>
    </row>
    <row r="2432" customFormat="false" ht="15" hidden="false" customHeight="false" outlineLevel="0" collapsed="false">
      <c r="A2432" s="34"/>
      <c r="B2432" s="9"/>
      <c r="C2432" s="34"/>
      <c r="D2432" s="34"/>
      <c r="E2432" s="34"/>
      <c r="F2432" s="35"/>
      <c r="G2432" s="9"/>
      <c r="H2432" s="9"/>
      <c r="I2432" s="34"/>
      <c r="J2432" s="30" t="str">
        <f aca="false">IF(F2432="","",G2432-B2432)</f>
        <v/>
      </c>
      <c r="K2432" s="31" t="str">
        <f aca="false">IF(F2432="","",IF(H2432&lt;&gt;"",H2432,MAX('Vade Sapması'!$D$3,G2432)))</f>
        <v/>
      </c>
      <c r="L2432" s="30" t="str">
        <f aca="false">IF(F2432="","",K2432-B2432)</f>
        <v/>
      </c>
      <c r="M2432" s="30" t="str">
        <f aca="false">IF(F2432="","",L2432-J2432)</f>
        <v/>
      </c>
      <c r="N2432" s="32" t="str">
        <f aca="false">IF(F2432="","",IF(H2432&lt;&gt;"","Kapandı",IF('Vade Sapması'!$D$3&gt;G2432,"Açık · vadesi geçti","Açık · vadesi gelmedi")))</f>
        <v/>
      </c>
      <c r="O2432" s="30" t="str">
        <f aca="false">IF(F2432="","",IF(AND(H2432="",'Vade Sapması'!$D$3&gt;G2432),'Vade Sapması'!$D$3-G2432,0))</f>
        <v/>
      </c>
      <c r="P2432" s="33" t="str">
        <f aca="false">IF(F2432="","",F2432*J2432)</f>
        <v/>
      </c>
      <c r="Q2432" s="33" t="str">
        <f aca="false">IF(F2432="","",F2432*L2432)</f>
        <v/>
      </c>
      <c r="R2432" s="33" t="str">
        <f aca="false">IF(F2432="","",IF(H2432="",F2432,0))</f>
        <v/>
      </c>
      <c r="S2432" s="32" t="str">
        <f aca="false">IF(F2432="","",IF(N(O2432)=0,"",IF(O2432&lt;=30,"1-30",IF(O2432&lt;=60,"31-60",IF(O2432&lt;=90,"61-90","90+")))))</f>
        <v/>
      </c>
      <c r="T2432" s="32" t="str">
        <f aca="false">IF(F2432="","",IF(E2432="","Diğer",E2432))</f>
        <v/>
      </c>
      <c r="U2432" s="32" t="str">
        <f aca="false">IF(OR(F2432="",C2432=""),"",IF(COUNTIF($C$2:C2432,C2432)=1,MAX($U$1:U2431)+1,""))</f>
        <v/>
      </c>
    </row>
    <row r="2433" customFormat="false" ht="15" hidden="false" customHeight="false" outlineLevel="0" collapsed="false">
      <c r="A2433" s="34"/>
      <c r="B2433" s="9"/>
      <c r="C2433" s="34"/>
      <c r="D2433" s="34"/>
      <c r="E2433" s="34"/>
      <c r="F2433" s="35"/>
      <c r="G2433" s="9"/>
      <c r="H2433" s="9"/>
      <c r="I2433" s="34"/>
      <c r="J2433" s="30" t="str">
        <f aca="false">IF(F2433="","",G2433-B2433)</f>
        <v/>
      </c>
      <c r="K2433" s="31" t="str">
        <f aca="false">IF(F2433="","",IF(H2433&lt;&gt;"",H2433,MAX('Vade Sapması'!$D$3,G2433)))</f>
        <v/>
      </c>
      <c r="L2433" s="30" t="str">
        <f aca="false">IF(F2433="","",K2433-B2433)</f>
        <v/>
      </c>
      <c r="M2433" s="30" t="str">
        <f aca="false">IF(F2433="","",L2433-J2433)</f>
        <v/>
      </c>
      <c r="N2433" s="32" t="str">
        <f aca="false">IF(F2433="","",IF(H2433&lt;&gt;"","Kapandı",IF('Vade Sapması'!$D$3&gt;G2433,"Açık · vadesi geçti","Açık · vadesi gelmedi")))</f>
        <v/>
      </c>
      <c r="O2433" s="30" t="str">
        <f aca="false">IF(F2433="","",IF(AND(H2433="",'Vade Sapması'!$D$3&gt;G2433),'Vade Sapması'!$D$3-G2433,0))</f>
        <v/>
      </c>
      <c r="P2433" s="33" t="str">
        <f aca="false">IF(F2433="","",F2433*J2433)</f>
        <v/>
      </c>
      <c r="Q2433" s="33" t="str">
        <f aca="false">IF(F2433="","",F2433*L2433)</f>
        <v/>
      </c>
      <c r="R2433" s="33" t="str">
        <f aca="false">IF(F2433="","",IF(H2433="",F2433,0))</f>
        <v/>
      </c>
      <c r="S2433" s="32" t="str">
        <f aca="false">IF(F2433="","",IF(N(O2433)=0,"",IF(O2433&lt;=30,"1-30",IF(O2433&lt;=60,"31-60",IF(O2433&lt;=90,"61-90","90+")))))</f>
        <v/>
      </c>
      <c r="T2433" s="32" t="str">
        <f aca="false">IF(F2433="","",IF(E2433="","Diğer",E2433))</f>
        <v/>
      </c>
      <c r="U2433" s="32" t="str">
        <f aca="false">IF(OR(F2433="",C2433=""),"",IF(COUNTIF($C$2:C2433,C2433)=1,MAX($U$1:U2432)+1,""))</f>
        <v/>
      </c>
    </row>
    <row r="2434" customFormat="false" ht="15" hidden="false" customHeight="false" outlineLevel="0" collapsed="false">
      <c r="A2434" s="34"/>
      <c r="B2434" s="9"/>
      <c r="C2434" s="34"/>
      <c r="D2434" s="34"/>
      <c r="E2434" s="34"/>
      <c r="F2434" s="35"/>
      <c r="G2434" s="9"/>
      <c r="H2434" s="9"/>
      <c r="I2434" s="34"/>
      <c r="J2434" s="30" t="str">
        <f aca="false">IF(F2434="","",G2434-B2434)</f>
        <v/>
      </c>
      <c r="K2434" s="31" t="str">
        <f aca="false">IF(F2434="","",IF(H2434&lt;&gt;"",H2434,MAX('Vade Sapması'!$D$3,G2434)))</f>
        <v/>
      </c>
      <c r="L2434" s="30" t="str">
        <f aca="false">IF(F2434="","",K2434-B2434)</f>
        <v/>
      </c>
      <c r="M2434" s="30" t="str">
        <f aca="false">IF(F2434="","",L2434-J2434)</f>
        <v/>
      </c>
      <c r="N2434" s="32" t="str">
        <f aca="false">IF(F2434="","",IF(H2434&lt;&gt;"","Kapandı",IF('Vade Sapması'!$D$3&gt;G2434,"Açık · vadesi geçti","Açık · vadesi gelmedi")))</f>
        <v/>
      </c>
      <c r="O2434" s="30" t="str">
        <f aca="false">IF(F2434="","",IF(AND(H2434="",'Vade Sapması'!$D$3&gt;G2434),'Vade Sapması'!$D$3-G2434,0))</f>
        <v/>
      </c>
      <c r="P2434" s="33" t="str">
        <f aca="false">IF(F2434="","",F2434*J2434)</f>
        <v/>
      </c>
      <c r="Q2434" s="33" t="str">
        <f aca="false">IF(F2434="","",F2434*L2434)</f>
        <v/>
      </c>
      <c r="R2434" s="33" t="str">
        <f aca="false">IF(F2434="","",IF(H2434="",F2434,0))</f>
        <v/>
      </c>
      <c r="S2434" s="32" t="str">
        <f aca="false">IF(F2434="","",IF(N(O2434)=0,"",IF(O2434&lt;=30,"1-30",IF(O2434&lt;=60,"31-60",IF(O2434&lt;=90,"61-90","90+")))))</f>
        <v/>
      </c>
      <c r="T2434" s="32" t="str">
        <f aca="false">IF(F2434="","",IF(E2434="","Diğer",E2434))</f>
        <v/>
      </c>
      <c r="U2434" s="32" t="str">
        <f aca="false">IF(OR(F2434="",C2434=""),"",IF(COUNTIF($C$2:C2434,C2434)=1,MAX($U$1:U2433)+1,""))</f>
        <v/>
      </c>
    </row>
    <row r="2435" customFormat="false" ht="15" hidden="false" customHeight="false" outlineLevel="0" collapsed="false">
      <c r="A2435" s="34"/>
      <c r="B2435" s="9"/>
      <c r="C2435" s="34"/>
      <c r="D2435" s="34"/>
      <c r="E2435" s="34"/>
      <c r="F2435" s="35"/>
      <c r="G2435" s="9"/>
      <c r="H2435" s="9"/>
      <c r="I2435" s="34"/>
      <c r="J2435" s="30" t="str">
        <f aca="false">IF(F2435="","",G2435-B2435)</f>
        <v/>
      </c>
      <c r="K2435" s="31" t="str">
        <f aca="false">IF(F2435="","",IF(H2435&lt;&gt;"",H2435,MAX('Vade Sapması'!$D$3,G2435)))</f>
        <v/>
      </c>
      <c r="L2435" s="30" t="str">
        <f aca="false">IF(F2435="","",K2435-B2435)</f>
        <v/>
      </c>
      <c r="M2435" s="30" t="str">
        <f aca="false">IF(F2435="","",L2435-J2435)</f>
        <v/>
      </c>
      <c r="N2435" s="32" t="str">
        <f aca="false">IF(F2435="","",IF(H2435&lt;&gt;"","Kapandı",IF('Vade Sapması'!$D$3&gt;G2435,"Açık · vadesi geçti","Açık · vadesi gelmedi")))</f>
        <v/>
      </c>
      <c r="O2435" s="30" t="str">
        <f aca="false">IF(F2435="","",IF(AND(H2435="",'Vade Sapması'!$D$3&gt;G2435),'Vade Sapması'!$D$3-G2435,0))</f>
        <v/>
      </c>
      <c r="P2435" s="33" t="str">
        <f aca="false">IF(F2435="","",F2435*J2435)</f>
        <v/>
      </c>
      <c r="Q2435" s="33" t="str">
        <f aca="false">IF(F2435="","",F2435*L2435)</f>
        <v/>
      </c>
      <c r="R2435" s="33" t="str">
        <f aca="false">IF(F2435="","",IF(H2435="",F2435,0))</f>
        <v/>
      </c>
      <c r="S2435" s="32" t="str">
        <f aca="false">IF(F2435="","",IF(N(O2435)=0,"",IF(O2435&lt;=30,"1-30",IF(O2435&lt;=60,"31-60",IF(O2435&lt;=90,"61-90","90+")))))</f>
        <v/>
      </c>
      <c r="T2435" s="32" t="str">
        <f aca="false">IF(F2435="","",IF(E2435="","Diğer",E2435))</f>
        <v/>
      </c>
      <c r="U2435" s="32" t="str">
        <f aca="false">IF(OR(F2435="",C2435=""),"",IF(COUNTIF($C$2:C2435,C2435)=1,MAX($U$1:U2434)+1,""))</f>
        <v/>
      </c>
    </row>
    <row r="2436" customFormat="false" ht="15" hidden="false" customHeight="false" outlineLevel="0" collapsed="false">
      <c r="A2436" s="34"/>
      <c r="B2436" s="9"/>
      <c r="C2436" s="34"/>
      <c r="D2436" s="34"/>
      <c r="E2436" s="34"/>
      <c r="F2436" s="35"/>
      <c r="G2436" s="9"/>
      <c r="H2436" s="9"/>
      <c r="I2436" s="34"/>
      <c r="J2436" s="30" t="str">
        <f aca="false">IF(F2436="","",G2436-B2436)</f>
        <v/>
      </c>
      <c r="K2436" s="31" t="str">
        <f aca="false">IF(F2436="","",IF(H2436&lt;&gt;"",H2436,MAX('Vade Sapması'!$D$3,G2436)))</f>
        <v/>
      </c>
      <c r="L2436" s="30" t="str">
        <f aca="false">IF(F2436="","",K2436-B2436)</f>
        <v/>
      </c>
      <c r="M2436" s="30" t="str">
        <f aca="false">IF(F2436="","",L2436-J2436)</f>
        <v/>
      </c>
      <c r="N2436" s="32" t="str">
        <f aca="false">IF(F2436="","",IF(H2436&lt;&gt;"","Kapandı",IF('Vade Sapması'!$D$3&gt;G2436,"Açık · vadesi geçti","Açık · vadesi gelmedi")))</f>
        <v/>
      </c>
      <c r="O2436" s="30" t="str">
        <f aca="false">IF(F2436="","",IF(AND(H2436="",'Vade Sapması'!$D$3&gt;G2436),'Vade Sapması'!$D$3-G2436,0))</f>
        <v/>
      </c>
      <c r="P2436" s="33" t="str">
        <f aca="false">IF(F2436="","",F2436*J2436)</f>
        <v/>
      </c>
      <c r="Q2436" s="33" t="str">
        <f aca="false">IF(F2436="","",F2436*L2436)</f>
        <v/>
      </c>
      <c r="R2436" s="33" t="str">
        <f aca="false">IF(F2436="","",IF(H2436="",F2436,0))</f>
        <v/>
      </c>
      <c r="S2436" s="32" t="str">
        <f aca="false">IF(F2436="","",IF(N(O2436)=0,"",IF(O2436&lt;=30,"1-30",IF(O2436&lt;=60,"31-60",IF(O2436&lt;=90,"61-90","90+")))))</f>
        <v/>
      </c>
      <c r="T2436" s="32" t="str">
        <f aca="false">IF(F2436="","",IF(E2436="","Diğer",E2436))</f>
        <v/>
      </c>
      <c r="U2436" s="32" t="str">
        <f aca="false">IF(OR(F2436="",C2436=""),"",IF(COUNTIF($C$2:C2436,C2436)=1,MAX($U$1:U2435)+1,""))</f>
        <v/>
      </c>
    </row>
    <row r="2437" customFormat="false" ht="15" hidden="false" customHeight="false" outlineLevel="0" collapsed="false">
      <c r="A2437" s="34"/>
      <c r="B2437" s="9"/>
      <c r="C2437" s="34"/>
      <c r="D2437" s="34"/>
      <c r="E2437" s="34"/>
      <c r="F2437" s="35"/>
      <c r="G2437" s="9"/>
      <c r="H2437" s="9"/>
      <c r="I2437" s="34"/>
      <c r="J2437" s="30" t="str">
        <f aca="false">IF(F2437="","",G2437-B2437)</f>
        <v/>
      </c>
      <c r="K2437" s="31" t="str">
        <f aca="false">IF(F2437="","",IF(H2437&lt;&gt;"",H2437,MAX('Vade Sapması'!$D$3,G2437)))</f>
        <v/>
      </c>
      <c r="L2437" s="30" t="str">
        <f aca="false">IF(F2437="","",K2437-B2437)</f>
        <v/>
      </c>
      <c r="M2437" s="30" t="str">
        <f aca="false">IF(F2437="","",L2437-J2437)</f>
        <v/>
      </c>
      <c r="N2437" s="32" t="str">
        <f aca="false">IF(F2437="","",IF(H2437&lt;&gt;"","Kapandı",IF('Vade Sapması'!$D$3&gt;G2437,"Açık · vadesi geçti","Açık · vadesi gelmedi")))</f>
        <v/>
      </c>
      <c r="O2437" s="30" t="str">
        <f aca="false">IF(F2437="","",IF(AND(H2437="",'Vade Sapması'!$D$3&gt;G2437),'Vade Sapması'!$D$3-G2437,0))</f>
        <v/>
      </c>
      <c r="P2437" s="33" t="str">
        <f aca="false">IF(F2437="","",F2437*J2437)</f>
        <v/>
      </c>
      <c r="Q2437" s="33" t="str">
        <f aca="false">IF(F2437="","",F2437*L2437)</f>
        <v/>
      </c>
      <c r="R2437" s="33" t="str">
        <f aca="false">IF(F2437="","",IF(H2437="",F2437,0))</f>
        <v/>
      </c>
      <c r="S2437" s="32" t="str">
        <f aca="false">IF(F2437="","",IF(N(O2437)=0,"",IF(O2437&lt;=30,"1-30",IF(O2437&lt;=60,"31-60",IF(O2437&lt;=90,"61-90","90+")))))</f>
        <v/>
      </c>
      <c r="T2437" s="32" t="str">
        <f aca="false">IF(F2437="","",IF(E2437="","Diğer",E2437))</f>
        <v/>
      </c>
      <c r="U2437" s="32" t="str">
        <f aca="false">IF(OR(F2437="",C2437=""),"",IF(COUNTIF($C$2:C2437,C2437)=1,MAX($U$1:U2436)+1,""))</f>
        <v/>
      </c>
    </row>
    <row r="2438" customFormat="false" ht="15" hidden="false" customHeight="false" outlineLevel="0" collapsed="false">
      <c r="A2438" s="34"/>
      <c r="B2438" s="9"/>
      <c r="C2438" s="34"/>
      <c r="D2438" s="34"/>
      <c r="E2438" s="34"/>
      <c r="F2438" s="35"/>
      <c r="G2438" s="9"/>
      <c r="H2438" s="9"/>
      <c r="I2438" s="34"/>
      <c r="J2438" s="30" t="str">
        <f aca="false">IF(F2438="","",G2438-B2438)</f>
        <v/>
      </c>
      <c r="K2438" s="31" t="str">
        <f aca="false">IF(F2438="","",IF(H2438&lt;&gt;"",H2438,MAX('Vade Sapması'!$D$3,G2438)))</f>
        <v/>
      </c>
      <c r="L2438" s="30" t="str">
        <f aca="false">IF(F2438="","",K2438-B2438)</f>
        <v/>
      </c>
      <c r="M2438" s="30" t="str">
        <f aca="false">IF(F2438="","",L2438-J2438)</f>
        <v/>
      </c>
      <c r="N2438" s="32" t="str">
        <f aca="false">IF(F2438="","",IF(H2438&lt;&gt;"","Kapandı",IF('Vade Sapması'!$D$3&gt;G2438,"Açık · vadesi geçti","Açık · vadesi gelmedi")))</f>
        <v/>
      </c>
      <c r="O2438" s="30" t="str">
        <f aca="false">IF(F2438="","",IF(AND(H2438="",'Vade Sapması'!$D$3&gt;G2438),'Vade Sapması'!$D$3-G2438,0))</f>
        <v/>
      </c>
      <c r="P2438" s="33" t="str">
        <f aca="false">IF(F2438="","",F2438*J2438)</f>
        <v/>
      </c>
      <c r="Q2438" s="33" t="str">
        <f aca="false">IF(F2438="","",F2438*L2438)</f>
        <v/>
      </c>
      <c r="R2438" s="33" t="str">
        <f aca="false">IF(F2438="","",IF(H2438="",F2438,0))</f>
        <v/>
      </c>
      <c r="S2438" s="32" t="str">
        <f aca="false">IF(F2438="","",IF(N(O2438)=0,"",IF(O2438&lt;=30,"1-30",IF(O2438&lt;=60,"31-60",IF(O2438&lt;=90,"61-90","90+")))))</f>
        <v/>
      </c>
      <c r="T2438" s="32" t="str">
        <f aca="false">IF(F2438="","",IF(E2438="","Diğer",E2438))</f>
        <v/>
      </c>
      <c r="U2438" s="32" t="str">
        <f aca="false">IF(OR(F2438="",C2438=""),"",IF(COUNTIF($C$2:C2438,C2438)=1,MAX($U$1:U2437)+1,""))</f>
        <v/>
      </c>
    </row>
    <row r="2439" customFormat="false" ht="15" hidden="false" customHeight="false" outlineLevel="0" collapsed="false">
      <c r="A2439" s="34"/>
      <c r="B2439" s="9"/>
      <c r="C2439" s="34"/>
      <c r="D2439" s="34"/>
      <c r="E2439" s="34"/>
      <c r="F2439" s="35"/>
      <c r="G2439" s="9"/>
      <c r="H2439" s="9"/>
      <c r="I2439" s="34"/>
      <c r="J2439" s="30" t="str">
        <f aca="false">IF(F2439="","",G2439-B2439)</f>
        <v/>
      </c>
      <c r="K2439" s="31" t="str">
        <f aca="false">IF(F2439="","",IF(H2439&lt;&gt;"",H2439,MAX('Vade Sapması'!$D$3,G2439)))</f>
        <v/>
      </c>
      <c r="L2439" s="30" t="str">
        <f aca="false">IF(F2439="","",K2439-B2439)</f>
        <v/>
      </c>
      <c r="M2439" s="30" t="str">
        <f aca="false">IF(F2439="","",L2439-J2439)</f>
        <v/>
      </c>
      <c r="N2439" s="32" t="str">
        <f aca="false">IF(F2439="","",IF(H2439&lt;&gt;"","Kapandı",IF('Vade Sapması'!$D$3&gt;G2439,"Açık · vadesi geçti","Açık · vadesi gelmedi")))</f>
        <v/>
      </c>
      <c r="O2439" s="30" t="str">
        <f aca="false">IF(F2439="","",IF(AND(H2439="",'Vade Sapması'!$D$3&gt;G2439),'Vade Sapması'!$D$3-G2439,0))</f>
        <v/>
      </c>
      <c r="P2439" s="33" t="str">
        <f aca="false">IF(F2439="","",F2439*J2439)</f>
        <v/>
      </c>
      <c r="Q2439" s="33" t="str">
        <f aca="false">IF(F2439="","",F2439*L2439)</f>
        <v/>
      </c>
      <c r="R2439" s="33" t="str">
        <f aca="false">IF(F2439="","",IF(H2439="",F2439,0))</f>
        <v/>
      </c>
      <c r="S2439" s="32" t="str">
        <f aca="false">IF(F2439="","",IF(N(O2439)=0,"",IF(O2439&lt;=30,"1-30",IF(O2439&lt;=60,"31-60",IF(O2439&lt;=90,"61-90","90+")))))</f>
        <v/>
      </c>
      <c r="T2439" s="32" t="str">
        <f aca="false">IF(F2439="","",IF(E2439="","Diğer",E2439))</f>
        <v/>
      </c>
      <c r="U2439" s="32" t="str">
        <f aca="false">IF(OR(F2439="",C2439=""),"",IF(COUNTIF($C$2:C2439,C2439)=1,MAX($U$1:U2438)+1,""))</f>
        <v/>
      </c>
    </row>
    <row r="2440" customFormat="false" ht="15" hidden="false" customHeight="false" outlineLevel="0" collapsed="false">
      <c r="A2440" s="34"/>
      <c r="B2440" s="9"/>
      <c r="C2440" s="34"/>
      <c r="D2440" s="34"/>
      <c r="E2440" s="34"/>
      <c r="F2440" s="35"/>
      <c r="G2440" s="9"/>
      <c r="H2440" s="9"/>
      <c r="I2440" s="34"/>
      <c r="J2440" s="30" t="str">
        <f aca="false">IF(F2440="","",G2440-B2440)</f>
        <v/>
      </c>
      <c r="K2440" s="31" t="str">
        <f aca="false">IF(F2440="","",IF(H2440&lt;&gt;"",H2440,MAX('Vade Sapması'!$D$3,G2440)))</f>
        <v/>
      </c>
      <c r="L2440" s="30" t="str">
        <f aca="false">IF(F2440="","",K2440-B2440)</f>
        <v/>
      </c>
      <c r="M2440" s="30" t="str">
        <f aca="false">IF(F2440="","",L2440-J2440)</f>
        <v/>
      </c>
      <c r="N2440" s="32" t="str">
        <f aca="false">IF(F2440="","",IF(H2440&lt;&gt;"","Kapandı",IF('Vade Sapması'!$D$3&gt;G2440,"Açık · vadesi geçti","Açık · vadesi gelmedi")))</f>
        <v/>
      </c>
      <c r="O2440" s="30" t="str">
        <f aca="false">IF(F2440="","",IF(AND(H2440="",'Vade Sapması'!$D$3&gt;G2440),'Vade Sapması'!$D$3-G2440,0))</f>
        <v/>
      </c>
      <c r="P2440" s="33" t="str">
        <f aca="false">IF(F2440="","",F2440*J2440)</f>
        <v/>
      </c>
      <c r="Q2440" s="33" t="str">
        <f aca="false">IF(F2440="","",F2440*L2440)</f>
        <v/>
      </c>
      <c r="R2440" s="33" t="str">
        <f aca="false">IF(F2440="","",IF(H2440="",F2440,0))</f>
        <v/>
      </c>
      <c r="S2440" s="32" t="str">
        <f aca="false">IF(F2440="","",IF(N(O2440)=0,"",IF(O2440&lt;=30,"1-30",IF(O2440&lt;=60,"31-60",IF(O2440&lt;=90,"61-90","90+")))))</f>
        <v/>
      </c>
      <c r="T2440" s="32" t="str">
        <f aca="false">IF(F2440="","",IF(E2440="","Diğer",E2440))</f>
        <v/>
      </c>
      <c r="U2440" s="32" t="str">
        <f aca="false">IF(OR(F2440="",C2440=""),"",IF(COUNTIF($C$2:C2440,C2440)=1,MAX($U$1:U2439)+1,""))</f>
        <v/>
      </c>
    </row>
    <row r="2441" customFormat="false" ht="15" hidden="false" customHeight="false" outlineLevel="0" collapsed="false">
      <c r="A2441" s="34"/>
      <c r="B2441" s="9"/>
      <c r="C2441" s="34"/>
      <c r="D2441" s="34"/>
      <c r="E2441" s="34"/>
      <c r="F2441" s="35"/>
      <c r="G2441" s="9"/>
      <c r="H2441" s="9"/>
      <c r="I2441" s="34"/>
      <c r="J2441" s="30" t="str">
        <f aca="false">IF(F2441="","",G2441-B2441)</f>
        <v/>
      </c>
      <c r="K2441" s="31" t="str">
        <f aca="false">IF(F2441="","",IF(H2441&lt;&gt;"",H2441,MAX('Vade Sapması'!$D$3,G2441)))</f>
        <v/>
      </c>
      <c r="L2441" s="30" t="str">
        <f aca="false">IF(F2441="","",K2441-B2441)</f>
        <v/>
      </c>
      <c r="M2441" s="30" t="str">
        <f aca="false">IF(F2441="","",L2441-J2441)</f>
        <v/>
      </c>
      <c r="N2441" s="32" t="str">
        <f aca="false">IF(F2441="","",IF(H2441&lt;&gt;"","Kapandı",IF('Vade Sapması'!$D$3&gt;G2441,"Açık · vadesi geçti","Açık · vadesi gelmedi")))</f>
        <v/>
      </c>
      <c r="O2441" s="30" t="str">
        <f aca="false">IF(F2441="","",IF(AND(H2441="",'Vade Sapması'!$D$3&gt;G2441),'Vade Sapması'!$D$3-G2441,0))</f>
        <v/>
      </c>
      <c r="P2441" s="33" t="str">
        <f aca="false">IF(F2441="","",F2441*J2441)</f>
        <v/>
      </c>
      <c r="Q2441" s="33" t="str">
        <f aca="false">IF(F2441="","",F2441*L2441)</f>
        <v/>
      </c>
      <c r="R2441" s="33" t="str">
        <f aca="false">IF(F2441="","",IF(H2441="",F2441,0))</f>
        <v/>
      </c>
      <c r="S2441" s="32" t="str">
        <f aca="false">IF(F2441="","",IF(N(O2441)=0,"",IF(O2441&lt;=30,"1-30",IF(O2441&lt;=60,"31-60",IF(O2441&lt;=90,"61-90","90+")))))</f>
        <v/>
      </c>
      <c r="T2441" s="32" t="str">
        <f aca="false">IF(F2441="","",IF(E2441="","Diğer",E2441))</f>
        <v/>
      </c>
      <c r="U2441" s="32" t="str">
        <f aca="false">IF(OR(F2441="",C2441=""),"",IF(COUNTIF($C$2:C2441,C2441)=1,MAX($U$1:U2440)+1,""))</f>
        <v/>
      </c>
    </row>
    <row r="2442" customFormat="false" ht="15" hidden="false" customHeight="false" outlineLevel="0" collapsed="false">
      <c r="A2442" s="34"/>
      <c r="B2442" s="9"/>
      <c r="C2442" s="34"/>
      <c r="D2442" s="34"/>
      <c r="E2442" s="34"/>
      <c r="F2442" s="35"/>
      <c r="G2442" s="9"/>
      <c r="H2442" s="9"/>
      <c r="I2442" s="34"/>
      <c r="J2442" s="30" t="str">
        <f aca="false">IF(F2442="","",G2442-B2442)</f>
        <v/>
      </c>
      <c r="K2442" s="31" t="str">
        <f aca="false">IF(F2442="","",IF(H2442&lt;&gt;"",H2442,MAX('Vade Sapması'!$D$3,G2442)))</f>
        <v/>
      </c>
      <c r="L2442" s="30" t="str">
        <f aca="false">IF(F2442="","",K2442-B2442)</f>
        <v/>
      </c>
      <c r="M2442" s="30" t="str">
        <f aca="false">IF(F2442="","",L2442-J2442)</f>
        <v/>
      </c>
      <c r="N2442" s="32" t="str">
        <f aca="false">IF(F2442="","",IF(H2442&lt;&gt;"","Kapandı",IF('Vade Sapması'!$D$3&gt;G2442,"Açık · vadesi geçti","Açık · vadesi gelmedi")))</f>
        <v/>
      </c>
      <c r="O2442" s="30" t="str">
        <f aca="false">IF(F2442="","",IF(AND(H2442="",'Vade Sapması'!$D$3&gt;G2442),'Vade Sapması'!$D$3-G2442,0))</f>
        <v/>
      </c>
      <c r="P2442" s="33" t="str">
        <f aca="false">IF(F2442="","",F2442*J2442)</f>
        <v/>
      </c>
      <c r="Q2442" s="33" t="str">
        <f aca="false">IF(F2442="","",F2442*L2442)</f>
        <v/>
      </c>
      <c r="R2442" s="33" t="str">
        <f aca="false">IF(F2442="","",IF(H2442="",F2442,0))</f>
        <v/>
      </c>
      <c r="S2442" s="32" t="str">
        <f aca="false">IF(F2442="","",IF(N(O2442)=0,"",IF(O2442&lt;=30,"1-30",IF(O2442&lt;=60,"31-60",IF(O2442&lt;=90,"61-90","90+")))))</f>
        <v/>
      </c>
      <c r="T2442" s="32" t="str">
        <f aca="false">IF(F2442="","",IF(E2442="","Diğer",E2442))</f>
        <v/>
      </c>
      <c r="U2442" s="32" t="str">
        <f aca="false">IF(OR(F2442="",C2442=""),"",IF(COUNTIF($C$2:C2442,C2442)=1,MAX($U$1:U2441)+1,""))</f>
        <v/>
      </c>
    </row>
    <row r="2443" customFormat="false" ht="15" hidden="false" customHeight="false" outlineLevel="0" collapsed="false">
      <c r="A2443" s="34"/>
      <c r="B2443" s="9"/>
      <c r="C2443" s="34"/>
      <c r="D2443" s="34"/>
      <c r="E2443" s="34"/>
      <c r="F2443" s="35"/>
      <c r="G2443" s="9"/>
      <c r="H2443" s="9"/>
      <c r="I2443" s="34"/>
      <c r="J2443" s="30" t="str">
        <f aca="false">IF(F2443="","",G2443-B2443)</f>
        <v/>
      </c>
      <c r="K2443" s="31" t="str">
        <f aca="false">IF(F2443="","",IF(H2443&lt;&gt;"",H2443,MAX('Vade Sapması'!$D$3,G2443)))</f>
        <v/>
      </c>
      <c r="L2443" s="30" t="str">
        <f aca="false">IF(F2443="","",K2443-B2443)</f>
        <v/>
      </c>
      <c r="M2443" s="30" t="str">
        <f aca="false">IF(F2443="","",L2443-J2443)</f>
        <v/>
      </c>
      <c r="N2443" s="32" t="str">
        <f aca="false">IF(F2443="","",IF(H2443&lt;&gt;"","Kapandı",IF('Vade Sapması'!$D$3&gt;G2443,"Açık · vadesi geçti","Açık · vadesi gelmedi")))</f>
        <v/>
      </c>
      <c r="O2443" s="30" t="str">
        <f aca="false">IF(F2443="","",IF(AND(H2443="",'Vade Sapması'!$D$3&gt;G2443),'Vade Sapması'!$D$3-G2443,0))</f>
        <v/>
      </c>
      <c r="P2443" s="33" t="str">
        <f aca="false">IF(F2443="","",F2443*J2443)</f>
        <v/>
      </c>
      <c r="Q2443" s="33" t="str">
        <f aca="false">IF(F2443="","",F2443*L2443)</f>
        <v/>
      </c>
      <c r="R2443" s="33" t="str">
        <f aca="false">IF(F2443="","",IF(H2443="",F2443,0))</f>
        <v/>
      </c>
      <c r="S2443" s="32" t="str">
        <f aca="false">IF(F2443="","",IF(N(O2443)=0,"",IF(O2443&lt;=30,"1-30",IF(O2443&lt;=60,"31-60",IF(O2443&lt;=90,"61-90","90+")))))</f>
        <v/>
      </c>
      <c r="T2443" s="32" t="str">
        <f aca="false">IF(F2443="","",IF(E2443="","Diğer",E2443))</f>
        <v/>
      </c>
      <c r="U2443" s="32" t="str">
        <f aca="false">IF(OR(F2443="",C2443=""),"",IF(COUNTIF($C$2:C2443,C2443)=1,MAX($U$1:U2442)+1,""))</f>
        <v/>
      </c>
    </row>
    <row r="2444" customFormat="false" ht="15" hidden="false" customHeight="false" outlineLevel="0" collapsed="false">
      <c r="A2444" s="34"/>
      <c r="B2444" s="9"/>
      <c r="C2444" s="34"/>
      <c r="D2444" s="34"/>
      <c r="E2444" s="34"/>
      <c r="F2444" s="35"/>
      <c r="G2444" s="9"/>
      <c r="H2444" s="9"/>
      <c r="I2444" s="34"/>
      <c r="J2444" s="30" t="str">
        <f aca="false">IF(F2444="","",G2444-B2444)</f>
        <v/>
      </c>
      <c r="K2444" s="31" t="str">
        <f aca="false">IF(F2444="","",IF(H2444&lt;&gt;"",H2444,MAX('Vade Sapması'!$D$3,G2444)))</f>
        <v/>
      </c>
      <c r="L2444" s="30" t="str">
        <f aca="false">IF(F2444="","",K2444-B2444)</f>
        <v/>
      </c>
      <c r="M2444" s="30" t="str">
        <f aca="false">IF(F2444="","",L2444-J2444)</f>
        <v/>
      </c>
      <c r="N2444" s="32" t="str">
        <f aca="false">IF(F2444="","",IF(H2444&lt;&gt;"","Kapandı",IF('Vade Sapması'!$D$3&gt;G2444,"Açık · vadesi geçti","Açık · vadesi gelmedi")))</f>
        <v/>
      </c>
      <c r="O2444" s="30" t="str">
        <f aca="false">IF(F2444="","",IF(AND(H2444="",'Vade Sapması'!$D$3&gt;G2444),'Vade Sapması'!$D$3-G2444,0))</f>
        <v/>
      </c>
      <c r="P2444" s="33" t="str">
        <f aca="false">IF(F2444="","",F2444*J2444)</f>
        <v/>
      </c>
      <c r="Q2444" s="33" t="str">
        <f aca="false">IF(F2444="","",F2444*L2444)</f>
        <v/>
      </c>
      <c r="R2444" s="33" t="str">
        <f aca="false">IF(F2444="","",IF(H2444="",F2444,0))</f>
        <v/>
      </c>
      <c r="S2444" s="32" t="str">
        <f aca="false">IF(F2444="","",IF(N(O2444)=0,"",IF(O2444&lt;=30,"1-30",IF(O2444&lt;=60,"31-60",IF(O2444&lt;=90,"61-90","90+")))))</f>
        <v/>
      </c>
      <c r="T2444" s="32" t="str">
        <f aca="false">IF(F2444="","",IF(E2444="","Diğer",E2444))</f>
        <v/>
      </c>
      <c r="U2444" s="32" t="str">
        <f aca="false">IF(OR(F2444="",C2444=""),"",IF(COUNTIF($C$2:C2444,C2444)=1,MAX($U$1:U2443)+1,""))</f>
        <v/>
      </c>
    </row>
    <row r="2445" customFormat="false" ht="15" hidden="false" customHeight="false" outlineLevel="0" collapsed="false">
      <c r="A2445" s="34"/>
      <c r="B2445" s="9"/>
      <c r="C2445" s="34"/>
      <c r="D2445" s="34"/>
      <c r="E2445" s="34"/>
      <c r="F2445" s="35"/>
      <c r="G2445" s="9"/>
      <c r="H2445" s="9"/>
      <c r="I2445" s="34"/>
      <c r="J2445" s="30" t="str">
        <f aca="false">IF(F2445="","",G2445-B2445)</f>
        <v/>
      </c>
      <c r="K2445" s="31" t="str">
        <f aca="false">IF(F2445="","",IF(H2445&lt;&gt;"",H2445,MAX('Vade Sapması'!$D$3,G2445)))</f>
        <v/>
      </c>
      <c r="L2445" s="30" t="str">
        <f aca="false">IF(F2445="","",K2445-B2445)</f>
        <v/>
      </c>
      <c r="M2445" s="30" t="str">
        <f aca="false">IF(F2445="","",L2445-J2445)</f>
        <v/>
      </c>
      <c r="N2445" s="32" t="str">
        <f aca="false">IF(F2445="","",IF(H2445&lt;&gt;"","Kapandı",IF('Vade Sapması'!$D$3&gt;G2445,"Açık · vadesi geçti","Açık · vadesi gelmedi")))</f>
        <v/>
      </c>
      <c r="O2445" s="30" t="str">
        <f aca="false">IF(F2445="","",IF(AND(H2445="",'Vade Sapması'!$D$3&gt;G2445),'Vade Sapması'!$D$3-G2445,0))</f>
        <v/>
      </c>
      <c r="P2445" s="33" t="str">
        <f aca="false">IF(F2445="","",F2445*J2445)</f>
        <v/>
      </c>
      <c r="Q2445" s="33" t="str">
        <f aca="false">IF(F2445="","",F2445*L2445)</f>
        <v/>
      </c>
      <c r="R2445" s="33" t="str">
        <f aca="false">IF(F2445="","",IF(H2445="",F2445,0))</f>
        <v/>
      </c>
      <c r="S2445" s="32" t="str">
        <f aca="false">IF(F2445="","",IF(N(O2445)=0,"",IF(O2445&lt;=30,"1-30",IF(O2445&lt;=60,"31-60",IF(O2445&lt;=90,"61-90","90+")))))</f>
        <v/>
      </c>
      <c r="T2445" s="32" t="str">
        <f aca="false">IF(F2445="","",IF(E2445="","Diğer",E2445))</f>
        <v/>
      </c>
      <c r="U2445" s="32" t="str">
        <f aca="false">IF(OR(F2445="",C2445=""),"",IF(COUNTIF($C$2:C2445,C2445)=1,MAX($U$1:U2444)+1,""))</f>
        <v/>
      </c>
    </row>
    <row r="2446" customFormat="false" ht="15" hidden="false" customHeight="false" outlineLevel="0" collapsed="false">
      <c r="A2446" s="34"/>
      <c r="B2446" s="9"/>
      <c r="C2446" s="34"/>
      <c r="D2446" s="34"/>
      <c r="E2446" s="34"/>
      <c r="F2446" s="35"/>
      <c r="G2446" s="9"/>
      <c r="H2446" s="9"/>
      <c r="I2446" s="34"/>
      <c r="J2446" s="30" t="str">
        <f aca="false">IF(F2446="","",G2446-B2446)</f>
        <v/>
      </c>
      <c r="K2446" s="31" t="str">
        <f aca="false">IF(F2446="","",IF(H2446&lt;&gt;"",H2446,MAX('Vade Sapması'!$D$3,G2446)))</f>
        <v/>
      </c>
      <c r="L2446" s="30" t="str">
        <f aca="false">IF(F2446="","",K2446-B2446)</f>
        <v/>
      </c>
      <c r="M2446" s="30" t="str">
        <f aca="false">IF(F2446="","",L2446-J2446)</f>
        <v/>
      </c>
      <c r="N2446" s="32" t="str">
        <f aca="false">IF(F2446="","",IF(H2446&lt;&gt;"","Kapandı",IF('Vade Sapması'!$D$3&gt;G2446,"Açık · vadesi geçti","Açık · vadesi gelmedi")))</f>
        <v/>
      </c>
      <c r="O2446" s="30" t="str">
        <f aca="false">IF(F2446="","",IF(AND(H2446="",'Vade Sapması'!$D$3&gt;G2446),'Vade Sapması'!$D$3-G2446,0))</f>
        <v/>
      </c>
      <c r="P2446" s="33" t="str">
        <f aca="false">IF(F2446="","",F2446*J2446)</f>
        <v/>
      </c>
      <c r="Q2446" s="33" t="str">
        <f aca="false">IF(F2446="","",F2446*L2446)</f>
        <v/>
      </c>
      <c r="R2446" s="33" t="str">
        <f aca="false">IF(F2446="","",IF(H2446="",F2446,0))</f>
        <v/>
      </c>
      <c r="S2446" s="32" t="str">
        <f aca="false">IF(F2446="","",IF(N(O2446)=0,"",IF(O2446&lt;=30,"1-30",IF(O2446&lt;=60,"31-60",IF(O2446&lt;=90,"61-90","90+")))))</f>
        <v/>
      </c>
      <c r="T2446" s="32" t="str">
        <f aca="false">IF(F2446="","",IF(E2446="","Diğer",E2446))</f>
        <v/>
      </c>
      <c r="U2446" s="32" t="str">
        <f aca="false">IF(OR(F2446="",C2446=""),"",IF(COUNTIF($C$2:C2446,C2446)=1,MAX($U$1:U2445)+1,""))</f>
        <v/>
      </c>
    </row>
    <row r="2447" customFormat="false" ht="15" hidden="false" customHeight="false" outlineLevel="0" collapsed="false">
      <c r="A2447" s="34"/>
      <c r="B2447" s="9"/>
      <c r="C2447" s="34"/>
      <c r="D2447" s="34"/>
      <c r="E2447" s="34"/>
      <c r="F2447" s="35"/>
      <c r="G2447" s="9"/>
      <c r="H2447" s="9"/>
      <c r="I2447" s="34"/>
      <c r="J2447" s="30" t="str">
        <f aca="false">IF(F2447="","",G2447-B2447)</f>
        <v/>
      </c>
      <c r="K2447" s="31" t="str">
        <f aca="false">IF(F2447="","",IF(H2447&lt;&gt;"",H2447,MAX('Vade Sapması'!$D$3,G2447)))</f>
        <v/>
      </c>
      <c r="L2447" s="30" t="str">
        <f aca="false">IF(F2447="","",K2447-B2447)</f>
        <v/>
      </c>
      <c r="M2447" s="30" t="str">
        <f aca="false">IF(F2447="","",L2447-J2447)</f>
        <v/>
      </c>
      <c r="N2447" s="32" t="str">
        <f aca="false">IF(F2447="","",IF(H2447&lt;&gt;"","Kapandı",IF('Vade Sapması'!$D$3&gt;G2447,"Açık · vadesi geçti","Açık · vadesi gelmedi")))</f>
        <v/>
      </c>
      <c r="O2447" s="30" t="str">
        <f aca="false">IF(F2447="","",IF(AND(H2447="",'Vade Sapması'!$D$3&gt;G2447),'Vade Sapması'!$D$3-G2447,0))</f>
        <v/>
      </c>
      <c r="P2447" s="33" t="str">
        <f aca="false">IF(F2447="","",F2447*J2447)</f>
        <v/>
      </c>
      <c r="Q2447" s="33" t="str">
        <f aca="false">IF(F2447="","",F2447*L2447)</f>
        <v/>
      </c>
      <c r="R2447" s="33" t="str">
        <f aca="false">IF(F2447="","",IF(H2447="",F2447,0))</f>
        <v/>
      </c>
      <c r="S2447" s="32" t="str">
        <f aca="false">IF(F2447="","",IF(N(O2447)=0,"",IF(O2447&lt;=30,"1-30",IF(O2447&lt;=60,"31-60",IF(O2447&lt;=90,"61-90","90+")))))</f>
        <v/>
      </c>
      <c r="T2447" s="32" t="str">
        <f aca="false">IF(F2447="","",IF(E2447="","Diğer",E2447))</f>
        <v/>
      </c>
      <c r="U2447" s="32" t="str">
        <f aca="false">IF(OR(F2447="",C2447=""),"",IF(COUNTIF($C$2:C2447,C2447)=1,MAX($U$1:U2446)+1,""))</f>
        <v/>
      </c>
    </row>
    <row r="2448" customFormat="false" ht="15" hidden="false" customHeight="false" outlineLevel="0" collapsed="false">
      <c r="A2448" s="34"/>
      <c r="B2448" s="9"/>
      <c r="C2448" s="34"/>
      <c r="D2448" s="34"/>
      <c r="E2448" s="34"/>
      <c r="F2448" s="35"/>
      <c r="G2448" s="9"/>
      <c r="H2448" s="9"/>
      <c r="I2448" s="34"/>
      <c r="J2448" s="30" t="str">
        <f aca="false">IF(F2448="","",G2448-B2448)</f>
        <v/>
      </c>
      <c r="K2448" s="31" t="str">
        <f aca="false">IF(F2448="","",IF(H2448&lt;&gt;"",H2448,MAX('Vade Sapması'!$D$3,G2448)))</f>
        <v/>
      </c>
      <c r="L2448" s="30" t="str">
        <f aca="false">IF(F2448="","",K2448-B2448)</f>
        <v/>
      </c>
      <c r="M2448" s="30" t="str">
        <f aca="false">IF(F2448="","",L2448-J2448)</f>
        <v/>
      </c>
      <c r="N2448" s="32" t="str">
        <f aca="false">IF(F2448="","",IF(H2448&lt;&gt;"","Kapandı",IF('Vade Sapması'!$D$3&gt;G2448,"Açık · vadesi geçti","Açık · vadesi gelmedi")))</f>
        <v/>
      </c>
      <c r="O2448" s="30" t="str">
        <f aca="false">IF(F2448="","",IF(AND(H2448="",'Vade Sapması'!$D$3&gt;G2448),'Vade Sapması'!$D$3-G2448,0))</f>
        <v/>
      </c>
      <c r="P2448" s="33" t="str">
        <f aca="false">IF(F2448="","",F2448*J2448)</f>
        <v/>
      </c>
      <c r="Q2448" s="33" t="str">
        <f aca="false">IF(F2448="","",F2448*L2448)</f>
        <v/>
      </c>
      <c r="R2448" s="33" t="str">
        <f aca="false">IF(F2448="","",IF(H2448="",F2448,0))</f>
        <v/>
      </c>
      <c r="S2448" s="32" t="str">
        <f aca="false">IF(F2448="","",IF(N(O2448)=0,"",IF(O2448&lt;=30,"1-30",IF(O2448&lt;=60,"31-60",IF(O2448&lt;=90,"61-90","90+")))))</f>
        <v/>
      </c>
      <c r="T2448" s="32" t="str">
        <f aca="false">IF(F2448="","",IF(E2448="","Diğer",E2448))</f>
        <v/>
      </c>
      <c r="U2448" s="32" t="str">
        <f aca="false">IF(OR(F2448="",C2448=""),"",IF(COUNTIF($C$2:C2448,C2448)=1,MAX($U$1:U2447)+1,""))</f>
        <v/>
      </c>
    </row>
    <row r="2449" customFormat="false" ht="15" hidden="false" customHeight="false" outlineLevel="0" collapsed="false">
      <c r="A2449" s="34"/>
      <c r="B2449" s="9"/>
      <c r="C2449" s="34"/>
      <c r="D2449" s="34"/>
      <c r="E2449" s="34"/>
      <c r="F2449" s="35"/>
      <c r="G2449" s="9"/>
      <c r="H2449" s="9"/>
      <c r="I2449" s="34"/>
      <c r="J2449" s="30" t="str">
        <f aca="false">IF(F2449="","",G2449-B2449)</f>
        <v/>
      </c>
      <c r="K2449" s="31" t="str">
        <f aca="false">IF(F2449="","",IF(H2449&lt;&gt;"",H2449,MAX('Vade Sapması'!$D$3,G2449)))</f>
        <v/>
      </c>
      <c r="L2449" s="30" t="str">
        <f aca="false">IF(F2449="","",K2449-B2449)</f>
        <v/>
      </c>
      <c r="M2449" s="30" t="str">
        <f aca="false">IF(F2449="","",L2449-J2449)</f>
        <v/>
      </c>
      <c r="N2449" s="32" t="str">
        <f aca="false">IF(F2449="","",IF(H2449&lt;&gt;"","Kapandı",IF('Vade Sapması'!$D$3&gt;G2449,"Açık · vadesi geçti","Açık · vadesi gelmedi")))</f>
        <v/>
      </c>
      <c r="O2449" s="30" t="str">
        <f aca="false">IF(F2449="","",IF(AND(H2449="",'Vade Sapması'!$D$3&gt;G2449),'Vade Sapması'!$D$3-G2449,0))</f>
        <v/>
      </c>
      <c r="P2449" s="33" t="str">
        <f aca="false">IF(F2449="","",F2449*J2449)</f>
        <v/>
      </c>
      <c r="Q2449" s="33" t="str">
        <f aca="false">IF(F2449="","",F2449*L2449)</f>
        <v/>
      </c>
      <c r="R2449" s="33" t="str">
        <f aca="false">IF(F2449="","",IF(H2449="",F2449,0))</f>
        <v/>
      </c>
      <c r="S2449" s="32" t="str">
        <f aca="false">IF(F2449="","",IF(N(O2449)=0,"",IF(O2449&lt;=30,"1-30",IF(O2449&lt;=60,"31-60",IF(O2449&lt;=90,"61-90","90+")))))</f>
        <v/>
      </c>
      <c r="T2449" s="32" t="str">
        <f aca="false">IF(F2449="","",IF(E2449="","Diğer",E2449))</f>
        <v/>
      </c>
      <c r="U2449" s="32" t="str">
        <f aca="false">IF(OR(F2449="",C2449=""),"",IF(COUNTIF($C$2:C2449,C2449)=1,MAX($U$1:U2448)+1,""))</f>
        <v/>
      </c>
    </row>
    <row r="2450" customFormat="false" ht="15" hidden="false" customHeight="false" outlineLevel="0" collapsed="false">
      <c r="A2450" s="34"/>
      <c r="B2450" s="9"/>
      <c r="C2450" s="34"/>
      <c r="D2450" s="34"/>
      <c r="E2450" s="34"/>
      <c r="F2450" s="35"/>
      <c r="G2450" s="9"/>
      <c r="H2450" s="9"/>
      <c r="I2450" s="34"/>
      <c r="J2450" s="30" t="str">
        <f aca="false">IF(F2450="","",G2450-B2450)</f>
        <v/>
      </c>
      <c r="K2450" s="31" t="str">
        <f aca="false">IF(F2450="","",IF(H2450&lt;&gt;"",H2450,MAX('Vade Sapması'!$D$3,G2450)))</f>
        <v/>
      </c>
      <c r="L2450" s="30" t="str">
        <f aca="false">IF(F2450="","",K2450-B2450)</f>
        <v/>
      </c>
      <c r="M2450" s="30" t="str">
        <f aca="false">IF(F2450="","",L2450-J2450)</f>
        <v/>
      </c>
      <c r="N2450" s="32" t="str">
        <f aca="false">IF(F2450="","",IF(H2450&lt;&gt;"","Kapandı",IF('Vade Sapması'!$D$3&gt;G2450,"Açık · vadesi geçti","Açık · vadesi gelmedi")))</f>
        <v/>
      </c>
      <c r="O2450" s="30" t="str">
        <f aca="false">IF(F2450="","",IF(AND(H2450="",'Vade Sapması'!$D$3&gt;G2450),'Vade Sapması'!$D$3-G2450,0))</f>
        <v/>
      </c>
      <c r="P2450" s="33" t="str">
        <f aca="false">IF(F2450="","",F2450*J2450)</f>
        <v/>
      </c>
      <c r="Q2450" s="33" t="str">
        <f aca="false">IF(F2450="","",F2450*L2450)</f>
        <v/>
      </c>
      <c r="R2450" s="33" t="str">
        <f aca="false">IF(F2450="","",IF(H2450="",F2450,0))</f>
        <v/>
      </c>
      <c r="S2450" s="32" t="str">
        <f aca="false">IF(F2450="","",IF(N(O2450)=0,"",IF(O2450&lt;=30,"1-30",IF(O2450&lt;=60,"31-60",IF(O2450&lt;=90,"61-90","90+")))))</f>
        <v/>
      </c>
      <c r="T2450" s="32" t="str">
        <f aca="false">IF(F2450="","",IF(E2450="","Diğer",E2450))</f>
        <v/>
      </c>
      <c r="U2450" s="32" t="str">
        <f aca="false">IF(OR(F2450="",C2450=""),"",IF(COUNTIF($C$2:C2450,C2450)=1,MAX($U$1:U2449)+1,""))</f>
        <v/>
      </c>
    </row>
    <row r="2451" customFormat="false" ht="15" hidden="false" customHeight="false" outlineLevel="0" collapsed="false">
      <c r="A2451" s="34"/>
      <c r="B2451" s="9"/>
      <c r="C2451" s="34"/>
      <c r="D2451" s="34"/>
      <c r="E2451" s="34"/>
      <c r="F2451" s="35"/>
      <c r="G2451" s="9"/>
      <c r="H2451" s="9"/>
      <c r="I2451" s="34"/>
      <c r="J2451" s="30" t="str">
        <f aca="false">IF(F2451="","",G2451-B2451)</f>
        <v/>
      </c>
      <c r="K2451" s="31" t="str">
        <f aca="false">IF(F2451="","",IF(H2451&lt;&gt;"",H2451,MAX('Vade Sapması'!$D$3,G2451)))</f>
        <v/>
      </c>
      <c r="L2451" s="30" t="str">
        <f aca="false">IF(F2451="","",K2451-B2451)</f>
        <v/>
      </c>
      <c r="M2451" s="30" t="str">
        <f aca="false">IF(F2451="","",L2451-J2451)</f>
        <v/>
      </c>
      <c r="N2451" s="32" t="str">
        <f aca="false">IF(F2451="","",IF(H2451&lt;&gt;"","Kapandı",IF('Vade Sapması'!$D$3&gt;G2451,"Açık · vadesi geçti","Açık · vadesi gelmedi")))</f>
        <v/>
      </c>
      <c r="O2451" s="30" t="str">
        <f aca="false">IF(F2451="","",IF(AND(H2451="",'Vade Sapması'!$D$3&gt;G2451),'Vade Sapması'!$D$3-G2451,0))</f>
        <v/>
      </c>
      <c r="P2451" s="33" t="str">
        <f aca="false">IF(F2451="","",F2451*J2451)</f>
        <v/>
      </c>
      <c r="Q2451" s="33" t="str">
        <f aca="false">IF(F2451="","",F2451*L2451)</f>
        <v/>
      </c>
      <c r="R2451" s="33" t="str">
        <f aca="false">IF(F2451="","",IF(H2451="",F2451,0))</f>
        <v/>
      </c>
      <c r="S2451" s="32" t="str">
        <f aca="false">IF(F2451="","",IF(N(O2451)=0,"",IF(O2451&lt;=30,"1-30",IF(O2451&lt;=60,"31-60",IF(O2451&lt;=90,"61-90","90+")))))</f>
        <v/>
      </c>
      <c r="T2451" s="32" t="str">
        <f aca="false">IF(F2451="","",IF(E2451="","Diğer",E2451))</f>
        <v/>
      </c>
      <c r="U2451" s="32" t="str">
        <f aca="false">IF(OR(F2451="",C2451=""),"",IF(COUNTIF($C$2:C2451,C2451)=1,MAX($U$1:U2450)+1,""))</f>
        <v/>
      </c>
    </row>
    <row r="2452" customFormat="false" ht="15" hidden="false" customHeight="false" outlineLevel="0" collapsed="false">
      <c r="A2452" s="34"/>
      <c r="B2452" s="9"/>
      <c r="C2452" s="34"/>
      <c r="D2452" s="34"/>
      <c r="E2452" s="34"/>
      <c r="F2452" s="35"/>
      <c r="G2452" s="9"/>
      <c r="H2452" s="9"/>
      <c r="I2452" s="34"/>
      <c r="J2452" s="30" t="str">
        <f aca="false">IF(F2452="","",G2452-B2452)</f>
        <v/>
      </c>
      <c r="K2452" s="31" t="str">
        <f aca="false">IF(F2452="","",IF(H2452&lt;&gt;"",H2452,MAX('Vade Sapması'!$D$3,G2452)))</f>
        <v/>
      </c>
      <c r="L2452" s="30" t="str">
        <f aca="false">IF(F2452="","",K2452-B2452)</f>
        <v/>
      </c>
      <c r="M2452" s="30" t="str">
        <f aca="false">IF(F2452="","",L2452-J2452)</f>
        <v/>
      </c>
      <c r="N2452" s="32" t="str">
        <f aca="false">IF(F2452="","",IF(H2452&lt;&gt;"","Kapandı",IF('Vade Sapması'!$D$3&gt;G2452,"Açık · vadesi geçti","Açık · vadesi gelmedi")))</f>
        <v/>
      </c>
      <c r="O2452" s="30" t="str">
        <f aca="false">IF(F2452="","",IF(AND(H2452="",'Vade Sapması'!$D$3&gt;G2452),'Vade Sapması'!$D$3-G2452,0))</f>
        <v/>
      </c>
      <c r="P2452" s="33" t="str">
        <f aca="false">IF(F2452="","",F2452*J2452)</f>
        <v/>
      </c>
      <c r="Q2452" s="33" t="str">
        <f aca="false">IF(F2452="","",F2452*L2452)</f>
        <v/>
      </c>
      <c r="R2452" s="33" t="str">
        <f aca="false">IF(F2452="","",IF(H2452="",F2452,0))</f>
        <v/>
      </c>
      <c r="S2452" s="32" t="str">
        <f aca="false">IF(F2452="","",IF(N(O2452)=0,"",IF(O2452&lt;=30,"1-30",IF(O2452&lt;=60,"31-60",IF(O2452&lt;=90,"61-90","90+")))))</f>
        <v/>
      </c>
      <c r="T2452" s="32" t="str">
        <f aca="false">IF(F2452="","",IF(E2452="","Diğer",E2452))</f>
        <v/>
      </c>
      <c r="U2452" s="32" t="str">
        <f aca="false">IF(OR(F2452="",C2452=""),"",IF(COUNTIF($C$2:C2452,C2452)=1,MAX($U$1:U2451)+1,""))</f>
        <v/>
      </c>
    </row>
    <row r="2453" customFormat="false" ht="15" hidden="false" customHeight="false" outlineLevel="0" collapsed="false">
      <c r="A2453" s="34"/>
      <c r="B2453" s="9"/>
      <c r="C2453" s="34"/>
      <c r="D2453" s="34"/>
      <c r="E2453" s="34"/>
      <c r="F2453" s="35"/>
      <c r="G2453" s="9"/>
      <c r="H2453" s="9"/>
      <c r="I2453" s="34"/>
      <c r="J2453" s="30" t="str">
        <f aca="false">IF(F2453="","",G2453-B2453)</f>
        <v/>
      </c>
      <c r="K2453" s="31" t="str">
        <f aca="false">IF(F2453="","",IF(H2453&lt;&gt;"",H2453,MAX('Vade Sapması'!$D$3,G2453)))</f>
        <v/>
      </c>
      <c r="L2453" s="30" t="str">
        <f aca="false">IF(F2453="","",K2453-B2453)</f>
        <v/>
      </c>
      <c r="M2453" s="30" t="str">
        <f aca="false">IF(F2453="","",L2453-J2453)</f>
        <v/>
      </c>
      <c r="N2453" s="32" t="str">
        <f aca="false">IF(F2453="","",IF(H2453&lt;&gt;"","Kapandı",IF('Vade Sapması'!$D$3&gt;G2453,"Açık · vadesi geçti","Açık · vadesi gelmedi")))</f>
        <v/>
      </c>
      <c r="O2453" s="30" t="str">
        <f aca="false">IF(F2453="","",IF(AND(H2453="",'Vade Sapması'!$D$3&gt;G2453),'Vade Sapması'!$D$3-G2453,0))</f>
        <v/>
      </c>
      <c r="P2453" s="33" t="str">
        <f aca="false">IF(F2453="","",F2453*J2453)</f>
        <v/>
      </c>
      <c r="Q2453" s="33" t="str">
        <f aca="false">IF(F2453="","",F2453*L2453)</f>
        <v/>
      </c>
      <c r="R2453" s="33" t="str">
        <f aca="false">IF(F2453="","",IF(H2453="",F2453,0))</f>
        <v/>
      </c>
      <c r="S2453" s="32" t="str">
        <f aca="false">IF(F2453="","",IF(N(O2453)=0,"",IF(O2453&lt;=30,"1-30",IF(O2453&lt;=60,"31-60",IF(O2453&lt;=90,"61-90","90+")))))</f>
        <v/>
      </c>
      <c r="T2453" s="32" t="str">
        <f aca="false">IF(F2453="","",IF(E2453="","Diğer",E2453))</f>
        <v/>
      </c>
      <c r="U2453" s="32" t="str">
        <f aca="false">IF(OR(F2453="",C2453=""),"",IF(COUNTIF($C$2:C2453,C2453)=1,MAX($U$1:U2452)+1,""))</f>
        <v/>
      </c>
    </row>
    <row r="2454" customFormat="false" ht="15" hidden="false" customHeight="false" outlineLevel="0" collapsed="false">
      <c r="A2454" s="34"/>
      <c r="B2454" s="9"/>
      <c r="C2454" s="34"/>
      <c r="D2454" s="34"/>
      <c r="E2454" s="34"/>
      <c r="F2454" s="35"/>
      <c r="G2454" s="9"/>
      <c r="H2454" s="9"/>
      <c r="I2454" s="34"/>
      <c r="J2454" s="30" t="str">
        <f aca="false">IF(F2454="","",G2454-B2454)</f>
        <v/>
      </c>
      <c r="K2454" s="31" t="str">
        <f aca="false">IF(F2454="","",IF(H2454&lt;&gt;"",H2454,MAX('Vade Sapması'!$D$3,G2454)))</f>
        <v/>
      </c>
      <c r="L2454" s="30" t="str">
        <f aca="false">IF(F2454="","",K2454-B2454)</f>
        <v/>
      </c>
      <c r="M2454" s="30" t="str">
        <f aca="false">IF(F2454="","",L2454-J2454)</f>
        <v/>
      </c>
      <c r="N2454" s="32" t="str">
        <f aca="false">IF(F2454="","",IF(H2454&lt;&gt;"","Kapandı",IF('Vade Sapması'!$D$3&gt;G2454,"Açık · vadesi geçti","Açık · vadesi gelmedi")))</f>
        <v/>
      </c>
      <c r="O2454" s="30" t="str">
        <f aca="false">IF(F2454="","",IF(AND(H2454="",'Vade Sapması'!$D$3&gt;G2454),'Vade Sapması'!$D$3-G2454,0))</f>
        <v/>
      </c>
      <c r="P2454" s="33" t="str">
        <f aca="false">IF(F2454="","",F2454*J2454)</f>
        <v/>
      </c>
      <c r="Q2454" s="33" t="str">
        <f aca="false">IF(F2454="","",F2454*L2454)</f>
        <v/>
      </c>
      <c r="R2454" s="33" t="str">
        <f aca="false">IF(F2454="","",IF(H2454="",F2454,0))</f>
        <v/>
      </c>
      <c r="S2454" s="32" t="str">
        <f aca="false">IF(F2454="","",IF(N(O2454)=0,"",IF(O2454&lt;=30,"1-30",IF(O2454&lt;=60,"31-60",IF(O2454&lt;=90,"61-90","90+")))))</f>
        <v/>
      </c>
      <c r="T2454" s="32" t="str">
        <f aca="false">IF(F2454="","",IF(E2454="","Diğer",E2454))</f>
        <v/>
      </c>
      <c r="U2454" s="32" t="str">
        <f aca="false">IF(OR(F2454="",C2454=""),"",IF(COUNTIF($C$2:C2454,C2454)=1,MAX($U$1:U2453)+1,""))</f>
        <v/>
      </c>
    </row>
    <row r="2455" customFormat="false" ht="15" hidden="false" customHeight="false" outlineLevel="0" collapsed="false">
      <c r="A2455" s="34"/>
      <c r="B2455" s="9"/>
      <c r="C2455" s="34"/>
      <c r="D2455" s="34"/>
      <c r="E2455" s="34"/>
      <c r="F2455" s="35"/>
      <c r="G2455" s="9"/>
      <c r="H2455" s="9"/>
      <c r="I2455" s="34"/>
      <c r="J2455" s="30" t="str">
        <f aca="false">IF(F2455="","",G2455-B2455)</f>
        <v/>
      </c>
      <c r="K2455" s="31" t="str">
        <f aca="false">IF(F2455="","",IF(H2455&lt;&gt;"",H2455,MAX('Vade Sapması'!$D$3,G2455)))</f>
        <v/>
      </c>
      <c r="L2455" s="30" t="str">
        <f aca="false">IF(F2455="","",K2455-B2455)</f>
        <v/>
      </c>
      <c r="M2455" s="30" t="str">
        <f aca="false">IF(F2455="","",L2455-J2455)</f>
        <v/>
      </c>
      <c r="N2455" s="32" t="str">
        <f aca="false">IF(F2455="","",IF(H2455&lt;&gt;"","Kapandı",IF('Vade Sapması'!$D$3&gt;G2455,"Açık · vadesi geçti","Açık · vadesi gelmedi")))</f>
        <v/>
      </c>
      <c r="O2455" s="30" t="str">
        <f aca="false">IF(F2455="","",IF(AND(H2455="",'Vade Sapması'!$D$3&gt;G2455),'Vade Sapması'!$D$3-G2455,0))</f>
        <v/>
      </c>
      <c r="P2455" s="33" t="str">
        <f aca="false">IF(F2455="","",F2455*J2455)</f>
        <v/>
      </c>
      <c r="Q2455" s="33" t="str">
        <f aca="false">IF(F2455="","",F2455*L2455)</f>
        <v/>
      </c>
      <c r="R2455" s="33" t="str">
        <f aca="false">IF(F2455="","",IF(H2455="",F2455,0))</f>
        <v/>
      </c>
      <c r="S2455" s="32" t="str">
        <f aca="false">IF(F2455="","",IF(N(O2455)=0,"",IF(O2455&lt;=30,"1-30",IF(O2455&lt;=60,"31-60",IF(O2455&lt;=90,"61-90","90+")))))</f>
        <v/>
      </c>
      <c r="T2455" s="32" t="str">
        <f aca="false">IF(F2455="","",IF(E2455="","Diğer",E2455))</f>
        <v/>
      </c>
      <c r="U2455" s="32" t="str">
        <f aca="false">IF(OR(F2455="",C2455=""),"",IF(COUNTIF($C$2:C2455,C2455)=1,MAX($U$1:U2454)+1,""))</f>
        <v/>
      </c>
    </row>
    <row r="2456" customFormat="false" ht="15" hidden="false" customHeight="false" outlineLevel="0" collapsed="false">
      <c r="A2456" s="34"/>
      <c r="B2456" s="9"/>
      <c r="C2456" s="34"/>
      <c r="D2456" s="34"/>
      <c r="E2456" s="34"/>
      <c r="F2456" s="35"/>
      <c r="G2456" s="9"/>
      <c r="H2456" s="9"/>
      <c r="I2456" s="34"/>
      <c r="J2456" s="30" t="str">
        <f aca="false">IF(F2456="","",G2456-B2456)</f>
        <v/>
      </c>
      <c r="K2456" s="31" t="str">
        <f aca="false">IF(F2456="","",IF(H2456&lt;&gt;"",H2456,MAX('Vade Sapması'!$D$3,G2456)))</f>
        <v/>
      </c>
      <c r="L2456" s="30" t="str">
        <f aca="false">IF(F2456="","",K2456-B2456)</f>
        <v/>
      </c>
      <c r="M2456" s="30" t="str">
        <f aca="false">IF(F2456="","",L2456-J2456)</f>
        <v/>
      </c>
      <c r="N2456" s="32" t="str">
        <f aca="false">IF(F2456="","",IF(H2456&lt;&gt;"","Kapandı",IF('Vade Sapması'!$D$3&gt;G2456,"Açık · vadesi geçti","Açık · vadesi gelmedi")))</f>
        <v/>
      </c>
      <c r="O2456" s="30" t="str">
        <f aca="false">IF(F2456="","",IF(AND(H2456="",'Vade Sapması'!$D$3&gt;G2456),'Vade Sapması'!$D$3-G2456,0))</f>
        <v/>
      </c>
      <c r="P2456" s="33" t="str">
        <f aca="false">IF(F2456="","",F2456*J2456)</f>
        <v/>
      </c>
      <c r="Q2456" s="33" t="str">
        <f aca="false">IF(F2456="","",F2456*L2456)</f>
        <v/>
      </c>
      <c r="R2456" s="33" t="str">
        <f aca="false">IF(F2456="","",IF(H2456="",F2456,0))</f>
        <v/>
      </c>
      <c r="S2456" s="32" t="str">
        <f aca="false">IF(F2456="","",IF(N(O2456)=0,"",IF(O2456&lt;=30,"1-30",IF(O2456&lt;=60,"31-60",IF(O2456&lt;=90,"61-90","90+")))))</f>
        <v/>
      </c>
      <c r="T2456" s="32" t="str">
        <f aca="false">IF(F2456="","",IF(E2456="","Diğer",E2456))</f>
        <v/>
      </c>
      <c r="U2456" s="32" t="str">
        <f aca="false">IF(OR(F2456="",C2456=""),"",IF(COUNTIF($C$2:C2456,C2456)=1,MAX($U$1:U2455)+1,""))</f>
        <v/>
      </c>
    </row>
    <row r="2457" customFormat="false" ht="15" hidden="false" customHeight="false" outlineLevel="0" collapsed="false">
      <c r="A2457" s="34"/>
      <c r="B2457" s="9"/>
      <c r="C2457" s="34"/>
      <c r="D2457" s="34"/>
      <c r="E2457" s="34"/>
      <c r="F2457" s="35"/>
      <c r="G2457" s="9"/>
      <c r="H2457" s="9"/>
      <c r="I2457" s="34"/>
      <c r="J2457" s="30" t="str">
        <f aca="false">IF(F2457="","",G2457-B2457)</f>
        <v/>
      </c>
      <c r="K2457" s="31" t="str">
        <f aca="false">IF(F2457="","",IF(H2457&lt;&gt;"",H2457,MAX('Vade Sapması'!$D$3,G2457)))</f>
        <v/>
      </c>
      <c r="L2457" s="30" t="str">
        <f aca="false">IF(F2457="","",K2457-B2457)</f>
        <v/>
      </c>
      <c r="M2457" s="30" t="str">
        <f aca="false">IF(F2457="","",L2457-J2457)</f>
        <v/>
      </c>
      <c r="N2457" s="32" t="str">
        <f aca="false">IF(F2457="","",IF(H2457&lt;&gt;"","Kapandı",IF('Vade Sapması'!$D$3&gt;G2457,"Açık · vadesi geçti","Açık · vadesi gelmedi")))</f>
        <v/>
      </c>
      <c r="O2457" s="30" t="str">
        <f aca="false">IF(F2457="","",IF(AND(H2457="",'Vade Sapması'!$D$3&gt;G2457),'Vade Sapması'!$D$3-G2457,0))</f>
        <v/>
      </c>
      <c r="P2457" s="33" t="str">
        <f aca="false">IF(F2457="","",F2457*J2457)</f>
        <v/>
      </c>
      <c r="Q2457" s="33" t="str">
        <f aca="false">IF(F2457="","",F2457*L2457)</f>
        <v/>
      </c>
      <c r="R2457" s="33" t="str">
        <f aca="false">IF(F2457="","",IF(H2457="",F2457,0))</f>
        <v/>
      </c>
      <c r="S2457" s="32" t="str">
        <f aca="false">IF(F2457="","",IF(N(O2457)=0,"",IF(O2457&lt;=30,"1-30",IF(O2457&lt;=60,"31-60",IF(O2457&lt;=90,"61-90","90+")))))</f>
        <v/>
      </c>
      <c r="T2457" s="32" t="str">
        <f aca="false">IF(F2457="","",IF(E2457="","Diğer",E2457))</f>
        <v/>
      </c>
      <c r="U2457" s="32" t="str">
        <f aca="false">IF(OR(F2457="",C2457=""),"",IF(COUNTIF($C$2:C2457,C2457)=1,MAX($U$1:U2456)+1,""))</f>
        <v/>
      </c>
    </row>
    <row r="2458" customFormat="false" ht="15" hidden="false" customHeight="false" outlineLevel="0" collapsed="false">
      <c r="A2458" s="34"/>
      <c r="B2458" s="9"/>
      <c r="C2458" s="34"/>
      <c r="D2458" s="34"/>
      <c r="E2458" s="34"/>
      <c r="F2458" s="35"/>
      <c r="G2458" s="9"/>
      <c r="H2458" s="9"/>
      <c r="I2458" s="34"/>
      <c r="J2458" s="30" t="str">
        <f aca="false">IF(F2458="","",G2458-B2458)</f>
        <v/>
      </c>
      <c r="K2458" s="31" t="str">
        <f aca="false">IF(F2458="","",IF(H2458&lt;&gt;"",H2458,MAX('Vade Sapması'!$D$3,G2458)))</f>
        <v/>
      </c>
      <c r="L2458" s="30" t="str">
        <f aca="false">IF(F2458="","",K2458-B2458)</f>
        <v/>
      </c>
      <c r="M2458" s="30" t="str">
        <f aca="false">IF(F2458="","",L2458-J2458)</f>
        <v/>
      </c>
      <c r="N2458" s="32" t="str">
        <f aca="false">IF(F2458="","",IF(H2458&lt;&gt;"","Kapandı",IF('Vade Sapması'!$D$3&gt;G2458,"Açık · vadesi geçti","Açık · vadesi gelmedi")))</f>
        <v/>
      </c>
      <c r="O2458" s="30" t="str">
        <f aca="false">IF(F2458="","",IF(AND(H2458="",'Vade Sapması'!$D$3&gt;G2458),'Vade Sapması'!$D$3-G2458,0))</f>
        <v/>
      </c>
      <c r="P2458" s="33" t="str">
        <f aca="false">IF(F2458="","",F2458*J2458)</f>
        <v/>
      </c>
      <c r="Q2458" s="33" t="str">
        <f aca="false">IF(F2458="","",F2458*L2458)</f>
        <v/>
      </c>
      <c r="R2458" s="33" t="str">
        <f aca="false">IF(F2458="","",IF(H2458="",F2458,0))</f>
        <v/>
      </c>
      <c r="S2458" s="32" t="str">
        <f aca="false">IF(F2458="","",IF(N(O2458)=0,"",IF(O2458&lt;=30,"1-30",IF(O2458&lt;=60,"31-60",IF(O2458&lt;=90,"61-90","90+")))))</f>
        <v/>
      </c>
      <c r="T2458" s="32" t="str">
        <f aca="false">IF(F2458="","",IF(E2458="","Diğer",E2458))</f>
        <v/>
      </c>
      <c r="U2458" s="32" t="str">
        <f aca="false">IF(OR(F2458="",C2458=""),"",IF(COUNTIF($C$2:C2458,C2458)=1,MAX($U$1:U2457)+1,""))</f>
        <v/>
      </c>
    </row>
    <row r="2459" customFormat="false" ht="15" hidden="false" customHeight="false" outlineLevel="0" collapsed="false">
      <c r="A2459" s="34"/>
      <c r="B2459" s="9"/>
      <c r="C2459" s="34"/>
      <c r="D2459" s="34"/>
      <c r="E2459" s="34"/>
      <c r="F2459" s="35"/>
      <c r="G2459" s="9"/>
      <c r="H2459" s="9"/>
      <c r="I2459" s="34"/>
      <c r="J2459" s="30" t="str">
        <f aca="false">IF(F2459="","",G2459-B2459)</f>
        <v/>
      </c>
      <c r="K2459" s="31" t="str">
        <f aca="false">IF(F2459="","",IF(H2459&lt;&gt;"",H2459,MAX('Vade Sapması'!$D$3,G2459)))</f>
        <v/>
      </c>
      <c r="L2459" s="30" t="str">
        <f aca="false">IF(F2459="","",K2459-B2459)</f>
        <v/>
      </c>
      <c r="M2459" s="30" t="str">
        <f aca="false">IF(F2459="","",L2459-J2459)</f>
        <v/>
      </c>
      <c r="N2459" s="32" t="str">
        <f aca="false">IF(F2459="","",IF(H2459&lt;&gt;"","Kapandı",IF('Vade Sapması'!$D$3&gt;G2459,"Açık · vadesi geçti","Açık · vadesi gelmedi")))</f>
        <v/>
      </c>
      <c r="O2459" s="30" t="str">
        <f aca="false">IF(F2459="","",IF(AND(H2459="",'Vade Sapması'!$D$3&gt;G2459),'Vade Sapması'!$D$3-G2459,0))</f>
        <v/>
      </c>
      <c r="P2459" s="33" t="str">
        <f aca="false">IF(F2459="","",F2459*J2459)</f>
        <v/>
      </c>
      <c r="Q2459" s="33" t="str">
        <f aca="false">IF(F2459="","",F2459*L2459)</f>
        <v/>
      </c>
      <c r="R2459" s="33" t="str">
        <f aca="false">IF(F2459="","",IF(H2459="",F2459,0))</f>
        <v/>
      </c>
      <c r="S2459" s="32" t="str">
        <f aca="false">IF(F2459="","",IF(N(O2459)=0,"",IF(O2459&lt;=30,"1-30",IF(O2459&lt;=60,"31-60",IF(O2459&lt;=90,"61-90","90+")))))</f>
        <v/>
      </c>
      <c r="T2459" s="32" t="str">
        <f aca="false">IF(F2459="","",IF(E2459="","Diğer",E2459))</f>
        <v/>
      </c>
      <c r="U2459" s="32" t="str">
        <f aca="false">IF(OR(F2459="",C2459=""),"",IF(COUNTIF($C$2:C2459,C2459)=1,MAX($U$1:U2458)+1,""))</f>
        <v/>
      </c>
    </row>
    <row r="2460" customFormat="false" ht="15" hidden="false" customHeight="false" outlineLevel="0" collapsed="false">
      <c r="A2460" s="34"/>
      <c r="B2460" s="9"/>
      <c r="C2460" s="34"/>
      <c r="D2460" s="34"/>
      <c r="E2460" s="34"/>
      <c r="F2460" s="35"/>
      <c r="G2460" s="9"/>
      <c r="H2460" s="9"/>
      <c r="I2460" s="34"/>
      <c r="J2460" s="30" t="str">
        <f aca="false">IF(F2460="","",G2460-B2460)</f>
        <v/>
      </c>
      <c r="K2460" s="31" t="str">
        <f aca="false">IF(F2460="","",IF(H2460&lt;&gt;"",H2460,MAX('Vade Sapması'!$D$3,G2460)))</f>
        <v/>
      </c>
      <c r="L2460" s="30" t="str">
        <f aca="false">IF(F2460="","",K2460-B2460)</f>
        <v/>
      </c>
      <c r="M2460" s="30" t="str">
        <f aca="false">IF(F2460="","",L2460-J2460)</f>
        <v/>
      </c>
      <c r="N2460" s="32" t="str">
        <f aca="false">IF(F2460="","",IF(H2460&lt;&gt;"","Kapandı",IF('Vade Sapması'!$D$3&gt;G2460,"Açık · vadesi geçti","Açık · vadesi gelmedi")))</f>
        <v/>
      </c>
      <c r="O2460" s="30" t="str">
        <f aca="false">IF(F2460="","",IF(AND(H2460="",'Vade Sapması'!$D$3&gt;G2460),'Vade Sapması'!$D$3-G2460,0))</f>
        <v/>
      </c>
      <c r="P2460" s="33" t="str">
        <f aca="false">IF(F2460="","",F2460*J2460)</f>
        <v/>
      </c>
      <c r="Q2460" s="33" t="str">
        <f aca="false">IF(F2460="","",F2460*L2460)</f>
        <v/>
      </c>
      <c r="R2460" s="33" t="str">
        <f aca="false">IF(F2460="","",IF(H2460="",F2460,0))</f>
        <v/>
      </c>
      <c r="S2460" s="32" t="str">
        <f aca="false">IF(F2460="","",IF(N(O2460)=0,"",IF(O2460&lt;=30,"1-30",IF(O2460&lt;=60,"31-60",IF(O2460&lt;=90,"61-90","90+")))))</f>
        <v/>
      </c>
      <c r="T2460" s="32" t="str">
        <f aca="false">IF(F2460="","",IF(E2460="","Diğer",E2460))</f>
        <v/>
      </c>
      <c r="U2460" s="32" t="str">
        <f aca="false">IF(OR(F2460="",C2460=""),"",IF(COUNTIF($C$2:C2460,C2460)=1,MAX($U$1:U2459)+1,""))</f>
        <v/>
      </c>
    </row>
    <row r="2461" customFormat="false" ht="15" hidden="false" customHeight="false" outlineLevel="0" collapsed="false">
      <c r="A2461" s="34"/>
      <c r="B2461" s="9"/>
      <c r="C2461" s="34"/>
      <c r="D2461" s="34"/>
      <c r="E2461" s="34"/>
      <c r="F2461" s="35"/>
      <c r="G2461" s="9"/>
      <c r="H2461" s="9"/>
      <c r="I2461" s="34"/>
      <c r="J2461" s="30" t="str">
        <f aca="false">IF(F2461="","",G2461-B2461)</f>
        <v/>
      </c>
      <c r="K2461" s="31" t="str">
        <f aca="false">IF(F2461="","",IF(H2461&lt;&gt;"",H2461,MAX('Vade Sapması'!$D$3,G2461)))</f>
        <v/>
      </c>
      <c r="L2461" s="30" t="str">
        <f aca="false">IF(F2461="","",K2461-B2461)</f>
        <v/>
      </c>
      <c r="M2461" s="30" t="str">
        <f aca="false">IF(F2461="","",L2461-J2461)</f>
        <v/>
      </c>
      <c r="N2461" s="32" t="str">
        <f aca="false">IF(F2461="","",IF(H2461&lt;&gt;"","Kapandı",IF('Vade Sapması'!$D$3&gt;G2461,"Açık · vadesi geçti","Açık · vadesi gelmedi")))</f>
        <v/>
      </c>
      <c r="O2461" s="30" t="str">
        <f aca="false">IF(F2461="","",IF(AND(H2461="",'Vade Sapması'!$D$3&gt;G2461),'Vade Sapması'!$D$3-G2461,0))</f>
        <v/>
      </c>
      <c r="P2461" s="33" t="str">
        <f aca="false">IF(F2461="","",F2461*J2461)</f>
        <v/>
      </c>
      <c r="Q2461" s="33" t="str">
        <f aca="false">IF(F2461="","",F2461*L2461)</f>
        <v/>
      </c>
      <c r="R2461" s="33" t="str">
        <f aca="false">IF(F2461="","",IF(H2461="",F2461,0))</f>
        <v/>
      </c>
      <c r="S2461" s="32" t="str">
        <f aca="false">IF(F2461="","",IF(N(O2461)=0,"",IF(O2461&lt;=30,"1-30",IF(O2461&lt;=60,"31-60",IF(O2461&lt;=90,"61-90","90+")))))</f>
        <v/>
      </c>
      <c r="T2461" s="32" t="str">
        <f aca="false">IF(F2461="","",IF(E2461="","Diğer",E2461))</f>
        <v/>
      </c>
      <c r="U2461" s="32" t="str">
        <f aca="false">IF(OR(F2461="",C2461=""),"",IF(COUNTIF($C$2:C2461,C2461)=1,MAX($U$1:U2460)+1,""))</f>
        <v/>
      </c>
    </row>
    <row r="2462" customFormat="false" ht="15" hidden="false" customHeight="false" outlineLevel="0" collapsed="false">
      <c r="A2462" s="34"/>
      <c r="B2462" s="9"/>
      <c r="C2462" s="34"/>
      <c r="D2462" s="34"/>
      <c r="E2462" s="34"/>
      <c r="F2462" s="35"/>
      <c r="G2462" s="9"/>
      <c r="H2462" s="9"/>
      <c r="I2462" s="34"/>
      <c r="J2462" s="30" t="str">
        <f aca="false">IF(F2462="","",G2462-B2462)</f>
        <v/>
      </c>
      <c r="K2462" s="31" t="str">
        <f aca="false">IF(F2462="","",IF(H2462&lt;&gt;"",H2462,MAX('Vade Sapması'!$D$3,G2462)))</f>
        <v/>
      </c>
      <c r="L2462" s="30" t="str">
        <f aca="false">IF(F2462="","",K2462-B2462)</f>
        <v/>
      </c>
      <c r="M2462" s="30" t="str">
        <f aca="false">IF(F2462="","",L2462-J2462)</f>
        <v/>
      </c>
      <c r="N2462" s="32" t="str">
        <f aca="false">IF(F2462="","",IF(H2462&lt;&gt;"","Kapandı",IF('Vade Sapması'!$D$3&gt;G2462,"Açık · vadesi geçti","Açık · vadesi gelmedi")))</f>
        <v/>
      </c>
      <c r="O2462" s="30" t="str">
        <f aca="false">IF(F2462="","",IF(AND(H2462="",'Vade Sapması'!$D$3&gt;G2462),'Vade Sapması'!$D$3-G2462,0))</f>
        <v/>
      </c>
      <c r="P2462" s="33" t="str">
        <f aca="false">IF(F2462="","",F2462*J2462)</f>
        <v/>
      </c>
      <c r="Q2462" s="33" t="str">
        <f aca="false">IF(F2462="","",F2462*L2462)</f>
        <v/>
      </c>
      <c r="R2462" s="33" t="str">
        <f aca="false">IF(F2462="","",IF(H2462="",F2462,0))</f>
        <v/>
      </c>
      <c r="S2462" s="32" t="str">
        <f aca="false">IF(F2462="","",IF(N(O2462)=0,"",IF(O2462&lt;=30,"1-30",IF(O2462&lt;=60,"31-60",IF(O2462&lt;=90,"61-90","90+")))))</f>
        <v/>
      </c>
      <c r="T2462" s="32" t="str">
        <f aca="false">IF(F2462="","",IF(E2462="","Diğer",E2462))</f>
        <v/>
      </c>
      <c r="U2462" s="32" t="str">
        <f aca="false">IF(OR(F2462="",C2462=""),"",IF(COUNTIF($C$2:C2462,C2462)=1,MAX($U$1:U2461)+1,""))</f>
        <v/>
      </c>
    </row>
    <row r="2463" customFormat="false" ht="15" hidden="false" customHeight="false" outlineLevel="0" collapsed="false">
      <c r="A2463" s="34"/>
      <c r="B2463" s="9"/>
      <c r="C2463" s="34"/>
      <c r="D2463" s="34"/>
      <c r="E2463" s="34"/>
      <c r="F2463" s="35"/>
      <c r="G2463" s="9"/>
      <c r="H2463" s="9"/>
      <c r="I2463" s="34"/>
      <c r="J2463" s="30" t="str">
        <f aca="false">IF(F2463="","",G2463-B2463)</f>
        <v/>
      </c>
      <c r="K2463" s="31" t="str">
        <f aca="false">IF(F2463="","",IF(H2463&lt;&gt;"",H2463,MAX('Vade Sapması'!$D$3,G2463)))</f>
        <v/>
      </c>
      <c r="L2463" s="30" t="str">
        <f aca="false">IF(F2463="","",K2463-B2463)</f>
        <v/>
      </c>
      <c r="M2463" s="30" t="str">
        <f aca="false">IF(F2463="","",L2463-J2463)</f>
        <v/>
      </c>
      <c r="N2463" s="32" t="str">
        <f aca="false">IF(F2463="","",IF(H2463&lt;&gt;"","Kapandı",IF('Vade Sapması'!$D$3&gt;G2463,"Açık · vadesi geçti","Açık · vadesi gelmedi")))</f>
        <v/>
      </c>
      <c r="O2463" s="30" t="str">
        <f aca="false">IF(F2463="","",IF(AND(H2463="",'Vade Sapması'!$D$3&gt;G2463),'Vade Sapması'!$D$3-G2463,0))</f>
        <v/>
      </c>
      <c r="P2463" s="33" t="str">
        <f aca="false">IF(F2463="","",F2463*J2463)</f>
        <v/>
      </c>
      <c r="Q2463" s="33" t="str">
        <f aca="false">IF(F2463="","",F2463*L2463)</f>
        <v/>
      </c>
      <c r="R2463" s="33" t="str">
        <f aca="false">IF(F2463="","",IF(H2463="",F2463,0))</f>
        <v/>
      </c>
      <c r="S2463" s="32" t="str">
        <f aca="false">IF(F2463="","",IF(N(O2463)=0,"",IF(O2463&lt;=30,"1-30",IF(O2463&lt;=60,"31-60",IF(O2463&lt;=90,"61-90","90+")))))</f>
        <v/>
      </c>
      <c r="T2463" s="32" t="str">
        <f aca="false">IF(F2463="","",IF(E2463="","Diğer",E2463))</f>
        <v/>
      </c>
      <c r="U2463" s="32" t="str">
        <f aca="false">IF(OR(F2463="",C2463=""),"",IF(COUNTIF($C$2:C2463,C2463)=1,MAX($U$1:U2462)+1,""))</f>
        <v/>
      </c>
    </row>
    <row r="2464" customFormat="false" ht="15" hidden="false" customHeight="false" outlineLevel="0" collapsed="false">
      <c r="A2464" s="34"/>
      <c r="B2464" s="9"/>
      <c r="C2464" s="34"/>
      <c r="D2464" s="34"/>
      <c r="E2464" s="34"/>
      <c r="F2464" s="35"/>
      <c r="G2464" s="9"/>
      <c r="H2464" s="9"/>
      <c r="I2464" s="34"/>
      <c r="J2464" s="30" t="str">
        <f aca="false">IF(F2464="","",G2464-B2464)</f>
        <v/>
      </c>
      <c r="K2464" s="31" t="str">
        <f aca="false">IF(F2464="","",IF(H2464&lt;&gt;"",H2464,MAX('Vade Sapması'!$D$3,G2464)))</f>
        <v/>
      </c>
      <c r="L2464" s="30" t="str">
        <f aca="false">IF(F2464="","",K2464-B2464)</f>
        <v/>
      </c>
      <c r="M2464" s="30" t="str">
        <f aca="false">IF(F2464="","",L2464-J2464)</f>
        <v/>
      </c>
      <c r="N2464" s="32" t="str">
        <f aca="false">IF(F2464="","",IF(H2464&lt;&gt;"","Kapandı",IF('Vade Sapması'!$D$3&gt;G2464,"Açık · vadesi geçti","Açık · vadesi gelmedi")))</f>
        <v/>
      </c>
      <c r="O2464" s="30" t="str">
        <f aca="false">IF(F2464="","",IF(AND(H2464="",'Vade Sapması'!$D$3&gt;G2464),'Vade Sapması'!$D$3-G2464,0))</f>
        <v/>
      </c>
      <c r="P2464" s="33" t="str">
        <f aca="false">IF(F2464="","",F2464*J2464)</f>
        <v/>
      </c>
      <c r="Q2464" s="33" t="str">
        <f aca="false">IF(F2464="","",F2464*L2464)</f>
        <v/>
      </c>
      <c r="R2464" s="33" t="str">
        <f aca="false">IF(F2464="","",IF(H2464="",F2464,0))</f>
        <v/>
      </c>
      <c r="S2464" s="32" t="str">
        <f aca="false">IF(F2464="","",IF(N(O2464)=0,"",IF(O2464&lt;=30,"1-30",IF(O2464&lt;=60,"31-60",IF(O2464&lt;=90,"61-90","90+")))))</f>
        <v/>
      </c>
      <c r="T2464" s="32" t="str">
        <f aca="false">IF(F2464="","",IF(E2464="","Diğer",E2464))</f>
        <v/>
      </c>
      <c r="U2464" s="32" t="str">
        <f aca="false">IF(OR(F2464="",C2464=""),"",IF(COUNTIF($C$2:C2464,C2464)=1,MAX($U$1:U2463)+1,""))</f>
        <v/>
      </c>
    </row>
    <row r="2465" customFormat="false" ht="15" hidden="false" customHeight="false" outlineLevel="0" collapsed="false">
      <c r="A2465" s="34"/>
      <c r="B2465" s="9"/>
      <c r="C2465" s="34"/>
      <c r="D2465" s="34"/>
      <c r="E2465" s="34"/>
      <c r="F2465" s="35"/>
      <c r="G2465" s="9"/>
      <c r="H2465" s="9"/>
      <c r="I2465" s="34"/>
      <c r="J2465" s="30" t="str">
        <f aca="false">IF(F2465="","",G2465-B2465)</f>
        <v/>
      </c>
      <c r="K2465" s="31" t="str">
        <f aca="false">IF(F2465="","",IF(H2465&lt;&gt;"",H2465,MAX('Vade Sapması'!$D$3,G2465)))</f>
        <v/>
      </c>
      <c r="L2465" s="30" t="str">
        <f aca="false">IF(F2465="","",K2465-B2465)</f>
        <v/>
      </c>
      <c r="M2465" s="30" t="str">
        <f aca="false">IF(F2465="","",L2465-J2465)</f>
        <v/>
      </c>
      <c r="N2465" s="32" t="str">
        <f aca="false">IF(F2465="","",IF(H2465&lt;&gt;"","Kapandı",IF('Vade Sapması'!$D$3&gt;G2465,"Açık · vadesi geçti","Açık · vadesi gelmedi")))</f>
        <v/>
      </c>
      <c r="O2465" s="30" t="str">
        <f aca="false">IF(F2465="","",IF(AND(H2465="",'Vade Sapması'!$D$3&gt;G2465),'Vade Sapması'!$D$3-G2465,0))</f>
        <v/>
      </c>
      <c r="P2465" s="33" t="str">
        <f aca="false">IF(F2465="","",F2465*J2465)</f>
        <v/>
      </c>
      <c r="Q2465" s="33" t="str">
        <f aca="false">IF(F2465="","",F2465*L2465)</f>
        <v/>
      </c>
      <c r="R2465" s="33" t="str">
        <f aca="false">IF(F2465="","",IF(H2465="",F2465,0))</f>
        <v/>
      </c>
      <c r="S2465" s="32" t="str">
        <f aca="false">IF(F2465="","",IF(N(O2465)=0,"",IF(O2465&lt;=30,"1-30",IF(O2465&lt;=60,"31-60",IF(O2465&lt;=90,"61-90","90+")))))</f>
        <v/>
      </c>
      <c r="T2465" s="32" t="str">
        <f aca="false">IF(F2465="","",IF(E2465="","Diğer",E2465))</f>
        <v/>
      </c>
      <c r="U2465" s="32" t="str">
        <f aca="false">IF(OR(F2465="",C2465=""),"",IF(COUNTIF($C$2:C2465,C2465)=1,MAX($U$1:U2464)+1,""))</f>
        <v/>
      </c>
    </row>
    <row r="2466" customFormat="false" ht="15" hidden="false" customHeight="false" outlineLevel="0" collapsed="false">
      <c r="A2466" s="34"/>
      <c r="B2466" s="9"/>
      <c r="C2466" s="34"/>
      <c r="D2466" s="34"/>
      <c r="E2466" s="34"/>
      <c r="F2466" s="35"/>
      <c r="G2466" s="9"/>
      <c r="H2466" s="9"/>
      <c r="I2466" s="34"/>
      <c r="J2466" s="30" t="str">
        <f aca="false">IF(F2466="","",G2466-B2466)</f>
        <v/>
      </c>
      <c r="K2466" s="31" t="str">
        <f aca="false">IF(F2466="","",IF(H2466&lt;&gt;"",H2466,MAX('Vade Sapması'!$D$3,G2466)))</f>
        <v/>
      </c>
      <c r="L2466" s="30" t="str">
        <f aca="false">IF(F2466="","",K2466-B2466)</f>
        <v/>
      </c>
      <c r="M2466" s="30" t="str">
        <f aca="false">IF(F2466="","",L2466-J2466)</f>
        <v/>
      </c>
      <c r="N2466" s="32" t="str">
        <f aca="false">IF(F2466="","",IF(H2466&lt;&gt;"","Kapandı",IF('Vade Sapması'!$D$3&gt;G2466,"Açık · vadesi geçti","Açık · vadesi gelmedi")))</f>
        <v/>
      </c>
      <c r="O2466" s="30" t="str">
        <f aca="false">IF(F2466="","",IF(AND(H2466="",'Vade Sapması'!$D$3&gt;G2466),'Vade Sapması'!$D$3-G2466,0))</f>
        <v/>
      </c>
      <c r="P2466" s="33" t="str">
        <f aca="false">IF(F2466="","",F2466*J2466)</f>
        <v/>
      </c>
      <c r="Q2466" s="33" t="str">
        <f aca="false">IF(F2466="","",F2466*L2466)</f>
        <v/>
      </c>
      <c r="R2466" s="33" t="str">
        <f aca="false">IF(F2466="","",IF(H2466="",F2466,0))</f>
        <v/>
      </c>
      <c r="S2466" s="32" t="str">
        <f aca="false">IF(F2466="","",IF(N(O2466)=0,"",IF(O2466&lt;=30,"1-30",IF(O2466&lt;=60,"31-60",IF(O2466&lt;=90,"61-90","90+")))))</f>
        <v/>
      </c>
      <c r="T2466" s="32" t="str">
        <f aca="false">IF(F2466="","",IF(E2466="","Diğer",E2466))</f>
        <v/>
      </c>
      <c r="U2466" s="32" t="str">
        <f aca="false">IF(OR(F2466="",C2466=""),"",IF(COUNTIF($C$2:C2466,C2466)=1,MAX($U$1:U2465)+1,""))</f>
        <v/>
      </c>
    </row>
    <row r="2467" customFormat="false" ht="15" hidden="false" customHeight="false" outlineLevel="0" collapsed="false">
      <c r="A2467" s="34"/>
      <c r="B2467" s="9"/>
      <c r="C2467" s="34"/>
      <c r="D2467" s="34"/>
      <c r="E2467" s="34"/>
      <c r="F2467" s="35"/>
      <c r="G2467" s="9"/>
      <c r="H2467" s="9"/>
      <c r="I2467" s="34"/>
      <c r="J2467" s="30" t="str">
        <f aca="false">IF(F2467="","",G2467-B2467)</f>
        <v/>
      </c>
      <c r="K2467" s="31" t="str">
        <f aca="false">IF(F2467="","",IF(H2467&lt;&gt;"",H2467,MAX('Vade Sapması'!$D$3,G2467)))</f>
        <v/>
      </c>
      <c r="L2467" s="30" t="str">
        <f aca="false">IF(F2467="","",K2467-B2467)</f>
        <v/>
      </c>
      <c r="M2467" s="30" t="str">
        <f aca="false">IF(F2467="","",L2467-J2467)</f>
        <v/>
      </c>
      <c r="N2467" s="32" t="str">
        <f aca="false">IF(F2467="","",IF(H2467&lt;&gt;"","Kapandı",IF('Vade Sapması'!$D$3&gt;G2467,"Açık · vadesi geçti","Açık · vadesi gelmedi")))</f>
        <v/>
      </c>
      <c r="O2467" s="30" t="str">
        <f aca="false">IF(F2467="","",IF(AND(H2467="",'Vade Sapması'!$D$3&gt;G2467),'Vade Sapması'!$D$3-G2467,0))</f>
        <v/>
      </c>
      <c r="P2467" s="33" t="str">
        <f aca="false">IF(F2467="","",F2467*J2467)</f>
        <v/>
      </c>
      <c r="Q2467" s="33" t="str">
        <f aca="false">IF(F2467="","",F2467*L2467)</f>
        <v/>
      </c>
      <c r="R2467" s="33" t="str">
        <f aca="false">IF(F2467="","",IF(H2467="",F2467,0))</f>
        <v/>
      </c>
      <c r="S2467" s="32" t="str">
        <f aca="false">IF(F2467="","",IF(N(O2467)=0,"",IF(O2467&lt;=30,"1-30",IF(O2467&lt;=60,"31-60",IF(O2467&lt;=90,"61-90","90+")))))</f>
        <v/>
      </c>
      <c r="T2467" s="32" t="str">
        <f aca="false">IF(F2467="","",IF(E2467="","Diğer",E2467))</f>
        <v/>
      </c>
      <c r="U2467" s="32" t="str">
        <f aca="false">IF(OR(F2467="",C2467=""),"",IF(COUNTIF($C$2:C2467,C2467)=1,MAX($U$1:U2466)+1,""))</f>
        <v/>
      </c>
    </row>
    <row r="2468" customFormat="false" ht="15" hidden="false" customHeight="false" outlineLevel="0" collapsed="false">
      <c r="A2468" s="34"/>
      <c r="B2468" s="9"/>
      <c r="C2468" s="34"/>
      <c r="D2468" s="34"/>
      <c r="E2468" s="34"/>
      <c r="F2468" s="35"/>
      <c r="G2468" s="9"/>
      <c r="H2468" s="9"/>
      <c r="I2468" s="34"/>
      <c r="J2468" s="30" t="str">
        <f aca="false">IF(F2468="","",G2468-B2468)</f>
        <v/>
      </c>
      <c r="K2468" s="31" t="str">
        <f aca="false">IF(F2468="","",IF(H2468&lt;&gt;"",H2468,MAX('Vade Sapması'!$D$3,G2468)))</f>
        <v/>
      </c>
      <c r="L2468" s="30" t="str">
        <f aca="false">IF(F2468="","",K2468-B2468)</f>
        <v/>
      </c>
      <c r="M2468" s="30" t="str">
        <f aca="false">IF(F2468="","",L2468-J2468)</f>
        <v/>
      </c>
      <c r="N2468" s="32" t="str">
        <f aca="false">IF(F2468="","",IF(H2468&lt;&gt;"","Kapandı",IF('Vade Sapması'!$D$3&gt;G2468,"Açık · vadesi geçti","Açık · vadesi gelmedi")))</f>
        <v/>
      </c>
      <c r="O2468" s="30" t="str">
        <f aca="false">IF(F2468="","",IF(AND(H2468="",'Vade Sapması'!$D$3&gt;G2468),'Vade Sapması'!$D$3-G2468,0))</f>
        <v/>
      </c>
      <c r="P2468" s="33" t="str">
        <f aca="false">IF(F2468="","",F2468*J2468)</f>
        <v/>
      </c>
      <c r="Q2468" s="33" t="str">
        <f aca="false">IF(F2468="","",F2468*L2468)</f>
        <v/>
      </c>
      <c r="R2468" s="33" t="str">
        <f aca="false">IF(F2468="","",IF(H2468="",F2468,0))</f>
        <v/>
      </c>
      <c r="S2468" s="32" t="str">
        <f aca="false">IF(F2468="","",IF(N(O2468)=0,"",IF(O2468&lt;=30,"1-30",IF(O2468&lt;=60,"31-60",IF(O2468&lt;=90,"61-90","90+")))))</f>
        <v/>
      </c>
      <c r="T2468" s="32" t="str">
        <f aca="false">IF(F2468="","",IF(E2468="","Diğer",E2468))</f>
        <v/>
      </c>
      <c r="U2468" s="32" t="str">
        <f aca="false">IF(OR(F2468="",C2468=""),"",IF(COUNTIF($C$2:C2468,C2468)=1,MAX($U$1:U2467)+1,""))</f>
        <v/>
      </c>
    </row>
    <row r="2469" customFormat="false" ht="15" hidden="false" customHeight="false" outlineLevel="0" collapsed="false">
      <c r="A2469" s="34"/>
      <c r="B2469" s="9"/>
      <c r="C2469" s="34"/>
      <c r="D2469" s="34"/>
      <c r="E2469" s="34"/>
      <c r="F2469" s="35"/>
      <c r="G2469" s="9"/>
      <c r="H2469" s="9"/>
      <c r="I2469" s="34"/>
      <c r="J2469" s="30" t="str">
        <f aca="false">IF(F2469="","",G2469-B2469)</f>
        <v/>
      </c>
      <c r="K2469" s="31" t="str">
        <f aca="false">IF(F2469="","",IF(H2469&lt;&gt;"",H2469,MAX('Vade Sapması'!$D$3,G2469)))</f>
        <v/>
      </c>
      <c r="L2469" s="30" t="str">
        <f aca="false">IF(F2469="","",K2469-B2469)</f>
        <v/>
      </c>
      <c r="M2469" s="30" t="str">
        <f aca="false">IF(F2469="","",L2469-J2469)</f>
        <v/>
      </c>
      <c r="N2469" s="32" t="str">
        <f aca="false">IF(F2469="","",IF(H2469&lt;&gt;"","Kapandı",IF('Vade Sapması'!$D$3&gt;G2469,"Açık · vadesi geçti","Açık · vadesi gelmedi")))</f>
        <v/>
      </c>
      <c r="O2469" s="30" t="str">
        <f aca="false">IF(F2469="","",IF(AND(H2469="",'Vade Sapması'!$D$3&gt;G2469),'Vade Sapması'!$D$3-G2469,0))</f>
        <v/>
      </c>
      <c r="P2469" s="33" t="str">
        <f aca="false">IF(F2469="","",F2469*J2469)</f>
        <v/>
      </c>
      <c r="Q2469" s="33" t="str">
        <f aca="false">IF(F2469="","",F2469*L2469)</f>
        <v/>
      </c>
      <c r="R2469" s="33" t="str">
        <f aca="false">IF(F2469="","",IF(H2469="",F2469,0))</f>
        <v/>
      </c>
      <c r="S2469" s="32" t="str">
        <f aca="false">IF(F2469="","",IF(N(O2469)=0,"",IF(O2469&lt;=30,"1-30",IF(O2469&lt;=60,"31-60",IF(O2469&lt;=90,"61-90","90+")))))</f>
        <v/>
      </c>
      <c r="T2469" s="32" t="str">
        <f aca="false">IF(F2469="","",IF(E2469="","Diğer",E2469))</f>
        <v/>
      </c>
      <c r="U2469" s="32" t="str">
        <f aca="false">IF(OR(F2469="",C2469=""),"",IF(COUNTIF($C$2:C2469,C2469)=1,MAX($U$1:U2468)+1,""))</f>
        <v/>
      </c>
    </row>
    <row r="2470" customFormat="false" ht="15" hidden="false" customHeight="false" outlineLevel="0" collapsed="false">
      <c r="A2470" s="34"/>
      <c r="B2470" s="9"/>
      <c r="C2470" s="34"/>
      <c r="D2470" s="34"/>
      <c r="E2470" s="34"/>
      <c r="F2470" s="35"/>
      <c r="G2470" s="9"/>
      <c r="H2470" s="9"/>
      <c r="I2470" s="34"/>
      <c r="J2470" s="30" t="str">
        <f aca="false">IF(F2470="","",G2470-B2470)</f>
        <v/>
      </c>
      <c r="K2470" s="31" t="str">
        <f aca="false">IF(F2470="","",IF(H2470&lt;&gt;"",H2470,MAX('Vade Sapması'!$D$3,G2470)))</f>
        <v/>
      </c>
      <c r="L2470" s="30" t="str">
        <f aca="false">IF(F2470="","",K2470-B2470)</f>
        <v/>
      </c>
      <c r="M2470" s="30" t="str">
        <f aca="false">IF(F2470="","",L2470-J2470)</f>
        <v/>
      </c>
      <c r="N2470" s="32" t="str">
        <f aca="false">IF(F2470="","",IF(H2470&lt;&gt;"","Kapandı",IF('Vade Sapması'!$D$3&gt;G2470,"Açık · vadesi geçti","Açık · vadesi gelmedi")))</f>
        <v/>
      </c>
      <c r="O2470" s="30" t="str">
        <f aca="false">IF(F2470="","",IF(AND(H2470="",'Vade Sapması'!$D$3&gt;G2470),'Vade Sapması'!$D$3-G2470,0))</f>
        <v/>
      </c>
      <c r="P2470" s="33" t="str">
        <f aca="false">IF(F2470="","",F2470*J2470)</f>
        <v/>
      </c>
      <c r="Q2470" s="33" t="str">
        <f aca="false">IF(F2470="","",F2470*L2470)</f>
        <v/>
      </c>
      <c r="R2470" s="33" t="str">
        <f aca="false">IF(F2470="","",IF(H2470="",F2470,0))</f>
        <v/>
      </c>
      <c r="S2470" s="32" t="str">
        <f aca="false">IF(F2470="","",IF(N(O2470)=0,"",IF(O2470&lt;=30,"1-30",IF(O2470&lt;=60,"31-60",IF(O2470&lt;=90,"61-90","90+")))))</f>
        <v/>
      </c>
      <c r="T2470" s="32" t="str">
        <f aca="false">IF(F2470="","",IF(E2470="","Diğer",E2470))</f>
        <v/>
      </c>
      <c r="U2470" s="32" t="str">
        <f aca="false">IF(OR(F2470="",C2470=""),"",IF(COUNTIF($C$2:C2470,C2470)=1,MAX($U$1:U2469)+1,""))</f>
        <v/>
      </c>
    </row>
    <row r="2471" customFormat="false" ht="15" hidden="false" customHeight="false" outlineLevel="0" collapsed="false">
      <c r="A2471" s="34"/>
      <c r="B2471" s="9"/>
      <c r="C2471" s="34"/>
      <c r="D2471" s="34"/>
      <c r="E2471" s="34"/>
      <c r="F2471" s="35"/>
      <c r="G2471" s="9"/>
      <c r="H2471" s="9"/>
      <c r="I2471" s="34"/>
      <c r="J2471" s="30" t="str">
        <f aca="false">IF(F2471="","",G2471-B2471)</f>
        <v/>
      </c>
      <c r="K2471" s="31" t="str">
        <f aca="false">IF(F2471="","",IF(H2471&lt;&gt;"",H2471,MAX('Vade Sapması'!$D$3,G2471)))</f>
        <v/>
      </c>
      <c r="L2471" s="30" t="str">
        <f aca="false">IF(F2471="","",K2471-B2471)</f>
        <v/>
      </c>
      <c r="M2471" s="30" t="str">
        <f aca="false">IF(F2471="","",L2471-J2471)</f>
        <v/>
      </c>
      <c r="N2471" s="32" t="str">
        <f aca="false">IF(F2471="","",IF(H2471&lt;&gt;"","Kapandı",IF('Vade Sapması'!$D$3&gt;G2471,"Açık · vadesi geçti","Açık · vadesi gelmedi")))</f>
        <v/>
      </c>
      <c r="O2471" s="30" t="str">
        <f aca="false">IF(F2471="","",IF(AND(H2471="",'Vade Sapması'!$D$3&gt;G2471),'Vade Sapması'!$D$3-G2471,0))</f>
        <v/>
      </c>
      <c r="P2471" s="33" t="str">
        <f aca="false">IF(F2471="","",F2471*J2471)</f>
        <v/>
      </c>
      <c r="Q2471" s="33" t="str">
        <f aca="false">IF(F2471="","",F2471*L2471)</f>
        <v/>
      </c>
      <c r="R2471" s="33" t="str">
        <f aca="false">IF(F2471="","",IF(H2471="",F2471,0))</f>
        <v/>
      </c>
      <c r="S2471" s="32" t="str">
        <f aca="false">IF(F2471="","",IF(N(O2471)=0,"",IF(O2471&lt;=30,"1-30",IF(O2471&lt;=60,"31-60",IF(O2471&lt;=90,"61-90","90+")))))</f>
        <v/>
      </c>
      <c r="T2471" s="32" t="str">
        <f aca="false">IF(F2471="","",IF(E2471="","Diğer",E2471))</f>
        <v/>
      </c>
      <c r="U2471" s="32" t="str">
        <f aca="false">IF(OR(F2471="",C2471=""),"",IF(COUNTIF($C$2:C2471,C2471)=1,MAX($U$1:U2470)+1,""))</f>
        <v/>
      </c>
    </row>
    <row r="2472" customFormat="false" ht="15" hidden="false" customHeight="false" outlineLevel="0" collapsed="false">
      <c r="A2472" s="34"/>
      <c r="B2472" s="9"/>
      <c r="C2472" s="34"/>
      <c r="D2472" s="34"/>
      <c r="E2472" s="34"/>
      <c r="F2472" s="35"/>
      <c r="G2472" s="9"/>
      <c r="H2472" s="9"/>
      <c r="I2472" s="34"/>
      <c r="J2472" s="30" t="str">
        <f aca="false">IF(F2472="","",G2472-B2472)</f>
        <v/>
      </c>
      <c r="K2472" s="31" t="str">
        <f aca="false">IF(F2472="","",IF(H2472&lt;&gt;"",H2472,MAX('Vade Sapması'!$D$3,G2472)))</f>
        <v/>
      </c>
      <c r="L2472" s="30" t="str">
        <f aca="false">IF(F2472="","",K2472-B2472)</f>
        <v/>
      </c>
      <c r="M2472" s="30" t="str">
        <f aca="false">IF(F2472="","",L2472-J2472)</f>
        <v/>
      </c>
      <c r="N2472" s="32" t="str">
        <f aca="false">IF(F2472="","",IF(H2472&lt;&gt;"","Kapandı",IF('Vade Sapması'!$D$3&gt;G2472,"Açık · vadesi geçti","Açık · vadesi gelmedi")))</f>
        <v/>
      </c>
      <c r="O2472" s="30" t="str">
        <f aca="false">IF(F2472="","",IF(AND(H2472="",'Vade Sapması'!$D$3&gt;G2472),'Vade Sapması'!$D$3-G2472,0))</f>
        <v/>
      </c>
      <c r="P2472" s="33" t="str">
        <f aca="false">IF(F2472="","",F2472*J2472)</f>
        <v/>
      </c>
      <c r="Q2472" s="33" t="str">
        <f aca="false">IF(F2472="","",F2472*L2472)</f>
        <v/>
      </c>
      <c r="R2472" s="33" t="str">
        <f aca="false">IF(F2472="","",IF(H2472="",F2472,0))</f>
        <v/>
      </c>
      <c r="S2472" s="32" t="str">
        <f aca="false">IF(F2472="","",IF(N(O2472)=0,"",IF(O2472&lt;=30,"1-30",IF(O2472&lt;=60,"31-60",IF(O2472&lt;=90,"61-90","90+")))))</f>
        <v/>
      </c>
      <c r="T2472" s="32" t="str">
        <f aca="false">IF(F2472="","",IF(E2472="","Diğer",E2472))</f>
        <v/>
      </c>
      <c r="U2472" s="32" t="str">
        <f aca="false">IF(OR(F2472="",C2472=""),"",IF(COUNTIF($C$2:C2472,C2472)=1,MAX($U$1:U2471)+1,""))</f>
        <v/>
      </c>
    </row>
    <row r="2473" customFormat="false" ht="15" hidden="false" customHeight="false" outlineLevel="0" collapsed="false">
      <c r="A2473" s="34"/>
      <c r="B2473" s="9"/>
      <c r="C2473" s="34"/>
      <c r="D2473" s="34"/>
      <c r="E2473" s="34"/>
      <c r="F2473" s="35"/>
      <c r="G2473" s="9"/>
      <c r="H2473" s="9"/>
      <c r="I2473" s="34"/>
      <c r="J2473" s="30" t="str">
        <f aca="false">IF(F2473="","",G2473-B2473)</f>
        <v/>
      </c>
      <c r="K2473" s="31" t="str">
        <f aca="false">IF(F2473="","",IF(H2473&lt;&gt;"",H2473,MAX('Vade Sapması'!$D$3,G2473)))</f>
        <v/>
      </c>
      <c r="L2473" s="30" t="str">
        <f aca="false">IF(F2473="","",K2473-B2473)</f>
        <v/>
      </c>
      <c r="M2473" s="30" t="str">
        <f aca="false">IF(F2473="","",L2473-J2473)</f>
        <v/>
      </c>
      <c r="N2473" s="32" t="str">
        <f aca="false">IF(F2473="","",IF(H2473&lt;&gt;"","Kapandı",IF('Vade Sapması'!$D$3&gt;G2473,"Açık · vadesi geçti","Açık · vadesi gelmedi")))</f>
        <v/>
      </c>
      <c r="O2473" s="30" t="str">
        <f aca="false">IF(F2473="","",IF(AND(H2473="",'Vade Sapması'!$D$3&gt;G2473),'Vade Sapması'!$D$3-G2473,0))</f>
        <v/>
      </c>
      <c r="P2473" s="33" t="str">
        <f aca="false">IF(F2473="","",F2473*J2473)</f>
        <v/>
      </c>
      <c r="Q2473" s="33" t="str">
        <f aca="false">IF(F2473="","",F2473*L2473)</f>
        <v/>
      </c>
      <c r="R2473" s="33" t="str">
        <f aca="false">IF(F2473="","",IF(H2473="",F2473,0))</f>
        <v/>
      </c>
      <c r="S2473" s="32" t="str">
        <f aca="false">IF(F2473="","",IF(N(O2473)=0,"",IF(O2473&lt;=30,"1-30",IF(O2473&lt;=60,"31-60",IF(O2473&lt;=90,"61-90","90+")))))</f>
        <v/>
      </c>
      <c r="T2473" s="32" t="str">
        <f aca="false">IF(F2473="","",IF(E2473="","Diğer",E2473))</f>
        <v/>
      </c>
      <c r="U2473" s="32" t="str">
        <f aca="false">IF(OR(F2473="",C2473=""),"",IF(COUNTIF($C$2:C2473,C2473)=1,MAX($U$1:U2472)+1,""))</f>
        <v/>
      </c>
    </row>
    <row r="2474" customFormat="false" ht="15" hidden="false" customHeight="false" outlineLevel="0" collapsed="false">
      <c r="A2474" s="34"/>
      <c r="B2474" s="9"/>
      <c r="C2474" s="34"/>
      <c r="D2474" s="34"/>
      <c r="E2474" s="34"/>
      <c r="F2474" s="35"/>
      <c r="G2474" s="9"/>
      <c r="H2474" s="9"/>
      <c r="I2474" s="34"/>
      <c r="J2474" s="30" t="str">
        <f aca="false">IF(F2474="","",G2474-B2474)</f>
        <v/>
      </c>
      <c r="K2474" s="31" t="str">
        <f aca="false">IF(F2474="","",IF(H2474&lt;&gt;"",H2474,MAX('Vade Sapması'!$D$3,G2474)))</f>
        <v/>
      </c>
      <c r="L2474" s="30" t="str">
        <f aca="false">IF(F2474="","",K2474-B2474)</f>
        <v/>
      </c>
      <c r="M2474" s="30" t="str">
        <f aca="false">IF(F2474="","",L2474-J2474)</f>
        <v/>
      </c>
      <c r="N2474" s="32" t="str">
        <f aca="false">IF(F2474="","",IF(H2474&lt;&gt;"","Kapandı",IF('Vade Sapması'!$D$3&gt;G2474,"Açık · vadesi geçti","Açık · vadesi gelmedi")))</f>
        <v/>
      </c>
      <c r="O2474" s="30" t="str">
        <f aca="false">IF(F2474="","",IF(AND(H2474="",'Vade Sapması'!$D$3&gt;G2474),'Vade Sapması'!$D$3-G2474,0))</f>
        <v/>
      </c>
      <c r="P2474" s="33" t="str">
        <f aca="false">IF(F2474="","",F2474*J2474)</f>
        <v/>
      </c>
      <c r="Q2474" s="33" t="str">
        <f aca="false">IF(F2474="","",F2474*L2474)</f>
        <v/>
      </c>
      <c r="R2474" s="33" t="str">
        <f aca="false">IF(F2474="","",IF(H2474="",F2474,0))</f>
        <v/>
      </c>
      <c r="S2474" s="32" t="str">
        <f aca="false">IF(F2474="","",IF(N(O2474)=0,"",IF(O2474&lt;=30,"1-30",IF(O2474&lt;=60,"31-60",IF(O2474&lt;=90,"61-90","90+")))))</f>
        <v/>
      </c>
      <c r="T2474" s="32" t="str">
        <f aca="false">IF(F2474="","",IF(E2474="","Diğer",E2474))</f>
        <v/>
      </c>
      <c r="U2474" s="32" t="str">
        <f aca="false">IF(OR(F2474="",C2474=""),"",IF(COUNTIF($C$2:C2474,C2474)=1,MAX($U$1:U2473)+1,""))</f>
        <v/>
      </c>
    </row>
    <row r="2475" customFormat="false" ht="15" hidden="false" customHeight="false" outlineLevel="0" collapsed="false">
      <c r="A2475" s="34"/>
      <c r="B2475" s="9"/>
      <c r="C2475" s="34"/>
      <c r="D2475" s="34"/>
      <c r="E2475" s="34"/>
      <c r="F2475" s="35"/>
      <c r="G2475" s="9"/>
      <c r="H2475" s="9"/>
      <c r="I2475" s="34"/>
      <c r="J2475" s="30" t="str">
        <f aca="false">IF(F2475="","",G2475-B2475)</f>
        <v/>
      </c>
      <c r="K2475" s="31" t="str">
        <f aca="false">IF(F2475="","",IF(H2475&lt;&gt;"",H2475,MAX('Vade Sapması'!$D$3,G2475)))</f>
        <v/>
      </c>
      <c r="L2475" s="30" t="str">
        <f aca="false">IF(F2475="","",K2475-B2475)</f>
        <v/>
      </c>
      <c r="M2475" s="30" t="str">
        <f aca="false">IF(F2475="","",L2475-J2475)</f>
        <v/>
      </c>
      <c r="N2475" s="32" t="str">
        <f aca="false">IF(F2475="","",IF(H2475&lt;&gt;"","Kapandı",IF('Vade Sapması'!$D$3&gt;G2475,"Açık · vadesi geçti","Açık · vadesi gelmedi")))</f>
        <v/>
      </c>
      <c r="O2475" s="30" t="str">
        <f aca="false">IF(F2475="","",IF(AND(H2475="",'Vade Sapması'!$D$3&gt;G2475),'Vade Sapması'!$D$3-G2475,0))</f>
        <v/>
      </c>
      <c r="P2475" s="33" t="str">
        <f aca="false">IF(F2475="","",F2475*J2475)</f>
        <v/>
      </c>
      <c r="Q2475" s="33" t="str">
        <f aca="false">IF(F2475="","",F2475*L2475)</f>
        <v/>
      </c>
      <c r="R2475" s="33" t="str">
        <f aca="false">IF(F2475="","",IF(H2475="",F2475,0))</f>
        <v/>
      </c>
      <c r="S2475" s="32" t="str">
        <f aca="false">IF(F2475="","",IF(N(O2475)=0,"",IF(O2475&lt;=30,"1-30",IF(O2475&lt;=60,"31-60",IF(O2475&lt;=90,"61-90","90+")))))</f>
        <v/>
      </c>
      <c r="T2475" s="32" t="str">
        <f aca="false">IF(F2475="","",IF(E2475="","Diğer",E2475))</f>
        <v/>
      </c>
      <c r="U2475" s="32" t="str">
        <f aca="false">IF(OR(F2475="",C2475=""),"",IF(COUNTIF($C$2:C2475,C2475)=1,MAX($U$1:U2474)+1,""))</f>
        <v/>
      </c>
    </row>
    <row r="2476" customFormat="false" ht="15" hidden="false" customHeight="false" outlineLevel="0" collapsed="false">
      <c r="A2476" s="34"/>
      <c r="B2476" s="9"/>
      <c r="C2476" s="34"/>
      <c r="D2476" s="34"/>
      <c r="E2476" s="34"/>
      <c r="F2476" s="35"/>
      <c r="G2476" s="9"/>
      <c r="H2476" s="9"/>
      <c r="I2476" s="34"/>
      <c r="J2476" s="30" t="str">
        <f aca="false">IF(F2476="","",G2476-B2476)</f>
        <v/>
      </c>
      <c r="K2476" s="31" t="str">
        <f aca="false">IF(F2476="","",IF(H2476&lt;&gt;"",H2476,MAX('Vade Sapması'!$D$3,G2476)))</f>
        <v/>
      </c>
      <c r="L2476" s="30" t="str">
        <f aca="false">IF(F2476="","",K2476-B2476)</f>
        <v/>
      </c>
      <c r="M2476" s="30" t="str">
        <f aca="false">IF(F2476="","",L2476-J2476)</f>
        <v/>
      </c>
      <c r="N2476" s="32" t="str">
        <f aca="false">IF(F2476="","",IF(H2476&lt;&gt;"","Kapandı",IF('Vade Sapması'!$D$3&gt;G2476,"Açık · vadesi geçti","Açık · vadesi gelmedi")))</f>
        <v/>
      </c>
      <c r="O2476" s="30" t="str">
        <f aca="false">IF(F2476="","",IF(AND(H2476="",'Vade Sapması'!$D$3&gt;G2476),'Vade Sapması'!$D$3-G2476,0))</f>
        <v/>
      </c>
      <c r="P2476" s="33" t="str">
        <f aca="false">IF(F2476="","",F2476*J2476)</f>
        <v/>
      </c>
      <c r="Q2476" s="33" t="str">
        <f aca="false">IF(F2476="","",F2476*L2476)</f>
        <v/>
      </c>
      <c r="R2476" s="33" t="str">
        <f aca="false">IF(F2476="","",IF(H2476="",F2476,0))</f>
        <v/>
      </c>
      <c r="S2476" s="32" t="str">
        <f aca="false">IF(F2476="","",IF(N(O2476)=0,"",IF(O2476&lt;=30,"1-30",IF(O2476&lt;=60,"31-60",IF(O2476&lt;=90,"61-90","90+")))))</f>
        <v/>
      </c>
      <c r="T2476" s="32" t="str">
        <f aca="false">IF(F2476="","",IF(E2476="","Diğer",E2476))</f>
        <v/>
      </c>
      <c r="U2476" s="32" t="str">
        <f aca="false">IF(OR(F2476="",C2476=""),"",IF(COUNTIF($C$2:C2476,C2476)=1,MAX($U$1:U2475)+1,""))</f>
        <v/>
      </c>
    </row>
    <row r="2477" customFormat="false" ht="15" hidden="false" customHeight="false" outlineLevel="0" collapsed="false">
      <c r="A2477" s="34"/>
      <c r="B2477" s="9"/>
      <c r="C2477" s="34"/>
      <c r="D2477" s="34"/>
      <c r="E2477" s="34"/>
      <c r="F2477" s="35"/>
      <c r="G2477" s="9"/>
      <c r="H2477" s="9"/>
      <c r="I2477" s="34"/>
      <c r="J2477" s="30" t="str">
        <f aca="false">IF(F2477="","",G2477-B2477)</f>
        <v/>
      </c>
      <c r="K2477" s="31" t="str">
        <f aca="false">IF(F2477="","",IF(H2477&lt;&gt;"",H2477,MAX('Vade Sapması'!$D$3,G2477)))</f>
        <v/>
      </c>
      <c r="L2477" s="30" t="str">
        <f aca="false">IF(F2477="","",K2477-B2477)</f>
        <v/>
      </c>
      <c r="M2477" s="30" t="str">
        <f aca="false">IF(F2477="","",L2477-J2477)</f>
        <v/>
      </c>
      <c r="N2477" s="32" t="str">
        <f aca="false">IF(F2477="","",IF(H2477&lt;&gt;"","Kapandı",IF('Vade Sapması'!$D$3&gt;G2477,"Açık · vadesi geçti","Açık · vadesi gelmedi")))</f>
        <v/>
      </c>
      <c r="O2477" s="30" t="str">
        <f aca="false">IF(F2477="","",IF(AND(H2477="",'Vade Sapması'!$D$3&gt;G2477),'Vade Sapması'!$D$3-G2477,0))</f>
        <v/>
      </c>
      <c r="P2477" s="33" t="str">
        <f aca="false">IF(F2477="","",F2477*J2477)</f>
        <v/>
      </c>
      <c r="Q2477" s="33" t="str">
        <f aca="false">IF(F2477="","",F2477*L2477)</f>
        <v/>
      </c>
      <c r="R2477" s="33" t="str">
        <f aca="false">IF(F2477="","",IF(H2477="",F2477,0))</f>
        <v/>
      </c>
      <c r="S2477" s="32" t="str">
        <f aca="false">IF(F2477="","",IF(N(O2477)=0,"",IF(O2477&lt;=30,"1-30",IF(O2477&lt;=60,"31-60",IF(O2477&lt;=90,"61-90","90+")))))</f>
        <v/>
      </c>
      <c r="T2477" s="32" t="str">
        <f aca="false">IF(F2477="","",IF(E2477="","Diğer",E2477))</f>
        <v/>
      </c>
      <c r="U2477" s="32" t="str">
        <f aca="false">IF(OR(F2477="",C2477=""),"",IF(COUNTIF($C$2:C2477,C2477)=1,MAX($U$1:U2476)+1,""))</f>
        <v/>
      </c>
    </row>
    <row r="2478" customFormat="false" ht="15" hidden="false" customHeight="false" outlineLevel="0" collapsed="false">
      <c r="A2478" s="34"/>
      <c r="B2478" s="9"/>
      <c r="C2478" s="34"/>
      <c r="D2478" s="34"/>
      <c r="E2478" s="34"/>
      <c r="F2478" s="35"/>
      <c r="G2478" s="9"/>
      <c r="H2478" s="9"/>
      <c r="I2478" s="34"/>
      <c r="J2478" s="30" t="str">
        <f aca="false">IF(F2478="","",G2478-B2478)</f>
        <v/>
      </c>
      <c r="K2478" s="31" t="str">
        <f aca="false">IF(F2478="","",IF(H2478&lt;&gt;"",H2478,MAX('Vade Sapması'!$D$3,G2478)))</f>
        <v/>
      </c>
      <c r="L2478" s="30" t="str">
        <f aca="false">IF(F2478="","",K2478-B2478)</f>
        <v/>
      </c>
      <c r="M2478" s="30" t="str">
        <f aca="false">IF(F2478="","",L2478-J2478)</f>
        <v/>
      </c>
      <c r="N2478" s="32" t="str">
        <f aca="false">IF(F2478="","",IF(H2478&lt;&gt;"","Kapandı",IF('Vade Sapması'!$D$3&gt;G2478,"Açık · vadesi geçti","Açık · vadesi gelmedi")))</f>
        <v/>
      </c>
      <c r="O2478" s="30" t="str">
        <f aca="false">IF(F2478="","",IF(AND(H2478="",'Vade Sapması'!$D$3&gt;G2478),'Vade Sapması'!$D$3-G2478,0))</f>
        <v/>
      </c>
      <c r="P2478" s="33" t="str">
        <f aca="false">IF(F2478="","",F2478*J2478)</f>
        <v/>
      </c>
      <c r="Q2478" s="33" t="str">
        <f aca="false">IF(F2478="","",F2478*L2478)</f>
        <v/>
      </c>
      <c r="R2478" s="33" t="str">
        <f aca="false">IF(F2478="","",IF(H2478="",F2478,0))</f>
        <v/>
      </c>
      <c r="S2478" s="32" t="str">
        <f aca="false">IF(F2478="","",IF(N(O2478)=0,"",IF(O2478&lt;=30,"1-30",IF(O2478&lt;=60,"31-60",IF(O2478&lt;=90,"61-90","90+")))))</f>
        <v/>
      </c>
      <c r="T2478" s="32" t="str">
        <f aca="false">IF(F2478="","",IF(E2478="","Diğer",E2478))</f>
        <v/>
      </c>
      <c r="U2478" s="32" t="str">
        <f aca="false">IF(OR(F2478="",C2478=""),"",IF(COUNTIF($C$2:C2478,C2478)=1,MAX($U$1:U2477)+1,""))</f>
        <v/>
      </c>
    </row>
    <row r="2479" customFormat="false" ht="15" hidden="false" customHeight="false" outlineLevel="0" collapsed="false">
      <c r="A2479" s="34"/>
      <c r="B2479" s="9"/>
      <c r="C2479" s="34"/>
      <c r="D2479" s="34"/>
      <c r="E2479" s="34"/>
      <c r="F2479" s="35"/>
      <c r="G2479" s="9"/>
      <c r="H2479" s="9"/>
      <c r="I2479" s="34"/>
      <c r="J2479" s="30" t="str">
        <f aca="false">IF(F2479="","",G2479-B2479)</f>
        <v/>
      </c>
      <c r="K2479" s="31" t="str">
        <f aca="false">IF(F2479="","",IF(H2479&lt;&gt;"",H2479,MAX('Vade Sapması'!$D$3,G2479)))</f>
        <v/>
      </c>
      <c r="L2479" s="30" t="str">
        <f aca="false">IF(F2479="","",K2479-B2479)</f>
        <v/>
      </c>
      <c r="M2479" s="30" t="str">
        <f aca="false">IF(F2479="","",L2479-J2479)</f>
        <v/>
      </c>
      <c r="N2479" s="32" t="str">
        <f aca="false">IF(F2479="","",IF(H2479&lt;&gt;"","Kapandı",IF('Vade Sapması'!$D$3&gt;G2479,"Açık · vadesi geçti","Açık · vadesi gelmedi")))</f>
        <v/>
      </c>
      <c r="O2479" s="30" t="str">
        <f aca="false">IF(F2479="","",IF(AND(H2479="",'Vade Sapması'!$D$3&gt;G2479),'Vade Sapması'!$D$3-G2479,0))</f>
        <v/>
      </c>
      <c r="P2479" s="33" t="str">
        <f aca="false">IF(F2479="","",F2479*J2479)</f>
        <v/>
      </c>
      <c r="Q2479" s="33" t="str">
        <f aca="false">IF(F2479="","",F2479*L2479)</f>
        <v/>
      </c>
      <c r="R2479" s="33" t="str">
        <f aca="false">IF(F2479="","",IF(H2479="",F2479,0))</f>
        <v/>
      </c>
      <c r="S2479" s="32" t="str">
        <f aca="false">IF(F2479="","",IF(N(O2479)=0,"",IF(O2479&lt;=30,"1-30",IF(O2479&lt;=60,"31-60",IF(O2479&lt;=90,"61-90","90+")))))</f>
        <v/>
      </c>
      <c r="T2479" s="32" t="str">
        <f aca="false">IF(F2479="","",IF(E2479="","Diğer",E2479))</f>
        <v/>
      </c>
      <c r="U2479" s="32" t="str">
        <f aca="false">IF(OR(F2479="",C2479=""),"",IF(COUNTIF($C$2:C2479,C2479)=1,MAX($U$1:U2478)+1,""))</f>
        <v/>
      </c>
    </row>
    <row r="2480" customFormat="false" ht="15" hidden="false" customHeight="false" outlineLevel="0" collapsed="false">
      <c r="A2480" s="34"/>
      <c r="B2480" s="9"/>
      <c r="C2480" s="34"/>
      <c r="D2480" s="34"/>
      <c r="E2480" s="34"/>
      <c r="F2480" s="35"/>
      <c r="G2480" s="9"/>
      <c r="H2480" s="9"/>
      <c r="I2480" s="34"/>
      <c r="J2480" s="30" t="str">
        <f aca="false">IF(F2480="","",G2480-B2480)</f>
        <v/>
      </c>
      <c r="K2480" s="31" t="str">
        <f aca="false">IF(F2480="","",IF(H2480&lt;&gt;"",H2480,MAX('Vade Sapması'!$D$3,G2480)))</f>
        <v/>
      </c>
      <c r="L2480" s="30" t="str">
        <f aca="false">IF(F2480="","",K2480-B2480)</f>
        <v/>
      </c>
      <c r="M2480" s="30" t="str">
        <f aca="false">IF(F2480="","",L2480-J2480)</f>
        <v/>
      </c>
      <c r="N2480" s="32" t="str">
        <f aca="false">IF(F2480="","",IF(H2480&lt;&gt;"","Kapandı",IF('Vade Sapması'!$D$3&gt;G2480,"Açık · vadesi geçti","Açık · vadesi gelmedi")))</f>
        <v/>
      </c>
      <c r="O2480" s="30" t="str">
        <f aca="false">IF(F2480="","",IF(AND(H2480="",'Vade Sapması'!$D$3&gt;G2480),'Vade Sapması'!$D$3-G2480,0))</f>
        <v/>
      </c>
      <c r="P2480" s="33" t="str">
        <f aca="false">IF(F2480="","",F2480*J2480)</f>
        <v/>
      </c>
      <c r="Q2480" s="33" t="str">
        <f aca="false">IF(F2480="","",F2480*L2480)</f>
        <v/>
      </c>
      <c r="R2480" s="33" t="str">
        <f aca="false">IF(F2480="","",IF(H2480="",F2480,0))</f>
        <v/>
      </c>
      <c r="S2480" s="32" t="str">
        <f aca="false">IF(F2480="","",IF(N(O2480)=0,"",IF(O2480&lt;=30,"1-30",IF(O2480&lt;=60,"31-60",IF(O2480&lt;=90,"61-90","90+")))))</f>
        <v/>
      </c>
      <c r="T2480" s="32" t="str">
        <f aca="false">IF(F2480="","",IF(E2480="","Diğer",E2480))</f>
        <v/>
      </c>
      <c r="U2480" s="32" t="str">
        <f aca="false">IF(OR(F2480="",C2480=""),"",IF(COUNTIF($C$2:C2480,C2480)=1,MAX($U$1:U2479)+1,""))</f>
        <v/>
      </c>
    </row>
    <row r="2481" customFormat="false" ht="15" hidden="false" customHeight="false" outlineLevel="0" collapsed="false">
      <c r="A2481" s="34"/>
      <c r="B2481" s="9"/>
      <c r="C2481" s="34"/>
      <c r="D2481" s="34"/>
      <c r="E2481" s="34"/>
      <c r="F2481" s="35"/>
      <c r="G2481" s="9"/>
      <c r="H2481" s="9"/>
      <c r="I2481" s="34"/>
      <c r="J2481" s="30" t="str">
        <f aca="false">IF(F2481="","",G2481-B2481)</f>
        <v/>
      </c>
      <c r="K2481" s="31" t="str">
        <f aca="false">IF(F2481="","",IF(H2481&lt;&gt;"",H2481,MAX('Vade Sapması'!$D$3,G2481)))</f>
        <v/>
      </c>
      <c r="L2481" s="30" t="str">
        <f aca="false">IF(F2481="","",K2481-B2481)</f>
        <v/>
      </c>
      <c r="M2481" s="30" t="str">
        <f aca="false">IF(F2481="","",L2481-J2481)</f>
        <v/>
      </c>
      <c r="N2481" s="32" t="str">
        <f aca="false">IF(F2481="","",IF(H2481&lt;&gt;"","Kapandı",IF('Vade Sapması'!$D$3&gt;G2481,"Açık · vadesi geçti","Açık · vadesi gelmedi")))</f>
        <v/>
      </c>
      <c r="O2481" s="30" t="str">
        <f aca="false">IF(F2481="","",IF(AND(H2481="",'Vade Sapması'!$D$3&gt;G2481),'Vade Sapması'!$D$3-G2481,0))</f>
        <v/>
      </c>
      <c r="P2481" s="33" t="str">
        <f aca="false">IF(F2481="","",F2481*J2481)</f>
        <v/>
      </c>
      <c r="Q2481" s="33" t="str">
        <f aca="false">IF(F2481="","",F2481*L2481)</f>
        <v/>
      </c>
      <c r="R2481" s="33" t="str">
        <f aca="false">IF(F2481="","",IF(H2481="",F2481,0))</f>
        <v/>
      </c>
      <c r="S2481" s="32" t="str">
        <f aca="false">IF(F2481="","",IF(N(O2481)=0,"",IF(O2481&lt;=30,"1-30",IF(O2481&lt;=60,"31-60",IF(O2481&lt;=90,"61-90","90+")))))</f>
        <v/>
      </c>
      <c r="T2481" s="32" t="str">
        <f aca="false">IF(F2481="","",IF(E2481="","Diğer",E2481))</f>
        <v/>
      </c>
      <c r="U2481" s="32" t="str">
        <f aca="false">IF(OR(F2481="",C2481=""),"",IF(COUNTIF($C$2:C2481,C2481)=1,MAX($U$1:U2480)+1,""))</f>
        <v/>
      </c>
    </row>
    <row r="2482" customFormat="false" ht="15" hidden="false" customHeight="false" outlineLevel="0" collapsed="false">
      <c r="A2482" s="34"/>
      <c r="B2482" s="9"/>
      <c r="C2482" s="34"/>
      <c r="D2482" s="34"/>
      <c r="E2482" s="34"/>
      <c r="F2482" s="35"/>
      <c r="G2482" s="9"/>
      <c r="H2482" s="9"/>
      <c r="I2482" s="34"/>
      <c r="J2482" s="30" t="str">
        <f aca="false">IF(F2482="","",G2482-B2482)</f>
        <v/>
      </c>
      <c r="K2482" s="31" t="str">
        <f aca="false">IF(F2482="","",IF(H2482&lt;&gt;"",H2482,MAX('Vade Sapması'!$D$3,G2482)))</f>
        <v/>
      </c>
      <c r="L2482" s="30" t="str">
        <f aca="false">IF(F2482="","",K2482-B2482)</f>
        <v/>
      </c>
      <c r="M2482" s="30" t="str">
        <f aca="false">IF(F2482="","",L2482-J2482)</f>
        <v/>
      </c>
      <c r="N2482" s="32" t="str">
        <f aca="false">IF(F2482="","",IF(H2482&lt;&gt;"","Kapandı",IF('Vade Sapması'!$D$3&gt;G2482,"Açık · vadesi geçti","Açık · vadesi gelmedi")))</f>
        <v/>
      </c>
      <c r="O2482" s="30" t="str">
        <f aca="false">IF(F2482="","",IF(AND(H2482="",'Vade Sapması'!$D$3&gt;G2482),'Vade Sapması'!$D$3-G2482,0))</f>
        <v/>
      </c>
      <c r="P2482" s="33" t="str">
        <f aca="false">IF(F2482="","",F2482*J2482)</f>
        <v/>
      </c>
      <c r="Q2482" s="33" t="str">
        <f aca="false">IF(F2482="","",F2482*L2482)</f>
        <v/>
      </c>
      <c r="R2482" s="33" t="str">
        <f aca="false">IF(F2482="","",IF(H2482="",F2482,0))</f>
        <v/>
      </c>
      <c r="S2482" s="32" t="str">
        <f aca="false">IF(F2482="","",IF(N(O2482)=0,"",IF(O2482&lt;=30,"1-30",IF(O2482&lt;=60,"31-60",IF(O2482&lt;=90,"61-90","90+")))))</f>
        <v/>
      </c>
      <c r="T2482" s="32" t="str">
        <f aca="false">IF(F2482="","",IF(E2482="","Diğer",E2482))</f>
        <v/>
      </c>
      <c r="U2482" s="32" t="str">
        <f aca="false">IF(OR(F2482="",C2482=""),"",IF(COUNTIF($C$2:C2482,C2482)=1,MAX($U$1:U2481)+1,""))</f>
        <v/>
      </c>
    </row>
    <row r="2483" customFormat="false" ht="15" hidden="false" customHeight="false" outlineLevel="0" collapsed="false">
      <c r="A2483" s="34"/>
      <c r="B2483" s="9"/>
      <c r="C2483" s="34"/>
      <c r="D2483" s="34"/>
      <c r="E2483" s="34"/>
      <c r="F2483" s="35"/>
      <c r="G2483" s="9"/>
      <c r="H2483" s="9"/>
      <c r="I2483" s="34"/>
      <c r="J2483" s="30" t="str">
        <f aca="false">IF(F2483="","",G2483-B2483)</f>
        <v/>
      </c>
      <c r="K2483" s="31" t="str">
        <f aca="false">IF(F2483="","",IF(H2483&lt;&gt;"",H2483,MAX('Vade Sapması'!$D$3,G2483)))</f>
        <v/>
      </c>
      <c r="L2483" s="30" t="str">
        <f aca="false">IF(F2483="","",K2483-B2483)</f>
        <v/>
      </c>
      <c r="M2483" s="30" t="str">
        <f aca="false">IF(F2483="","",L2483-J2483)</f>
        <v/>
      </c>
      <c r="N2483" s="32" t="str">
        <f aca="false">IF(F2483="","",IF(H2483&lt;&gt;"","Kapandı",IF('Vade Sapması'!$D$3&gt;G2483,"Açık · vadesi geçti","Açık · vadesi gelmedi")))</f>
        <v/>
      </c>
      <c r="O2483" s="30" t="str">
        <f aca="false">IF(F2483="","",IF(AND(H2483="",'Vade Sapması'!$D$3&gt;G2483),'Vade Sapması'!$D$3-G2483,0))</f>
        <v/>
      </c>
      <c r="P2483" s="33" t="str">
        <f aca="false">IF(F2483="","",F2483*J2483)</f>
        <v/>
      </c>
      <c r="Q2483" s="33" t="str">
        <f aca="false">IF(F2483="","",F2483*L2483)</f>
        <v/>
      </c>
      <c r="R2483" s="33" t="str">
        <f aca="false">IF(F2483="","",IF(H2483="",F2483,0))</f>
        <v/>
      </c>
      <c r="S2483" s="32" t="str">
        <f aca="false">IF(F2483="","",IF(N(O2483)=0,"",IF(O2483&lt;=30,"1-30",IF(O2483&lt;=60,"31-60",IF(O2483&lt;=90,"61-90","90+")))))</f>
        <v/>
      </c>
      <c r="T2483" s="32" t="str">
        <f aca="false">IF(F2483="","",IF(E2483="","Diğer",E2483))</f>
        <v/>
      </c>
      <c r="U2483" s="32" t="str">
        <f aca="false">IF(OR(F2483="",C2483=""),"",IF(COUNTIF($C$2:C2483,C2483)=1,MAX($U$1:U2482)+1,""))</f>
        <v/>
      </c>
    </row>
    <row r="2484" customFormat="false" ht="15" hidden="false" customHeight="false" outlineLevel="0" collapsed="false">
      <c r="A2484" s="34"/>
      <c r="B2484" s="9"/>
      <c r="C2484" s="34"/>
      <c r="D2484" s="34"/>
      <c r="E2484" s="34"/>
      <c r="F2484" s="35"/>
      <c r="G2484" s="9"/>
      <c r="H2484" s="9"/>
      <c r="I2484" s="34"/>
      <c r="J2484" s="30" t="str">
        <f aca="false">IF(F2484="","",G2484-B2484)</f>
        <v/>
      </c>
      <c r="K2484" s="31" t="str">
        <f aca="false">IF(F2484="","",IF(H2484&lt;&gt;"",H2484,MAX('Vade Sapması'!$D$3,G2484)))</f>
        <v/>
      </c>
      <c r="L2484" s="30" t="str">
        <f aca="false">IF(F2484="","",K2484-B2484)</f>
        <v/>
      </c>
      <c r="M2484" s="30" t="str">
        <f aca="false">IF(F2484="","",L2484-J2484)</f>
        <v/>
      </c>
      <c r="N2484" s="32" t="str">
        <f aca="false">IF(F2484="","",IF(H2484&lt;&gt;"","Kapandı",IF('Vade Sapması'!$D$3&gt;G2484,"Açık · vadesi geçti","Açık · vadesi gelmedi")))</f>
        <v/>
      </c>
      <c r="O2484" s="30" t="str">
        <f aca="false">IF(F2484="","",IF(AND(H2484="",'Vade Sapması'!$D$3&gt;G2484),'Vade Sapması'!$D$3-G2484,0))</f>
        <v/>
      </c>
      <c r="P2484" s="33" t="str">
        <f aca="false">IF(F2484="","",F2484*J2484)</f>
        <v/>
      </c>
      <c r="Q2484" s="33" t="str">
        <f aca="false">IF(F2484="","",F2484*L2484)</f>
        <v/>
      </c>
      <c r="R2484" s="33" t="str">
        <f aca="false">IF(F2484="","",IF(H2484="",F2484,0))</f>
        <v/>
      </c>
      <c r="S2484" s="32" t="str">
        <f aca="false">IF(F2484="","",IF(N(O2484)=0,"",IF(O2484&lt;=30,"1-30",IF(O2484&lt;=60,"31-60",IF(O2484&lt;=90,"61-90","90+")))))</f>
        <v/>
      </c>
      <c r="T2484" s="32" t="str">
        <f aca="false">IF(F2484="","",IF(E2484="","Diğer",E2484))</f>
        <v/>
      </c>
      <c r="U2484" s="32" t="str">
        <f aca="false">IF(OR(F2484="",C2484=""),"",IF(COUNTIF($C$2:C2484,C2484)=1,MAX($U$1:U2483)+1,""))</f>
        <v/>
      </c>
    </row>
    <row r="2485" customFormat="false" ht="15" hidden="false" customHeight="false" outlineLevel="0" collapsed="false">
      <c r="A2485" s="34"/>
      <c r="B2485" s="9"/>
      <c r="C2485" s="34"/>
      <c r="D2485" s="34"/>
      <c r="E2485" s="34"/>
      <c r="F2485" s="35"/>
      <c r="G2485" s="9"/>
      <c r="H2485" s="9"/>
      <c r="I2485" s="34"/>
      <c r="J2485" s="30" t="str">
        <f aca="false">IF(F2485="","",G2485-B2485)</f>
        <v/>
      </c>
      <c r="K2485" s="31" t="str">
        <f aca="false">IF(F2485="","",IF(H2485&lt;&gt;"",H2485,MAX('Vade Sapması'!$D$3,G2485)))</f>
        <v/>
      </c>
      <c r="L2485" s="30" t="str">
        <f aca="false">IF(F2485="","",K2485-B2485)</f>
        <v/>
      </c>
      <c r="M2485" s="30" t="str">
        <f aca="false">IF(F2485="","",L2485-J2485)</f>
        <v/>
      </c>
      <c r="N2485" s="32" t="str">
        <f aca="false">IF(F2485="","",IF(H2485&lt;&gt;"","Kapandı",IF('Vade Sapması'!$D$3&gt;G2485,"Açık · vadesi geçti","Açık · vadesi gelmedi")))</f>
        <v/>
      </c>
      <c r="O2485" s="30" t="str">
        <f aca="false">IF(F2485="","",IF(AND(H2485="",'Vade Sapması'!$D$3&gt;G2485),'Vade Sapması'!$D$3-G2485,0))</f>
        <v/>
      </c>
      <c r="P2485" s="33" t="str">
        <f aca="false">IF(F2485="","",F2485*J2485)</f>
        <v/>
      </c>
      <c r="Q2485" s="33" t="str">
        <f aca="false">IF(F2485="","",F2485*L2485)</f>
        <v/>
      </c>
      <c r="R2485" s="33" t="str">
        <f aca="false">IF(F2485="","",IF(H2485="",F2485,0))</f>
        <v/>
      </c>
      <c r="S2485" s="32" t="str">
        <f aca="false">IF(F2485="","",IF(N(O2485)=0,"",IF(O2485&lt;=30,"1-30",IF(O2485&lt;=60,"31-60",IF(O2485&lt;=90,"61-90","90+")))))</f>
        <v/>
      </c>
      <c r="T2485" s="32" t="str">
        <f aca="false">IF(F2485="","",IF(E2485="","Diğer",E2485))</f>
        <v/>
      </c>
      <c r="U2485" s="32" t="str">
        <f aca="false">IF(OR(F2485="",C2485=""),"",IF(COUNTIF($C$2:C2485,C2485)=1,MAX($U$1:U2484)+1,""))</f>
        <v/>
      </c>
    </row>
    <row r="2486" customFormat="false" ht="15" hidden="false" customHeight="false" outlineLevel="0" collapsed="false">
      <c r="A2486" s="34"/>
      <c r="B2486" s="9"/>
      <c r="C2486" s="34"/>
      <c r="D2486" s="34"/>
      <c r="E2486" s="34"/>
      <c r="F2486" s="35"/>
      <c r="G2486" s="9"/>
      <c r="H2486" s="9"/>
      <c r="I2486" s="34"/>
      <c r="J2486" s="30" t="str">
        <f aca="false">IF(F2486="","",G2486-B2486)</f>
        <v/>
      </c>
      <c r="K2486" s="31" t="str">
        <f aca="false">IF(F2486="","",IF(H2486&lt;&gt;"",H2486,MAX('Vade Sapması'!$D$3,G2486)))</f>
        <v/>
      </c>
      <c r="L2486" s="30" t="str">
        <f aca="false">IF(F2486="","",K2486-B2486)</f>
        <v/>
      </c>
      <c r="M2486" s="30" t="str">
        <f aca="false">IF(F2486="","",L2486-J2486)</f>
        <v/>
      </c>
      <c r="N2486" s="32" t="str">
        <f aca="false">IF(F2486="","",IF(H2486&lt;&gt;"","Kapandı",IF('Vade Sapması'!$D$3&gt;G2486,"Açık · vadesi geçti","Açık · vadesi gelmedi")))</f>
        <v/>
      </c>
      <c r="O2486" s="30" t="str">
        <f aca="false">IF(F2486="","",IF(AND(H2486="",'Vade Sapması'!$D$3&gt;G2486),'Vade Sapması'!$D$3-G2486,0))</f>
        <v/>
      </c>
      <c r="P2486" s="33" t="str">
        <f aca="false">IF(F2486="","",F2486*J2486)</f>
        <v/>
      </c>
      <c r="Q2486" s="33" t="str">
        <f aca="false">IF(F2486="","",F2486*L2486)</f>
        <v/>
      </c>
      <c r="R2486" s="33" t="str">
        <f aca="false">IF(F2486="","",IF(H2486="",F2486,0))</f>
        <v/>
      </c>
      <c r="S2486" s="32" t="str">
        <f aca="false">IF(F2486="","",IF(N(O2486)=0,"",IF(O2486&lt;=30,"1-30",IF(O2486&lt;=60,"31-60",IF(O2486&lt;=90,"61-90","90+")))))</f>
        <v/>
      </c>
      <c r="T2486" s="32" t="str">
        <f aca="false">IF(F2486="","",IF(E2486="","Diğer",E2486))</f>
        <v/>
      </c>
      <c r="U2486" s="32" t="str">
        <f aca="false">IF(OR(F2486="",C2486=""),"",IF(COUNTIF($C$2:C2486,C2486)=1,MAX($U$1:U2485)+1,""))</f>
        <v/>
      </c>
    </row>
    <row r="2487" customFormat="false" ht="15" hidden="false" customHeight="false" outlineLevel="0" collapsed="false">
      <c r="A2487" s="34"/>
      <c r="B2487" s="9"/>
      <c r="C2487" s="34"/>
      <c r="D2487" s="34"/>
      <c r="E2487" s="34"/>
      <c r="F2487" s="35"/>
      <c r="G2487" s="9"/>
      <c r="H2487" s="9"/>
      <c r="I2487" s="34"/>
      <c r="J2487" s="30" t="str">
        <f aca="false">IF(F2487="","",G2487-B2487)</f>
        <v/>
      </c>
      <c r="K2487" s="31" t="str">
        <f aca="false">IF(F2487="","",IF(H2487&lt;&gt;"",H2487,MAX('Vade Sapması'!$D$3,G2487)))</f>
        <v/>
      </c>
      <c r="L2487" s="30" t="str">
        <f aca="false">IF(F2487="","",K2487-B2487)</f>
        <v/>
      </c>
      <c r="M2487" s="30" t="str">
        <f aca="false">IF(F2487="","",L2487-J2487)</f>
        <v/>
      </c>
      <c r="N2487" s="32" t="str">
        <f aca="false">IF(F2487="","",IF(H2487&lt;&gt;"","Kapandı",IF('Vade Sapması'!$D$3&gt;G2487,"Açık · vadesi geçti","Açık · vadesi gelmedi")))</f>
        <v/>
      </c>
      <c r="O2487" s="30" t="str">
        <f aca="false">IF(F2487="","",IF(AND(H2487="",'Vade Sapması'!$D$3&gt;G2487),'Vade Sapması'!$D$3-G2487,0))</f>
        <v/>
      </c>
      <c r="P2487" s="33" t="str">
        <f aca="false">IF(F2487="","",F2487*J2487)</f>
        <v/>
      </c>
      <c r="Q2487" s="33" t="str">
        <f aca="false">IF(F2487="","",F2487*L2487)</f>
        <v/>
      </c>
      <c r="R2487" s="33" t="str">
        <f aca="false">IF(F2487="","",IF(H2487="",F2487,0))</f>
        <v/>
      </c>
      <c r="S2487" s="32" t="str">
        <f aca="false">IF(F2487="","",IF(N(O2487)=0,"",IF(O2487&lt;=30,"1-30",IF(O2487&lt;=60,"31-60",IF(O2487&lt;=90,"61-90","90+")))))</f>
        <v/>
      </c>
      <c r="T2487" s="32" t="str">
        <f aca="false">IF(F2487="","",IF(E2487="","Diğer",E2487))</f>
        <v/>
      </c>
      <c r="U2487" s="32" t="str">
        <f aca="false">IF(OR(F2487="",C2487=""),"",IF(COUNTIF($C$2:C2487,C2487)=1,MAX($U$1:U2486)+1,""))</f>
        <v/>
      </c>
    </row>
    <row r="2488" customFormat="false" ht="15" hidden="false" customHeight="false" outlineLevel="0" collapsed="false">
      <c r="A2488" s="34"/>
      <c r="B2488" s="9"/>
      <c r="C2488" s="34"/>
      <c r="D2488" s="34"/>
      <c r="E2488" s="34"/>
      <c r="F2488" s="35"/>
      <c r="G2488" s="9"/>
      <c r="H2488" s="9"/>
      <c r="I2488" s="34"/>
      <c r="J2488" s="30" t="str">
        <f aca="false">IF(F2488="","",G2488-B2488)</f>
        <v/>
      </c>
      <c r="K2488" s="31" t="str">
        <f aca="false">IF(F2488="","",IF(H2488&lt;&gt;"",H2488,MAX('Vade Sapması'!$D$3,G2488)))</f>
        <v/>
      </c>
      <c r="L2488" s="30" t="str">
        <f aca="false">IF(F2488="","",K2488-B2488)</f>
        <v/>
      </c>
      <c r="M2488" s="30" t="str">
        <f aca="false">IF(F2488="","",L2488-J2488)</f>
        <v/>
      </c>
      <c r="N2488" s="32" t="str">
        <f aca="false">IF(F2488="","",IF(H2488&lt;&gt;"","Kapandı",IF('Vade Sapması'!$D$3&gt;G2488,"Açık · vadesi geçti","Açık · vadesi gelmedi")))</f>
        <v/>
      </c>
      <c r="O2488" s="30" t="str">
        <f aca="false">IF(F2488="","",IF(AND(H2488="",'Vade Sapması'!$D$3&gt;G2488),'Vade Sapması'!$D$3-G2488,0))</f>
        <v/>
      </c>
      <c r="P2488" s="33" t="str">
        <f aca="false">IF(F2488="","",F2488*J2488)</f>
        <v/>
      </c>
      <c r="Q2488" s="33" t="str">
        <f aca="false">IF(F2488="","",F2488*L2488)</f>
        <v/>
      </c>
      <c r="R2488" s="33" t="str">
        <f aca="false">IF(F2488="","",IF(H2488="",F2488,0))</f>
        <v/>
      </c>
      <c r="S2488" s="32" t="str">
        <f aca="false">IF(F2488="","",IF(N(O2488)=0,"",IF(O2488&lt;=30,"1-30",IF(O2488&lt;=60,"31-60",IF(O2488&lt;=90,"61-90","90+")))))</f>
        <v/>
      </c>
      <c r="T2488" s="32" t="str">
        <f aca="false">IF(F2488="","",IF(E2488="","Diğer",E2488))</f>
        <v/>
      </c>
      <c r="U2488" s="32" t="str">
        <f aca="false">IF(OR(F2488="",C2488=""),"",IF(COUNTIF($C$2:C2488,C2488)=1,MAX($U$1:U2487)+1,""))</f>
        <v/>
      </c>
    </row>
    <row r="2489" customFormat="false" ht="15" hidden="false" customHeight="false" outlineLevel="0" collapsed="false">
      <c r="A2489" s="34"/>
      <c r="B2489" s="9"/>
      <c r="C2489" s="34"/>
      <c r="D2489" s="34"/>
      <c r="E2489" s="34"/>
      <c r="F2489" s="35"/>
      <c r="G2489" s="9"/>
      <c r="H2489" s="9"/>
      <c r="I2489" s="34"/>
      <c r="J2489" s="30" t="str">
        <f aca="false">IF(F2489="","",G2489-B2489)</f>
        <v/>
      </c>
      <c r="K2489" s="31" t="str">
        <f aca="false">IF(F2489="","",IF(H2489&lt;&gt;"",H2489,MAX('Vade Sapması'!$D$3,G2489)))</f>
        <v/>
      </c>
      <c r="L2489" s="30" t="str">
        <f aca="false">IF(F2489="","",K2489-B2489)</f>
        <v/>
      </c>
      <c r="M2489" s="30" t="str">
        <f aca="false">IF(F2489="","",L2489-J2489)</f>
        <v/>
      </c>
      <c r="N2489" s="32" t="str">
        <f aca="false">IF(F2489="","",IF(H2489&lt;&gt;"","Kapandı",IF('Vade Sapması'!$D$3&gt;G2489,"Açık · vadesi geçti","Açık · vadesi gelmedi")))</f>
        <v/>
      </c>
      <c r="O2489" s="30" t="str">
        <f aca="false">IF(F2489="","",IF(AND(H2489="",'Vade Sapması'!$D$3&gt;G2489),'Vade Sapması'!$D$3-G2489,0))</f>
        <v/>
      </c>
      <c r="P2489" s="33" t="str">
        <f aca="false">IF(F2489="","",F2489*J2489)</f>
        <v/>
      </c>
      <c r="Q2489" s="33" t="str">
        <f aca="false">IF(F2489="","",F2489*L2489)</f>
        <v/>
      </c>
      <c r="R2489" s="33" t="str">
        <f aca="false">IF(F2489="","",IF(H2489="",F2489,0))</f>
        <v/>
      </c>
      <c r="S2489" s="32" t="str">
        <f aca="false">IF(F2489="","",IF(N(O2489)=0,"",IF(O2489&lt;=30,"1-30",IF(O2489&lt;=60,"31-60",IF(O2489&lt;=90,"61-90","90+")))))</f>
        <v/>
      </c>
      <c r="T2489" s="32" t="str">
        <f aca="false">IF(F2489="","",IF(E2489="","Diğer",E2489))</f>
        <v/>
      </c>
      <c r="U2489" s="32" t="str">
        <f aca="false">IF(OR(F2489="",C2489=""),"",IF(COUNTIF($C$2:C2489,C2489)=1,MAX($U$1:U2488)+1,""))</f>
        <v/>
      </c>
    </row>
    <row r="2490" customFormat="false" ht="15" hidden="false" customHeight="false" outlineLevel="0" collapsed="false">
      <c r="A2490" s="34"/>
      <c r="B2490" s="9"/>
      <c r="C2490" s="34"/>
      <c r="D2490" s="34"/>
      <c r="E2490" s="34"/>
      <c r="F2490" s="35"/>
      <c r="G2490" s="9"/>
      <c r="H2490" s="9"/>
      <c r="I2490" s="34"/>
      <c r="J2490" s="30" t="str">
        <f aca="false">IF(F2490="","",G2490-B2490)</f>
        <v/>
      </c>
      <c r="K2490" s="31" t="str">
        <f aca="false">IF(F2490="","",IF(H2490&lt;&gt;"",H2490,MAX('Vade Sapması'!$D$3,G2490)))</f>
        <v/>
      </c>
      <c r="L2490" s="30" t="str">
        <f aca="false">IF(F2490="","",K2490-B2490)</f>
        <v/>
      </c>
      <c r="M2490" s="30" t="str">
        <f aca="false">IF(F2490="","",L2490-J2490)</f>
        <v/>
      </c>
      <c r="N2490" s="32" t="str">
        <f aca="false">IF(F2490="","",IF(H2490&lt;&gt;"","Kapandı",IF('Vade Sapması'!$D$3&gt;G2490,"Açık · vadesi geçti","Açık · vadesi gelmedi")))</f>
        <v/>
      </c>
      <c r="O2490" s="30" t="str">
        <f aca="false">IF(F2490="","",IF(AND(H2490="",'Vade Sapması'!$D$3&gt;G2490),'Vade Sapması'!$D$3-G2490,0))</f>
        <v/>
      </c>
      <c r="P2490" s="33" t="str">
        <f aca="false">IF(F2490="","",F2490*J2490)</f>
        <v/>
      </c>
      <c r="Q2490" s="33" t="str">
        <f aca="false">IF(F2490="","",F2490*L2490)</f>
        <v/>
      </c>
      <c r="R2490" s="33" t="str">
        <f aca="false">IF(F2490="","",IF(H2490="",F2490,0))</f>
        <v/>
      </c>
      <c r="S2490" s="32" t="str">
        <f aca="false">IF(F2490="","",IF(N(O2490)=0,"",IF(O2490&lt;=30,"1-30",IF(O2490&lt;=60,"31-60",IF(O2490&lt;=90,"61-90","90+")))))</f>
        <v/>
      </c>
      <c r="T2490" s="32" t="str">
        <f aca="false">IF(F2490="","",IF(E2490="","Diğer",E2490))</f>
        <v/>
      </c>
      <c r="U2490" s="32" t="str">
        <f aca="false">IF(OR(F2490="",C2490=""),"",IF(COUNTIF($C$2:C2490,C2490)=1,MAX($U$1:U2489)+1,""))</f>
        <v/>
      </c>
    </row>
    <row r="2491" customFormat="false" ht="15" hidden="false" customHeight="false" outlineLevel="0" collapsed="false">
      <c r="A2491" s="34"/>
      <c r="B2491" s="9"/>
      <c r="C2491" s="34"/>
      <c r="D2491" s="34"/>
      <c r="E2491" s="34"/>
      <c r="F2491" s="35"/>
      <c r="G2491" s="9"/>
      <c r="H2491" s="9"/>
      <c r="I2491" s="34"/>
      <c r="J2491" s="30" t="str">
        <f aca="false">IF(F2491="","",G2491-B2491)</f>
        <v/>
      </c>
      <c r="K2491" s="31" t="str">
        <f aca="false">IF(F2491="","",IF(H2491&lt;&gt;"",H2491,MAX('Vade Sapması'!$D$3,G2491)))</f>
        <v/>
      </c>
      <c r="L2491" s="30" t="str">
        <f aca="false">IF(F2491="","",K2491-B2491)</f>
        <v/>
      </c>
      <c r="M2491" s="30" t="str">
        <f aca="false">IF(F2491="","",L2491-J2491)</f>
        <v/>
      </c>
      <c r="N2491" s="32" t="str">
        <f aca="false">IF(F2491="","",IF(H2491&lt;&gt;"","Kapandı",IF('Vade Sapması'!$D$3&gt;G2491,"Açık · vadesi geçti","Açık · vadesi gelmedi")))</f>
        <v/>
      </c>
      <c r="O2491" s="30" t="str">
        <f aca="false">IF(F2491="","",IF(AND(H2491="",'Vade Sapması'!$D$3&gt;G2491),'Vade Sapması'!$D$3-G2491,0))</f>
        <v/>
      </c>
      <c r="P2491" s="33" t="str">
        <f aca="false">IF(F2491="","",F2491*J2491)</f>
        <v/>
      </c>
      <c r="Q2491" s="33" t="str">
        <f aca="false">IF(F2491="","",F2491*L2491)</f>
        <v/>
      </c>
      <c r="R2491" s="33" t="str">
        <f aca="false">IF(F2491="","",IF(H2491="",F2491,0))</f>
        <v/>
      </c>
      <c r="S2491" s="32" t="str">
        <f aca="false">IF(F2491="","",IF(N(O2491)=0,"",IF(O2491&lt;=30,"1-30",IF(O2491&lt;=60,"31-60",IF(O2491&lt;=90,"61-90","90+")))))</f>
        <v/>
      </c>
      <c r="T2491" s="32" t="str">
        <f aca="false">IF(F2491="","",IF(E2491="","Diğer",E2491))</f>
        <v/>
      </c>
      <c r="U2491" s="32" t="str">
        <f aca="false">IF(OR(F2491="",C2491=""),"",IF(COUNTIF($C$2:C2491,C2491)=1,MAX($U$1:U2490)+1,""))</f>
        <v/>
      </c>
    </row>
    <row r="2492" customFormat="false" ht="15" hidden="false" customHeight="false" outlineLevel="0" collapsed="false">
      <c r="A2492" s="34"/>
      <c r="B2492" s="9"/>
      <c r="C2492" s="34"/>
      <c r="D2492" s="34"/>
      <c r="E2492" s="34"/>
      <c r="F2492" s="35"/>
      <c r="G2492" s="9"/>
      <c r="H2492" s="9"/>
      <c r="I2492" s="34"/>
      <c r="J2492" s="30" t="str">
        <f aca="false">IF(F2492="","",G2492-B2492)</f>
        <v/>
      </c>
      <c r="K2492" s="31" t="str">
        <f aca="false">IF(F2492="","",IF(H2492&lt;&gt;"",H2492,MAX('Vade Sapması'!$D$3,G2492)))</f>
        <v/>
      </c>
      <c r="L2492" s="30" t="str">
        <f aca="false">IF(F2492="","",K2492-B2492)</f>
        <v/>
      </c>
      <c r="M2492" s="30" t="str">
        <f aca="false">IF(F2492="","",L2492-J2492)</f>
        <v/>
      </c>
      <c r="N2492" s="32" t="str">
        <f aca="false">IF(F2492="","",IF(H2492&lt;&gt;"","Kapandı",IF('Vade Sapması'!$D$3&gt;G2492,"Açık · vadesi geçti","Açık · vadesi gelmedi")))</f>
        <v/>
      </c>
      <c r="O2492" s="30" t="str">
        <f aca="false">IF(F2492="","",IF(AND(H2492="",'Vade Sapması'!$D$3&gt;G2492),'Vade Sapması'!$D$3-G2492,0))</f>
        <v/>
      </c>
      <c r="P2492" s="33" t="str">
        <f aca="false">IF(F2492="","",F2492*J2492)</f>
        <v/>
      </c>
      <c r="Q2492" s="33" t="str">
        <f aca="false">IF(F2492="","",F2492*L2492)</f>
        <v/>
      </c>
      <c r="R2492" s="33" t="str">
        <f aca="false">IF(F2492="","",IF(H2492="",F2492,0))</f>
        <v/>
      </c>
      <c r="S2492" s="32" t="str">
        <f aca="false">IF(F2492="","",IF(N(O2492)=0,"",IF(O2492&lt;=30,"1-30",IF(O2492&lt;=60,"31-60",IF(O2492&lt;=90,"61-90","90+")))))</f>
        <v/>
      </c>
      <c r="T2492" s="32" t="str">
        <f aca="false">IF(F2492="","",IF(E2492="","Diğer",E2492))</f>
        <v/>
      </c>
      <c r="U2492" s="32" t="str">
        <f aca="false">IF(OR(F2492="",C2492=""),"",IF(COUNTIF($C$2:C2492,C2492)=1,MAX($U$1:U2491)+1,""))</f>
        <v/>
      </c>
    </row>
    <row r="2493" customFormat="false" ht="15" hidden="false" customHeight="false" outlineLevel="0" collapsed="false">
      <c r="A2493" s="34"/>
      <c r="B2493" s="9"/>
      <c r="C2493" s="34"/>
      <c r="D2493" s="34"/>
      <c r="E2493" s="34"/>
      <c r="F2493" s="35"/>
      <c r="G2493" s="9"/>
      <c r="H2493" s="9"/>
      <c r="I2493" s="34"/>
      <c r="J2493" s="30" t="str">
        <f aca="false">IF(F2493="","",G2493-B2493)</f>
        <v/>
      </c>
      <c r="K2493" s="31" t="str">
        <f aca="false">IF(F2493="","",IF(H2493&lt;&gt;"",H2493,MAX('Vade Sapması'!$D$3,G2493)))</f>
        <v/>
      </c>
      <c r="L2493" s="30" t="str">
        <f aca="false">IF(F2493="","",K2493-B2493)</f>
        <v/>
      </c>
      <c r="M2493" s="30" t="str">
        <f aca="false">IF(F2493="","",L2493-J2493)</f>
        <v/>
      </c>
      <c r="N2493" s="32" t="str">
        <f aca="false">IF(F2493="","",IF(H2493&lt;&gt;"","Kapandı",IF('Vade Sapması'!$D$3&gt;G2493,"Açık · vadesi geçti","Açık · vadesi gelmedi")))</f>
        <v/>
      </c>
      <c r="O2493" s="30" t="str">
        <f aca="false">IF(F2493="","",IF(AND(H2493="",'Vade Sapması'!$D$3&gt;G2493),'Vade Sapması'!$D$3-G2493,0))</f>
        <v/>
      </c>
      <c r="P2493" s="33" t="str">
        <f aca="false">IF(F2493="","",F2493*J2493)</f>
        <v/>
      </c>
      <c r="Q2493" s="33" t="str">
        <f aca="false">IF(F2493="","",F2493*L2493)</f>
        <v/>
      </c>
      <c r="R2493" s="33" t="str">
        <f aca="false">IF(F2493="","",IF(H2493="",F2493,0))</f>
        <v/>
      </c>
      <c r="S2493" s="32" t="str">
        <f aca="false">IF(F2493="","",IF(N(O2493)=0,"",IF(O2493&lt;=30,"1-30",IF(O2493&lt;=60,"31-60",IF(O2493&lt;=90,"61-90","90+")))))</f>
        <v/>
      </c>
      <c r="T2493" s="32" t="str">
        <f aca="false">IF(F2493="","",IF(E2493="","Diğer",E2493))</f>
        <v/>
      </c>
      <c r="U2493" s="32" t="str">
        <f aca="false">IF(OR(F2493="",C2493=""),"",IF(COUNTIF($C$2:C2493,C2493)=1,MAX($U$1:U2492)+1,""))</f>
        <v/>
      </c>
    </row>
    <row r="2494" customFormat="false" ht="15" hidden="false" customHeight="false" outlineLevel="0" collapsed="false">
      <c r="A2494" s="34"/>
      <c r="B2494" s="9"/>
      <c r="C2494" s="34"/>
      <c r="D2494" s="34"/>
      <c r="E2494" s="34"/>
      <c r="F2494" s="35"/>
      <c r="G2494" s="9"/>
      <c r="H2494" s="9"/>
      <c r="I2494" s="34"/>
      <c r="J2494" s="30" t="str">
        <f aca="false">IF(F2494="","",G2494-B2494)</f>
        <v/>
      </c>
      <c r="K2494" s="31" t="str">
        <f aca="false">IF(F2494="","",IF(H2494&lt;&gt;"",H2494,MAX('Vade Sapması'!$D$3,G2494)))</f>
        <v/>
      </c>
      <c r="L2494" s="30" t="str">
        <f aca="false">IF(F2494="","",K2494-B2494)</f>
        <v/>
      </c>
      <c r="M2494" s="30" t="str">
        <f aca="false">IF(F2494="","",L2494-J2494)</f>
        <v/>
      </c>
      <c r="N2494" s="32" t="str">
        <f aca="false">IF(F2494="","",IF(H2494&lt;&gt;"","Kapandı",IF('Vade Sapması'!$D$3&gt;G2494,"Açık · vadesi geçti","Açık · vadesi gelmedi")))</f>
        <v/>
      </c>
      <c r="O2494" s="30" t="str">
        <f aca="false">IF(F2494="","",IF(AND(H2494="",'Vade Sapması'!$D$3&gt;G2494),'Vade Sapması'!$D$3-G2494,0))</f>
        <v/>
      </c>
      <c r="P2494" s="33" t="str">
        <f aca="false">IF(F2494="","",F2494*J2494)</f>
        <v/>
      </c>
      <c r="Q2494" s="33" t="str">
        <f aca="false">IF(F2494="","",F2494*L2494)</f>
        <v/>
      </c>
      <c r="R2494" s="33" t="str">
        <f aca="false">IF(F2494="","",IF(H2494="",F2494,0))</f>
        <v/>
      </c>
      <c r="S2494" s="32" t="str">
        <f aca="false">IF(F2494="","",IF(N(O2494)=0,"",IF(O2494&lt;=30,"1-30",IF(O2494&lt;=60,"31-60",IF(O2494&lt;=90,"61-90","90+")))))</f>
        <v/>
      </c>
      <c r="T2494" s="32" t="str">
        <f aca="false">IF(F2494="","",IF(E2494="","Diğer",E2494))</f>
        <v/>
      </c>
      <c r="U2494" s="32" t="str">
        <f aca="false">IF(OR(F2494="",C2494=""),"",IF(COUNTIF($C$2:C2494,C2494)=1,MAX($U$1:U2493)+1,""))</f>
        <v/>
      </c>
    </row>
    <row r="2495" customFormat="false" ht="15" hidden="false" customHeight="false" outlineLevel="0" collapsed="false">
      <c r="A2495" s="34"/>
      <c r="B2495" s="9"/>
      <c r="C2495" s="34"/>
      <c r="D2495" s="34"/>
      <c r="E2495" s="34"/>
      <c r="F2495" s="35"/>
      <c r="G2495" s="9"/>
      <c r="H2495" s="9"/>
      <c r="I2495" s="34"/>
      <c r="J2495" s="30" t="str">
        <f aca="false">IF(F2495="","",G2495-B2495)</f>
        <v/>
      </c>
      <c r="K2495" s="31" t="str">
        <f aca="false">IF(F2495="","",IF(H2495&lt;&gt;"",H2495,MAX('Vade Sapması'!$D$3,G2495)))</f>
        <v/>
      </c>
      <c r="L2495" s="30" t="str">
        <f aca="false">IF(F2495="","",K2495-B2495)</f>
        <v/>
      </c>
      <c r="M2495" s="30" t="str">
        <f aca="false">IF(F2495="","",L2495-J2495)</f>
        <v/>
      </c>
      <c r="N2495" s="32" t="str">
        <f aca="false">IF(F2495="","",IF(H2495&lt;&gt;"","Kapandı",IF('Vade Sapması'!$D$3&gt;G2495,"Açık · vadesi geçti","Açık · vadesi gelmedi")))</f>
        <v/>
      </c>
      <c r="O2495" s="30" t="str">
        <f aca="false">IF(F2495="","",IF(AND(H2495="",'Vade Sapması'!$D$3&gt;G2495),'Vade Sapması'!$D$3-G2495,0))</f>
        <v/>
      </c>
      <c r="P2495" s="33" t="str">
        <f aca="false">IF(F2495="","",F2495*J2495)</f>
        <v/>
      </c>
      <c r="Q2495" s="33" t="str">
        <f aca="false">IF(F2495="","",F2495*L2495)</f>
        <v/>
      </c>
      <c r="R2495" s="33" t="str">
        <f aca="false">IF(F2495="","",IF(H2495="",F2495,0))</f>
        <v/>
      </c>
      <c r="S2495" s="32" t="str">
        <f aca="false">IF(F2495="","",IF(N(O2495)=0,"",IF(O2495&lt;=30,"1-30",IF(O2495&lt;=60,"31-60",IF(O2495&lt;=90,"61-90","90+")))))</f>
        <v/>
      </c>
      <c r="T2495" s="32" t="str">
        <f aca="false">IF(F2495="","",IF(E2495="","Diğer",E2495))</f>
        <v/>
      </c>
      <c r="U2495" s="32" t="str">
        <f aca="false">IF(OR(F2495="",C2495=""),"",IF(COUNTIF($C$2:C2495,C2495)=1,MAX($U$1:U2494)+1,""))</f>
        <v/>
      </c>
    </row>
    <row r="2496" customFormat="false" ht="15" hidden="false" customHeight="false" outlineLevel="0" collapsed="false">
      <c r="A2496" s="34"/>
      <c r="B2496" s="9"/>
      <c r="C2496" s="34"/>
      <c r="D2496" s="34"/>
      <c r="E2496" s="34"/>
      <c r="F2496" s="35"/>
      <c r="G2496" s="9"/>
      <c r="H2496" s="9"/>
      <c r="I2496" s="34"/>
      <c r="J2496" s="30" t="str">
        <f aca="false">IF(F2496="","",G2496-B2496)</f>
        <v/>
      </c>
      <c r="K2496" s="31" t="str">
        <f aca="false">IF(F2496="","",IF(H2496&lt;&gt;"",H2496,MAX('Vade Sapması'!$D$3,G2496)))</f>
        <v/>
      </c>
      <c r="L2496" s="30" t="str">
        <f aca="false">IF(F2496="","",K2496-B2496)</f>
        <v/>
      </c>
      <c r="M2496" s="30" t="str">
        <f aca="false">IF(F2496="","",L2496-J2496)</f>
        <v/>
      </c>
      <c r="N2496" s="32" t="str">
        <f aca="false">IF(F2496="","",IF(H2496&lt;&gt;"","Kapandı",IF('Vade Sapması'!$D$3&gt;G2496,"Açık · vadesi geçti","Açık · vadesi gelmedi")))</f>
        <v/>
      </c>
      <c r="O2496" s="30" t="str">
        <f aca="false">IF(F2496="","",IF(AND(H2496="",'Vade Sapması'!$D$3&gt;G2496),'Vade Sapması'!$D$3-G2496,0))</f>
        <v/>
      </c>
      <c r="P2496" s="33" t="str">
        <f aca="false">IF(F2496="","",F2496*J2496)</f>
        <v/>
      </c>
      <c r="Q2496" s="33" t="str">
        <f aca="false">IF(F2496="","",F2496*L2496)</f>
        <v/>
      </c>
      <c r="R2496" s="33" t="str">
        <f aca="false">IF(F2496="","",IF(H2496="",F2496,0))</f>
        <v/>
      </c>
      <c r="S2496" s="32" t="str">
        <f aca="false">IF(F2496="","",IF(N(O2496)=0,"",IF(O2496&lt;=30,"1-30",IF(O2496&lt;=60,"31-60",IF(O2496&lt;=90,"61-90","90+")))))</f>
        <v/>
      </c>
      <c r="T2496" s="32" t="str">
        <f aca="false">IF(F2496="","",IF(E2496="","Diğer",E2496))</f>
        <v/>
      </c>
      <c r="U2496" s="32" t="str">
        <f aca="false">IF(OR(F2496="",C2496=""),"",IF(COUNTIF($C$2:C2496,C2496)=1,MAX($U$1:U2495)+1,""))</f>
        <v/>
      </c>
    </row>
    <row r="2497" customFormat="false" ht="15" hidden="false" customHeight="false" outlineLevel="0" collapsed="false">
      <c r="A2497" s="34"/>
      <c r="B2497" s="9"/>
      <c r="C2497" s="34"/>
      <c r="D2497" s="34"/>
      <c r="E2497" s="34"/>
      <c r="F2497" s="35"/>
      <c r="G2497" s="9"/>
      <c r="H2497" s="9"/>
      <c r="I2497" s="34"/>
      <c r="J2497" s="30" t="str">
        <f aca="false">IF(F2497="","",G2497-B2497)</f>
        <v/>
      </c>
      <c r="K2497" s="31" t="str">
        <f aca="false">IF(F2497="","",IF(H2497&lt;&gt;"",H2497,MAX('Vade Sapması'!$D$3,G2497)))</f>
        <v/>
      </c>
      <c r="L2497" s="30" t="str">
        <f aca="false">IF(F2497="","",K2497-B2497)</f>
        <v/>
      </c>
      <c r="M2497" s="30" t="str">
        <f aca="false">IF(F2497="","",L2497-J2497)</f>
        <v/>
      </c>
      <c r="N2497" s="32" t="str">
        <f aca="false">IF(F2497="","",IF(H2497&lt;&gt;"","Kapandı",IF('Vade Sapması'!$D$3&gt;G2497,"Açık · vadesi geçti","Açık · vadesi gelmedi")))</f>
        <v/>
      </c>
      <c r="O2497" s="30" t="str">
        <f aca="false">IF(F2497="","",IF(AND(H2497="",'Vade Sapması'!$D$3&gt;G2497),'Vade Sapması'!$D$3-G2497,0))</f>
        <v/>
      </c>
      <c r="P2497" s="33" t="str">
        <f aca="false">IF(F2497="","",F2497*J2497)</f>
        <v/>
      </c>
      <c r="Q2497" s="33" t="str">
        <f aca="false">IF(F2497="","",F2497*L2497)</f>
        <v/>
      </c>
      <c r="R2497" s="33" t="str">
        <f aca="false">IF(F2497="","",IF(H2497="",F2497,0))</f>
        <v/>
      </c>
      <c r="S2497" s="32" t="str">
        <f aca="false">IF(F2497="","",IF(N(O2497)=0,"",IF(O2497&lt;=30,"1-30",IF(O2497&lt;=60,"31-60",IF(O2497&lt;=90,"61-90","90+")))))</f>
        <v/>
      </c>
      <c r="T2497" s="32" t="str">
        <f aca="false">IF(F2497="","",IF(E2497="","Diğer",E2497))</f>
        <v/>
      </c>
      <c r="U2497" s="32" t="str">
        <f aca="false">IF(OR(F2497="",C2497=""),"",IF(COUNTIF($C$2:C2497,C2497)=1,MAX($U$1:U2496)+1,""))</f>
        <v/>
      </c>
    </row>
    <row r="2498" customFormat="false" ht="15" hidden="false" customHeight="false" outlineLevel="0" collapsed="false">
      <c r="A2498" s="34"/>
      <c r="B2498" s="9"/>
      <c r="C2498" s="34"/>
      <c r="D2498" s="34"/>
      <c r="E2498" s="34"/>
      <c r="F2498" s="35"/>
      <c r="G2498" s="9"/>
      <c r="H2498" s="9"/>
      <c r="I2498" s="34"/>
      <c r="J2498" s="30" t="str">
        <f aca="false">IF(F2498="","",G2498-B2498)</f>
        <v/>
      </c>
      <c r="K2498" s="31" t="str">
        <f aca="false">IF(F2498="","",IF(H2498&lt;&gt;"",H2498,MAX('Vade Sapması'!$D$3,G2498)))</f>
        <v/>
      </c>
      <c r="L2498" s="30" t="str">
        <f aca="false">IF(F2498="","",K2498-B2498)</f>
        <v/>
      </c>
      <c r="M2498" s="30" t="str">
        <f aca="false">IF(F2498="","",L2498-J2498)</f>
        <v/>
      </c>
      <c r="N2498" s="32" t="str">
        <f aca="false">IF(F2498="","",IF(H2498&lt;&gt;"","Kapandı",IF('Vade Sapması'!$D$3&gt;G2498,"Açık · vadesi geçti","Açık · vadesi gelmedi")))</f>
        <v/>
      </c>
      <c r="O2498" s="30" t="str">
        <f aca="false">IF(F2498="","",IF(AND(H2498="",'Vade Sapması'!$D$3&gt;G2498),'Vade Sapması'!$D$3-G2498,0))</f>
        <v/>
      </c>
      <c r="P2498" s="33" t="str">
        <f aca="false">IF(F2498="","",F2498*J2498)</f>
        <v/>
      </c>
      <c r="Q2498" s="33" t="str">
        <f aca="false">IF(F2498="","",F2498*L2498)</f>
        <v/>
      </c>
      <c r="R2498" s="33" t="str">
        <f aca="false">IF(F2498="","",IF(H2498="",F2498,0))</f>
        <v/>
      </c>
      <c r="S2498" s="32" t="str">
        <f aca="false">IF(F2498="","",IF(N(O2498)=0,"",IF(O2498&lt;=30,"1-30",IF(O2498&lt;=60,"31-60",IF(O2498&lt;=90,"61-90","90+")))))</f>
        <v/>
      </c>
      <c r="T2498" s="32" t="str">
        <f aca="false">IF(F2498="","",IF(E2498="","Diğer",E2498))</f>
        <v/>
      </c>
      <c r="U2498" s="32" t="str">
        <f aca="false">IF(OR(F2498="",C2498=""),"",IF(COUNTIF($C$2:C2498,C2498)=1,MAX($U$1:U2497)+1,""))</f>
        <v/>
      </c>
    </row>
    <row r="2499" customFormat="false" ht="15" hidden="false" customHeight="false" outlineLevel="0" collapsed="false">
      <c r="A2499" s="34"/>
      <c r="B2499" s="9"/>
      <c r="C2499" s="34"/>
      <c r="D2499" s="34"/>
      <c r="E2499" s="34"/>
      <c r="F2499" s="35"/>
      <c r="G2499" s="9"/>
      <c r="H2499" s="9"/>
      <c r="I2499" s="34"/>
      <c r="J2499" s="30" t="str">
        <f aca="false">IF(F2499="","",G2499-B2499)</f>
        <v/>
      </c>
      <c r="K2499" s="31" t="str">
        <f aca="false">IF(F2499="","",IF(H2499&lt;&gt;"",H2499,MAX('Vade Sapması'!$D$3,G2499)))</f>
        <v/>
      </c>
      <c r="L2499" s="30" t="str">
        <f aca="false">IF(F2499="","",K2499-B2499)</f>
        <v/>
      </c>
      <c r="M2499" s="30" t="str">
        <f aca="false">IF(F2499="","",L2499-J2499)</f>
        <v/>
      </c>
      <c r="N2499" s="32" t="str">
        <f aca="false">IF(F2499="","",IF(H2499&lt;&gt;"","Kapandı",IF('Vade Sapması'!$D$3&gt;G2499,"Açık · vadesi geçti","Açık · vadesi gelmedi")))</f>
        <v/>
      </c>
      <c r="O2499" s="30" t="str">
        <f aca="false">IF(F2499="","",IF(AND(H2499="",'Vade Sapması'!$D$3&gt;G2499),'Vade Sapması'!$D$3-G2499,0))</f>
        <v/>
      </c>
      <c r="P2499" s="33" t="str">
        <f aca="false">IF(F2499="","",F2499*J2499)</f>
        <v/>
      </c>
      <c r="Q2499" s="33" t="str">
        <f aca="false">IF(F2499="","",F2499*L2499)</f>
        <v/>
      </c>
      <c r="R2499" s="33" t="str">
        <f aca="false">IF(F2499="","",IF(H2499="",F2499,0))</f>
        <v/>
      </c>
      <c r="S2499" s="32" t="str">
        <f aca="false">IF(F2499="","",IF(N(O2499)=0,"",IF(O2499&lt;=30,"1-30",IF(O2499&lt;=60,"31-60",IF(O2499&lt;=90,"61-90","90+")))))</f>
        <v/>
      </c>
      <c r="T2499" s="32" t="str">
        <f aca="false">IF(F2499="","",IF(E2499="","Diğer",E2499))</f>
        <v/>
      </c>
      <c r="U2499" s="32" t="str">
        <f aca="false">IF(OR(F2499="",C2499=""),"",IF(COUNTIF($C$2:C2499,C2499)=1,MAX($U$1:U2498)+1,""))</f>
        <v/>
      </c>
    </row>
    <row r="2500" customFormat="false" ht="15" hidden="false" customHeight="false" outlineLevel="0" collapsed="false">
      <c r="A2500" s="34"/>
      <c r="B2500" s="9"/>
      <c r="C2500" s="34"/>
      <c r="D2500" s="34"/>
      <c r="E2500" s="34"/>
      <c r="F2500" s="35"/>
      <c r="G2500" s="9"/>
      <c r="H2500" s="9"/>
      <c r="I2500" s="34"/>
      <c r="J2500" s="30" t="str">
        <f aca="false">IF(F2500="","",G2500-B2500)</f>
        <v/>
      </c>
      <c r="K2500" s="31" t="str">
        <f aca="false">IF(F2500="","",IF(H2500&lt;&gt;"",H2500,MAX('Vade Sapması'!$D$3,G2500)))</f>
        <v/>
      </c>
      <c r="L2500" s="30" t="str">
        <f aca="false">IF(F2500="","",K2500-B2500)</f>
        <v/>
      </c>
      <c r="M2500" s="30" t="str">
        <f aca="false">IF(F2500="","",L2500-J2500)</f>
        <v/>
      </c>
      <c r="N2500" s="32" t="str">
        <f aca="false">IF(F2500="","",IF(H2500&lt;&gt;"","Kapandı",IF('Vade Sapması'!$D$3&gt;G2500,"Açık · vadesi geçti","Açık · vadesi gelmedi")))</f>
        <v/>
      </c>
      <c r="O2500" s="30" t="str">
        <f aca="false">IF(F2500="","",IF(AND(H2500="",'Vade Sapması'!$D$3&gt;G2500),'Vade Sapması'!$D$3-G2500,0))</f>
        <v/>
      </c>
      <c r="P2500" s="33" t="str">
        <f aca="false">IF(F2500="","",F2500*J2500)</f>
        <v/>
      </c>
      <c r="Q2500" s="33" t="str">
        <f aca="false">IF(F2500="","",F2500*L2500)</f>
        <v/>
      </c>
      <c r="R2500" s="33" t="str">
        <f aca="false">IF(F2500="","",IF(H2500="",F2500,0))</f>
        <v/>
      </c>
      <c r="S2500" s="32" t="str">
        <f aca="false">IF(F2500="","",IF(N(O2500)=0,"",IF(O2500&lt;=30,"1-30",IF(O2500&lt;=60,"31-60",IF(O2500&lt;=90,"61-90","90+")))))</f>
        <v/>
      </c>
      <c r="T2500" s="32" t="str">
        <f aca="false">IF(F2500="","",IF(E2500="","Diğer",E2500))</f>
        <v/>
      </c>
      <c r="U2500" s="32" t="str">
        <f aca="false">IF(OR(F2500="",C2500=""),"",IF(COUNTIF($C$2:C2500,C2500)=1,MAX($U$1:U2499)+1,""))</f>
        <v/>
      </c>
    </row>
    <row r="2501" customFormat="false" ht="15" hidden="false" customHeight="false" outlineLevel="0" collapsed="false">
      <c r="A2501" s="34"/>
      <c r="B2501" s="9"/>
      <c r="C2501" s="34"/>
      <c r="D2501" s="34"/>
      <c r="E2501" s="34"/>
      <c r="F2501" s="35"/>
      <c r="G2501" s="9"/>
      <c r="H2501" s="9"/>
      <c r="I2501" s="34"/>
      <c r="J2501" s="30" t="str">
        <f aca="false">IF(F2501="","",G2501-B2501)</f>
        <v/>
      </c>
      <c r="K2501" s="31" t="str">
        <f aca="false">IF(F2501="","",IF(H2501&lt;&gt;"",H2501,MAX('Vade Sapması'!$D$3,G2501)))</f>
        <v/>
      </c>
      <c r="L2501" s="30" t="str">
        <f aca="false">IF(F2501="","",K2501-B2501)</f>
        <v/>
      </c>
      <c r="M2501" s="30" t="str">
        <f aca="false">IF(F2501="","",L2501-J2501)</f>
        <v/>
      </c>
      <c r="N2501" s="32" t="str">
        <f aca="false">IF(F2501="","",IF(H2501&lt;&gt;"","Kapandı",IF('Vade Sapması'!$D$3&gt;G2501,"Açık · vadesi geçti","Açık · vadesi gelmedi")))</f>
        <v/>
      </c>
      <c r="O2501" s="30" t="str">
        <f aca="false">IF(F2501="","",IF(AND(H2501="",'Vade Sapması'!$D$3&gt;G2501),'Vade Sapması'!$D$3-G2501,0))</f>
        <v/>
      </c>
      <c r="P2501" s="33" t="str">
        <f aca="false">IF(F2501="","",F2501*J2501)</f>
        <v/>
      </c>
      <c r="Q2501" s="33" t="str">
        <f aca="false">IF(F2501="","",F2501*L2501)</f>
        <v/>
      </c>
      <c r="R2501" s="33" t="str">
        <f aca="false">IF(F2501="","",IF(H2501="",F2501,0))</f>
        <v/>
      </c>
      <c r="S2501" s="32" t="str">
        <f aca="false">IF(F2501="","",IF(N(O2501)=0,"",IF(O2501&lt;=30,"1-30",IF(O2501&lt;=60,"31-60",IF(O2501&lt;=90,"61-90","90+")))))</f>
        <v/>
      </c>
      <c r="T2501" s="32" t="str">
        <f aca="false">IF(F2501="","",IF(E2501="","Diğer",E2501))</f>
        <v/>
      </c>
      <c r="U2501" s="32" t="str">
        <f aca="false">IF(OR(F2501="",C2501=""),"",IF(COUNTIF($C$2:C2501,C2501)=1,MAX($U$1:U2500)+1,""))</f>
        <v/>
      </c>
    </row>
    <row r="2502" customFormat="false" ht="15" hidden="false" customHeight="false" outlineLevel="0" collapsed="false">
      <c r="A2502" s="34"/>
      <c r="B2502" s="9"/>
      <c r="C2502" s="34"/>
      <c r="D2502" s="34"/>
      <c r="E2502" s="34"/>
      <c r="F2502" s="35"/>
      <c r="G2502" s="9"/>
      <c r="H2502" s="9"/>
      <c r="I2502" s="34"/>
      <c r="J2502" s="30" t="str">
        <f aca="false">IF(F2502="","",G2502-B2502)</f>
        <v/>
      </c>
      <c r="K2502" s="31" t="str">
        <f aca="false">IF(F2502="","",IF(H2502&lt;&gt;"",H2502,MAX('Vade Sapması'!$D$3,G2502)))</f>
        <v/>
      </c>
      <c r="L2502" s="30" t="str">
        <f aca="false">IF(F2502="","",K2502-B2502)</f>
        <v/>
      </c>
      <c r="M2502" s="30" t="str">
        <f aca="false">IF(F2502="","",L2502-J2502)</f>
        <v/>
      </c>
      <c r="N2502" s="32" t="str">
        <f aca="false">IF(F2502="","",IF(H2502&lt;&gt;"","Kapandı",IF('Vade Sapması'!$D$3&gt;G2502,"Açık · vadesi geçti","Açık · vadesi gelmedi")))</f>
        <v/>
      </c>
      <c r="O2502" s="30" t="str">
        <f aca="false">IF(F2502="","",IF(AND(H2502="",'Vade Sapması'!$D$3&gt;G2502),'Vade Sapması'!$D$3-G2502,0))</f>
        <v/>
      </c>
      <c r="P2502" s="33" t="str">
        <f aca="false">IF(F2502="","",F2502*J2502)</f>
        <v/>
      </c>
      <c r="Q2502" s="33" t="str">
        <f aca="false">IF(F2502="","",F2502*L2502)</f>
        <v/>
      </c>
      <c r="R2502" s="33" t="str">
        <f aca="false">IF(F2502="","",IF(H2502="",F2502,0))</f>
        <v/>
      </c>
      <c r="S2502" s="32" t="str">
        <f aca="false">IF(F2502="","",IF(N(O2502)=0,"",IF(O2502&lt;=30,"1-30",IF(O2502&lt;=60,"31-60",IF(O2502&lt;=90,"61-90","90+")))))</f>
        <v/>
      </c>
      <c r="T2502" s="32" t="str">
        <f aca="false">IF(F2502="","",IF(E2502="","Diğer",E2502))</f>
        <v/>
      </c>
      <c r="U2502" s="32" t="str">
        <f aca="false">IF(OR(F2502="",C2502=""),"",IF(COUNTIF($C$2:C2502,C2502)=1,MAX($U$1:U2501)+1,""))</f>
        <v/>
      </c>
    </row>
    <row r="2503" customFormat="false" ht="15" hidden="false" customHeight="false" outlineLevel="0" collapsed="false">
      <c r="A2503" s="34"/>
      <c r="B2503" s="9"/>
      <c r="C2503" s="34"/>
      <c r="D2503" s="34"/>
      <c r="E2503" s="34"/>
      <c r="F2503" s="35"/>
      <c r="G2503" s="9"/>
      <c r="H2503" s="9"/>
      <c r="I2503" s="34"/>
      <c r="J2503" s="30" t="str">
        <f aca="false">IF(F2503="","",G2503-B2503)</f>
        <v/>
      </c>
      <c r="K2503" s="31" t="str">
        <f aca="false">IF(F2503="","",IF(H2503&lt;&gt;"",H2503,MAX('Vade Sapması'!$D$3,G2503)))</f>
        <v/>
      </c>
      <c r="L2503" s="30" t="str">
        <f aca="false">IF(F2503="","",K2503-B2503)</f>
        <v/>
      </c>
      <c r="M2503" s="30" t="str">
        <f aca="false">IF(F2503="","",L2503-J2503)</f>
        <v/>
      </c>
      <c r="N2503" s="32" t="str">
        <f aca="false">IF(F2503="","",IF(H2503&lt;&gt;"","Kapandı",IF('Vade Sapması'!$D$3&gt;G2503,"Açık · vadesi geçti","Açık · vadesi gelmedi")))</f>
        <v/>
      </c>
      <c r="O2503" s="30" t="str">
        <f aca="false">IF(F2503="","",IF(AND(H2503="",'Vade Sapması'!$D$3&gt;G2503),'Vade Sapması'!$D$3-G2503,0))</f>
        <v/>
      </c>
      <c r="P2503" s="33" t="str">
        <f aca="false">IF(F2503="","",F2503*J2503)</f>
        <v/>
      </c>
      <c r="Q2503" s="33" t="str">
        <f aca="false">IF(F2503="","",F2503*L2503)</f>
        <v/>
      </c>
      <c r="R2503" s="33" t="str">
        <f aca="false">IF(F2503="","",IF(H2503="",F2503,0))</f>
        <v/>
      </c>
      <c r="S2503" s="32" t="str">
        <f aca="false">IF(F2503="","",IF(N(O2503)=0,"",IF(O2503&lt;=30,"1-30",IF(O2503&lt;=60,"31-60",IF(O2503&lt;=90,"61-90","90+")))))</f>
        <v/>
      </c>
      <c r="T2503" s="32" t="str">
        <f aca="false">IF(F2503="","",IF(E2503="","Diğer",E2503))</f>
        <v/>
      </c>
      <c r="U2503" s="32" t="str">
        <f aca="false">IF(OR(F2503="",C2503=""),"",IF(COUNTIF($C$2:C2503,C2503)=1,MAX($U$1:U2502)+1,""))</f>
        <v/>
      </c>
    </row>
    <row r="2504" customFormat="false" ht="15" hidden="false" customHeight="false" outlineLevel="0" collapsed="false">
      <c r="A2504" s="34"/>
      <c r="B2504" s="9"/>
      <c r="C2504" s="34"/>
      <c r="D2504" s="34"/>
      <c r="E2504" s="34"/>
      <c r="F2504" s="35"/>
      <c r="G2504" s="9"/>
      <c r="H2504" s="9"/>
      <c r="I2504" s="34"/>
      <c r="J2504" s="30" t="str">
        <f aca="false">IF(F2504="","",G2504-B2504)</f>
        <v/>
      </c>
      <c r="K2504" s="31" t="str">
        <f aca="false">IF(F2504="","",IF(H2504&lt;&gt;"",H2504,MAX('Vade Sapması'!$D$3,G2504)))</f>
        <v/>
      </c>
      <c r="L2504" s="30" t="str">
        <f aca="false">IF(F2504="","",K2504-B2504)</f>
        <v/>
      </c>
      <c r="M2504" s="30" t="str">
        <f aca="false">IF(F2504="","",L2504-J2504)</f>
        <v/>
      </c>
      <c r="N2504" s="32" t="str">
        <f aca="false">IF(F2504="","",IF(H2504&lt;&gt;"","Kapandı",IF('Vade Sapması'!$D$3&gt;G2504,"Açık · vadesi geçti","Açık · vadesi gelmedi")))</f>
        <v/>
      </c>
      <c r="O2504" s="30" t="str">
        <f aca="false">IF(F2504="","",IF(AND(H2504="",'Vade Sapması'!$D$3&gt;G2504),'Vade Sapması'!$D$3-G2504,0))</f>
        <v/>
      </c>
      <c r="P2504" s="33" t="str">
        <f aca="false">IF(F2504="","",F2504*J2504)</f>
        <v/>
      </c>
      <c r="Q2504" s="33" t="str">
        <f aca="false">IF(F2504="","",F2504*L2504)</f>
        <v/>
      </c>
      <c r="R2504" s="33" t="str">
        <f aca="false">IF(F2504="","",IF(H2504="",F2504,0))</f>
        <v/>
      </c>
      <c r="S2504" s="32" t="str">
        <f aca="false">IF(F2504="","",IF(N(O2504)=0,"",IF(O2504&lt;=30,"1-30",IF(O2504&lt;=60,"31-60",IF(O2504&lt;=90,"61-90","90+")))))</f>
        <v/>
      </c>
      <c r="T2504" s="32" t="str">
        <f aca="false">IF(F2504="","",IF(E2504="","Diğer",E2504))</f>
        <v/>
      </c>
      <c r="U2504" s="32" t="str">
        <f aca="false">IF(OR(F2504="",C2504=""),"",IF(COUNTIF($C$2:C2504,C2504)=1,MAX($U$1:U2503)+1,""))</f>
        <v/>
      </c>
    </row>
    <row r="2505" customFormat="false" ht="15" hidden="false" customHeight="false" outlineLevel="0" collapsed="false">
      <c r="A2505" s="34"/>
      <c r="B2505" s="9"/>
      <c r="C2505" s="34"/>
      <c r="D2505" s="34"/>
      <c r="E2505" s="34"/>
      <c r="F2505" s="35"/>
      <c r="G2505" s="9"/>
      <c r="H2505" s="9"/>
      <c r="I2505" s="34"/>
      <c r="J2505" s="30" t="str">
        <f aca="false">IF(F2505="","",G2505-B2505)</f>
        <v/>
      </c>
      <c r="K2505" s="31" t="str">
        <f aca="false">IF(F2505="","",IF(H2505&lt;&gt;"",H2505,MAX('Vade Sapması'!$D$3,G2505)))</f>
        <v/>
      </c>
      <c r="L2505" s="30" t="str">
        <f aca="false">IF(F2505="","",K2505-B2505)</f>
        <v/>
      </c>
      <c r="M2505" s="30" t="str">
        <f aca="false">IF(F2505="","",L2505-J2505)</f>
        <v/>
      </c>
      <c r="N2505" s="32" t="str">
        <f aca="false">IF(F2505="","",IF(H2505&lt;&gt;"","Kapandı",IF('Vade Sapması'!$D$3&gt;G2505,"Açık · vadesi geçti","Açık · vadesi gelmedi")))</f>
        <v/>
      </c>
      <c r="O2505" s="30" t="str">
        <f aca="false">IF(F2505="","",IF(AND(H2505="",'Vade Sapması'!$D$3&gt;G2505),'Vade Sapması'!$D$3-G2505,0))</f>
        <v/>
      </c>
      <c r="P2505" s="33" t="str">
        <f aca="false">IF(F2505="","",F2505*J2505)</f>
        <v/>
      </c>
      <c r="Q2505" s="33" t="str">
        <f aca="false">IF(F2505="","",F2505*L2505)</f>
        <v/>
      </c>
      <c r="R2505" s="33" t="str">
        <f aca="false">IF(F2505="","",IF(H2505="",F2505,0))</f>
        <v/>
      </c>
      <c r="S2505" s="32" t="str">
        <f aca="false">IF(F2505="","",IF(N(O2505)=0,"",IF(O2505&lt;=30,"1-30",IF(O2505&lt;=60,"31-60",IF(O2505&lt;=90,"61-90","90+")))))</f>
        <v/>
      </c>
      <c r="T2505" s="32" t="str">
        <f aca="false">IF(F2505="","",IF(E2505="","Diğer",E2505))</f>
        <v/>
      </c>
      <c r="U2505" s="32" t="str">
        <f aca="false">IF(OR(F2505="",C2505=""),"",IF(COUNTIF($C$2:C2505,C2505)=1,MAX($U$1:U2504)+1,""))</f>
        <v/>
      </c>
    </row>
    <row r="2506" customFormat="false" ht="15" hidden="false" customHeight="false" outlineLevel="0" collapsed="false">
      <c r="A2506" s="34"/>
      <c r="B2506" s="9"/>
      <c r="C2506" s="34"/>
      <c r="D2506" s="34"/>
      <c r="E2506" s="34"/>
      <c r="F2506" s="35"/>
      <c r="G2506" s="9"/>
      <c r="H2506" s="9"/>
      <c r="I2506" s="34"/>
      <c r="J2506" s="30" t="str">
        <f aca="false">IF(F2506="","",G2506-B2506)</f>
        <v/>
      </c>
      <c r="K2506" s="31" t="str">
        <f aca="false">IF(F2506="","",IF(H2506&lt;&gt;"",H2506,MAX('Vade Sapması'!$D$3,G2506)))</f>
        <v/>
      </c>
      <c r="L2506" s="30" t="str">
        <f aca="false">IF(F2506="","",K2506-B2506)</f>
        <v/>
      </c>
      <c r="M2506" s="30" t="str">
        <f aca="false">IF(F2506="","",L2506-J2506)</f>
        <v/>
      </c>
      <c r="N2506" s="32" t="str">
        <f aca="false">IF(F2506="","",IF(H2506&lt;&gt;"","Kapandı",IF('Vade Sapması'!$D$3&gt;G2506,"Açık · vadesi geçti","Açık · vadesi gelmedi")))</f>
        <v/>
      </c>
      <c r="O2506" s="30" t="str">
        <f aca="false">IF(F2506="","",IF(AND(H2506="",'Vade Sapması'!$D$3&gt;G2506),'Vade Sapması'!$D$3-G2506,0))</f>
        <v/>
      </c>
      <c r="P2506" s="33" t="str">
        <f aca="false">IF(F2506="","",F2506*J2506)</f>
        <v/>
      </c>
      <c r="Q2506" s="33" t="str">
        <f aca="false">IF(F2506="","",F2506*L2506)</f>
        <v/>
      </c>
      <c r="R2506" s="33" t="str">
        <f aca="false">IF(F2506="","",IF(H2506="",F2506,0))</f>
        <v/>
      </c>
      <c r="S2506" s="32" t="str">
        <f aca="false">IF(F2506="","",IF(N(O2506)=0,"",IF(O2506&lt;=30,"1-30",IF(O2506&lt;=60,"31-60",IF(O2506&lt;=90,"61-90","90+")))))</f>
        <v/>
      </c>
      <c r="T2506" s="32" t="str">
        <f aca="false">IF(F2506="","",IF(E2506="","Diğer",E2506))</f>
        <v/>
      </c>
      <c r="U2506" s="32" t="str">
        <f aca="false">IF(OR(F2506="",C2506=""),"",IF(COUNTIF($C$2:C2506,C2506)=1,MAX($U$1:U2505)+1,""))</f>
        <v/>
      </c>
    </row>
    <row r="2507" customFormat="false" ht="15" hidden="false" customHeight="false" outlineLevel="0" collapsed="false">
      <c r="A2507" s="34"/>
      <c r="B2507" s="9"/>
      <c r="C2507" s="34"/>
      <c r="D2507" s="34"/>
      <c r="E2507" s="34"/>
      <c r="F2507" s="35"/>
      <c r="G2507" s="9"/>
      <c r="H2507" s="9"/>
      <c r="I2507" s="34"/>
      <c r="J2507" s="30" t="str">
        <f aca="false">IF(F2507="","",G2507-B2507)</f>
        <v/>
      </c>
      <c r="K2507" s="31" t="str">
        <f aca="false">IF(F2507="","",IF(H2507&lt;&gt;"",H2507,MAX('Vade Sapması'!$D$3,G2507)))</f>
        <v/>
      </c>
      <c r="L2507" s="30" t="str">
        <f aca="false">IF(F2507="","",K2507-B2507)</f>
        <v/>
      </c>
      <c r="M2507" s="30" t="str">
        <f aca="false">IF(F2507="","",L2507-J2507)</f>
        <v/>
      </c>
      <c r="N2507" s="32" t="str">
        <f aca="false">IF(F2507="","",IF(H2507&lt;&gt;"","Kapandı",IF('Vade Sapması'!$D$3&gt;G2507,"Açık · vadesi geçti","Açık · vadesi gelmedi")))</f>
        <v/>
      </c>
      <c r="O2507" s="30" t="str">
        <f aca="false">IF(F2507="","",IF(AND(H2507="",'Vade Sapması'!$D$3&gt;G2507),'Vade Sapması'!$D$3-G2507,0))</f>
        <v/>
      </c>
      <c r="P2507" s="33" t="str">
        <f aca="false">IF(F2507="","",F2507*J2507)</f>
        <v/>
      </c>
      <c r="Q2507" s="33" t="str">
        <f aca="false">IF(F2507="","",F2507*L2507)</f>
        <v/>
      </c>
      <c r="R2507" s="33" t="str">
        <f aca="false">IF(F2507="","",IF(H2507="",F2507,0))</f>
        <v/>
      </c>
      <c r="S2507" s="32" t="str">
        <f aca="false">IF(F2507="","",IF(N(O2507)=0,"",IF(O2507&lt;=30,"1-30",IF(O2507&lt;=60,"31-60",IF(O2507&lt;=90,"61-90","90+")))))</f>
        <v/>
      </c>
      <c r="T2507" s="32" t="str">
        <f aca="false">IF(F2507="","",IF(E2507="","Diğer",E2507))</f>
        <v/>
      </c>
      <c r="U2507" s="32" t="str">
        <f aca="false">IF(OR(F2507="",C2507=""),"",IF(COUNTIF($C$2:C2507,C2507)=1,MAX($U$1:U2506)+1,""))</f>
        <v/>
      </c>
    </row>
    <row r="2508" customFormat="false" ht="15" hidden="false" customHeight="false" outlineLevel="0" collapsed="false">
      <c r="A2508" s="34"/>
      <c r="B2508" s="9"/>
      <c r="C2508" s="34"/>
      <c r="D2508" s="34"/>
      <c r="E2508" s="34"/>
      <c r="F2508" s="35"/>
      <c r="G2508" s="9"/>
      <c r="H2508" s="9"/>
      <c r="I2508" s="34"/>
      <c r="J2508" s="30" t="str">
        <f aca="false">IF(F2508="","",G2508-B2508)</f>
        <v/>
      </c>
      <c r="K2508" s="31" t="str">
        <f aca="false">IF(F2508="","",IF(H2508&lt;&gt;"",H2508,MAX('Vade Sapması'!$D$3,G2508)))</f>
        <v/>
      </c>
      <c r="L2508" s="30" t="str">
        <f aca="false">IF(F2508="","",K2508-B2508)</f>
        <v/>
      </c>
      <c r="M2508" s="30" t="str">
        <f aca="false">IF(F2508="","",L2508-J2508)</f>
        <v/>
      </c>
      <c r="N2508" s="32" t="str">
        <f aca="false">IF(F2508="","",IF(H2508&lt;&gt;"","Kapandı",IF('Vade Sapması'!$D$3&gt;G2508,"Açık · vadesi geçti","Açık · vadesi gelmedi")))</f>
        <v/>
      </c>
      <c r="O2508" s="30" t="str">
        <f aca="false">IF(F2508="","",IF(AND(H2508="",'Vade Sapması'!$D$3&gt;G2508),'Vade Sapması'!$D$3-G2508,0))</f>
        <v/>
      </c>
      <c r="P2508" s="33" t="str">
        <f aca="false">IF(F2508="","",F2508*J2508)</f>
        <v/>
      </c>
      <c r="Q2508" s="33" t="str">
        <f aca="false">IF(F2508="","",F2508*L2508)</f>
        <v/>
      </c>
      <c r="R2508" s="33" t="str">
        <f aca="false">IF(F2508="","",IF(H2508="",F2508,0))</f>
        <v/>
      </c>
      <c r="S2508" s="32" t="str">
        <f aca="false">IF(F2508="","",IF(N(O2508)=0,"",IF(O2508&lt;=30,"1-30",IF(O2508&lt;=60,"31-60",IF(O2508&lt;=90,"61-90","90+")))))</f>
        <v/>
      </c>
      <c r="T2508" s="32" t="str">
        <f aca="false">IF(F2508="","",IF(E2508="","Diğer",E2508))</f>
        <v/>
      </c>
      <c r="U2508" s="32" t="str">
        <f aca="false">IF(OR(F2508="",C2508=""),"",IF(COUNTIF($C$2:C2508,C2508)=1,MAX($U$1:U2507)+1,""))</f>
        <v/>
      </c>
    </row>
    <row r="2509" customFormat="false" ht="15" hidden="false" customHeight="false" outlineLevel="0" collapsed="false">
      <c r="A2509" s="34"/>
      <c r="B2509" s="9"/>
      <c r="C2509" s="34"/>
      <c r="D2509" s="34"/>
      <c r="E2509" s="34"/>
      <c r="F2509" s="35"/>
      <c r="G2509" s="9"/>
      <c r="H2509" s="9"/>
      <c r="I2509" s="34"/>
      <c r="J2509" s="30" t="str">
        <f aca="false">IF(F2509="","",G2509-B2509)</f>
        <v/>
      </c>
      <c r="K2509" s="31" t="str">
        <f aca="false">IF(F2509="","",IF(H2509&lt;&gt;"",H2509,MAX('Vade Sapması'!$D$3,G2509)))</f>
        <v/>
      </c>
      <c r="L2509" s="30" t="str">
        <f aca="false">IF(F2509="","",K2509-B2509)</f>
        <v/>
      </c>
      <c r="M2509" s="30" t="str">
        <f aca="false">IF(F2509="","",L2509-J2509)</f>
        <v/>
      </c>
      <c r="N2509" s="32" t="str">
        <f aca="false">IF(F2509="","",IF(H2509&lt;&gt;"","Kapandı",IF('Vade Sapması'!$D$3&gt;G2509,"Açık · vadesi geçti","Açık · vadesi gelmedi")))</f>
        <v/>
      </c>
      <c r="O2509" s="30" t="str">
        <f aca="false">IF(F2509="","",IF(AND(H2509="",'Vade Sapması'!$D$3&gt;G2509),'Vade Sapması'!$D$3-G2509,0))</f>
        <v/>
      </c>
      <c r="P2509" s="33" t="str">
        <f aca="false">IF(F2509="","",F2509*J2509)</f>
        <v/>
      </c>
      <c r="Q2509" s="33" t="str">
        <f aca="false">IF(F2509="","",F2509*L2509)</f>
        <v/>
      </c>
      <c r="R2509" s="33" t="str">
        <f aca="false">IF(F2509="","",IF(H2509="",F2509,0))</f>
        <v/>
      </c>
      <c r="S2509" s="32" t="str">
        <f aca="false">IF(F2509="","",IF(N(O2509)=0,"",IF(O2509&lt;=30,"1-30",IF(O2509&lt;=60,"31-60",IF(O2509&lt;=90,"61-90","90+")))))</f>
        <v/>
      </c>
      <c r="T2509" s="32" t="str">
        <f aca="false">IF(F2509="","",IF(E2509="","Diğer",E2509))</f>
        <v/>
      </c>
      <c r="U2509" s="32" t="str">
        <f aca="false">IF(OR(F2509="",C2509=""),"",IF(COUNTIF($C$2:C2509,C2509)=1,MAX($U$1:U2508)+1,""))</f>
        <v/>
      </c>
    </row>
    <row r="2510" customFormat="false" ht="15" hidden="false" customHeight="false" outlineLevel="0" collapsed="false">
      <c r="A2510" s="34"/>
      <c r="B2510" s="9"/>
      <c r="C2510" s="34"/>
      <c r="D2510" s="34"/>
      <c r="E2510" s="34"/>
      <c r="F2510" s="35"/>
      <c r="G2510" s="9"/>
      <c r="H2510" s="9"/>
      <c r="I2510" s="34"/>
      <c r="J2510" s="30" t="str">
        <f aca="false">IF(F2510="","",G2510-B2510)</f>
        <v/>
      </c>
      <c r="K2510" s="31" t="str">
        <f aca="false">IF(F2510="","",IF(H2510&lt;&gt;"",H2510,MAX('Vade Sapması'!$D$3,G2510)))</f>
        <v/>
      </c>
      <c r="L2510" s="30" t="str">
        <f aca="false">IF(F2510="","",K2510-B2510)</f>
        <v/>
      </c>
      <c r="M2510" s="30" t="str">
        <f aca="false">IF(F2510="","",L2510-J2510)</f>
        <v/>
      </c>
      <c r="N2510" s="32" t="str">
        <f aca="false">IF(F2510="","",IF(H2510&lt;&gt;"","Kapandı",IF('Vade Sapması'!$D$3&gt;G2510,"Açık · vadesi geçti","Açık · vadesi gelmedi")))</f>
        <v/>
      </c>
      <c r="O2510" s="30" t="str">
        <f aca="false">IF(F2510="","",IF(AND(H2510="",'Vade Sapması'!$D$3&gt;G2510),'Vade Sapması'!$D$3-G2510,0))</f>
        <v/>
      </c>
      <c r="P2510" s="33" t="str">
        <f aca="false">IF(F2510="","",F2510*J2510)</f>
        <v/>
      </c>
      <c r="Q2510" s="33" t="str">
        <f aca="false">IF(F2510="","",F2510*L2510)</f>
        <v/>
      </c>
      <c r="R2510" s="33" t="str">
        <f aca="false">IF(F2510="","",IF(H2510="",F2510,0))</f>
        <v/>
      </c>
      <c r="S2510" s="32" t="str">
        <f aca="false">IF(F2510="","",IF(N(O2510)=0,"",IF(O2510&lt;=30,"1-30",IF(O2510&lt;=60,"31-60",IF(O2510&lt;=90,"61-90","90+")))))</f>
        <v/>
      </c>
      <c r="T2510" s="32" t="str">
        <f aca="false">IF(F2510="","",IF(E2510="","Diğer",E2510))</f>
        <v/>
      </c>
      <c r="U2510" s="32" t="str">
        <f aca="false">IF(OR(F2510="",C2510=""),"",IF(COUNTIF($C$2:C2510,C2510)=1,MAX($U$1:U2509)+1,""))</f>
        <v/>
      </c>
    </row>
    <row r="2511" customFormat="false" ht="15" hidden="false" customHeight="false" outlineLevel="0" collapsed="false">
      <c r="A2511" s="34"/>
      <c r="B2511" s="9"/>
      <c r="C2511" s="34"/>
      <c r="D2511" s="34"/>
      <c r="E2511" s="34"/>
      <c r="F2511" s="35"/>
      <c r="G2511" s="9"/>
      <c r="H2511" s="9"/>
      <c r="I2511" s="34"/>
      <c r="J2511" s="30" t="str">
        <f aca="false">IF(F2511="","",G2511-B2511)</f>
        <v/>
      </c>
      <c r="K2511" s="31" t="str">
        <f aca="false">IF(F2511="","",IF(H2511&lt;&gt;"",H2511,MAX('Vade Sapması'!$D$3,G2511)))</f>
        <v/>
      </c>
      <c r="L2511" s="30" t="str">
        <f aca="false">IF(F2511="","",K2511-B2511)</f>
        <v/>
      </c>
      <c r="M2511" s="30" t="str">
        <f aca="false">IF(F2511="","",L2511-J2511)</f>
        <v/>
      </c>
      <c r="N2511" s="32" t="str">
        <f aca="false">IF(F2511="","",IF(H2511&lt;&gt;"","Kapandı",IF('Vade Sapması'!$D$3&gt;G2511,"Açık · vadesi geçti","Açık · vadesi gelmedi")))</f>
        <v/>
      </c>
      <c r="O2511" s="30" t="str">
        <f aca="false">IF(F2511="","",IF(AND(H2511="",'Vade Sapması'!$D$3&gt;G2511),'Vade Sapması'!$D$3-G2511,0))</f>
        <v/>
      </c>
      <c r="P2511" s="33" t="str">
        <f aca="false">IF(F2511="","",F2511*J2511)</f>
        <v/>
      </c>
      <c r="Q2511" s="33" t="str">
        <f aca="false">IF(F2511="","",F2511*L2511)</f>
        <v/>
      </c>
      <c r="R2511" s="33" t="str">
        <f aca="false">IF(F2511="","",IF(H2511="",F2511,0))</f>
        <v/>
      </c>
      <c r="S2511" s="32" t="str">
        <f aca="false">IF(F2511="","",IF(N(O2511)=0,"",IF(O2511&lt;=30,"1-30",IF(O2511&lt;=60,"31-60",IF(O2511&lt;=90,"61-90","90+")))))</f>
        <v/>
      </c>
      <c r="T2511" s="32" t="str">
        <f aca="false">IF(F2511="","",IF(E2511="","Diğer",E2511))</f>
        <v/>
      </c>
      <c r="U2511" s="32" t="str">
        <f aca="false">IF(OR(F2511="",C2511=""),"",IF(COUNTIF($C$2:C2511,C2511)=1,MAX($U$1:U2510)+1,""))</f>
        <v/>
      </c>
    </row>
    <row r="2512" customFormat="false" ht="15" hidden="false" customHeight="false" outlineLevel="0" collapsed="false">
      <c r="A2512" s="34"/>
      <c r="B2512" s="9"/>
      <c r="C2512" s="34"/>
      <c r="D2512" s="34"/>
      <c r="E2512" s="34"/>
      <c r="F2512" s="35"/>
      <c r="G2512" s="9"/>
      <c r="H2512" s="9"/>
      <c r="I2512" s="34"/>
      <c r="J2512" s="30" t="str">
        <f aca="false">IF(F2512="","",G2512-B2512)</f>
        <v/>
      </c>
      <c r="K2512" s="31" t="str">
        <f aca="false">IF(F2512="","",IF(H2512&lt;&gt;"",H2512,MAX('Vade Sapması'!$D$3,G2512)))</f>
        <v/>
      </c>
      <c r="L2512" s="30" t="str">
        <f aca="false">IF(F2512="","",K2512-B2512)</f>
        <v/>
      </c>
      <c r="M2512" s="30" t="str">
        <f aca="false">IF(F2512="","",L2512-J2512)</f>
        <v/>
      </c>
      <c r="N2512" s="32" t="str">
        <f aca="false">IF(F2512="","",IF(H2512&lt;&gt;"","Kapandı",IF('Vade Sapması'!$D$3&gt;G2512,"Açık · vadesi geçti","Açık · vadesi gelmedi")))</f>
        <v/>
      </c>
      <c r="O2512" s="30" t="str">
        <f aca="false">IF(F2512="","",IF(AND(H2512="",'Vade Sapması'!$D$3&gt;G2512),'Vade Sapması'!$D$3-G2512,0))</f>
        <v/>
      </c>
      <c r="P2512" s="33" t="str">
        <f aca="false">IF(F2512="","",F2512*J2512)</f>
        <v/>
      </c>
      <c r="Q2512" s="33" t="str">
        <f aca="false">IF(F2512="","",F2512*L2512)</f>
        <v/>
      </c>
      <c r="R2512" s="33" t="str">
        <f aca="false">IF(F2512="","",IF(H2512="",F2512,0))</f>
        <v/>
      </c>
      <c r="S2512" s="32" t="str">
        <f aca="false">IF(F2512="","",IF(N(O2512)=0,"",IF(O2512&lt;=30,"1-30",IF(O2512&lt;=60,"31-60",IF(O2512&lt;=90,"61-90","90+")))))</f>
        <v/>
      </c>
      <c r="T2512" s="32" t="str">
        <f aca="false">IF(F2512="","",IF(E2512="","Diğer",E2512))</f>
        <v/>
      </c>
      <c r="U2512" s="32" t="str">
        <f aca="false">IF(OR(F2512="",C2512=""),"",IF(COUNTIF($C$2:C2512,C2512)=1,MAX($U$1:U2511)+1,""))</f>
        <v/>
      </c>
    </row>
    <row r="2513" customFormat="false" ht="15" hidden="false" customHeight="false" outlineLevel="0" collapsed="false">
      <c r="A2513" s="34"/>
      <c r="B2513" s="9"/>
      <c r="C2513" s="34"/>
      <c r="D2513" s="34"/>
      <c r="E2513" s="34"/>
      <c r="F2513" s="35"/>
      <c r="G2513" s="9"/>
      <c r="H2513" s="9"/>
      <c r="I2513" s="34"/>
      <c r="J2513" s="30" t="str">
        <f aca="false">IF(F2513="","",G2513-B2513)</f>
        <v/>
      </c>
      <c r="K2513" s="31" t="str">
        <f aca="false">IF(F2513="","",IF(H2513&lt;&gt;"",H2513,MAX('Vade Sapması'!$D$3,G2513)))</f>
        <v/>
      </c>
      <c r="L2513" s="30" t="str">
        <f aca="false">IF(F2513="","",K2513-B2513)</f>
        <v/>
      </c>
      <c r="M2513" s="30" t="str">
        <f aca="false">IF(F2513="","",L2513-J2513)</f>
        <v/>
      </c>
      <c r="N2513" s="32" t="str">
        <f aca="false">IF(F2513="","",IF(H2513&lt;&gt;"","Kapandı",IF('Vade Sapması'!$D$3&gt;G2513,"Açık · vadesi geçti","Açık · vadesi gelmedi")))</f>
        <v/>
      </c>
      <c r="O2513" s="30" t="str">
        <f aca="false">IF(F2513="","",IF(AND(H2513="",'Vade Sapması'!$D$3&gt;G2513),'Vade Sapması'!$D$3-G2513,0))</f>
        <v/>
      </c>
      <c r="P2513" s="33" t="str">
        <f aca="false">IF(F2513="","",F2513*J2513)</f>
        <v/>
      </c>
      <c r="Q2513" s="33" t="str">
        <f aca="false">IF(F2513="","",F2513*L2513)</f>
        <v/>
      </c>
      <c r="R2513" s="33" t="str">
        <f aca="false">IF(F2513="","",IF(H2513="",F2513,0))</f>
        <v/>
      </c>
      <c r="S2513" s="32" t="str">
        <f aca="false">IF(F2513="","",IF(N(O2513)=0,"",IF(O2513&lt;=30,"1-30",IF(O2513&lt;=60,"31-60",IF(O2513&lt;=90,"61-90","90+")))))</f>
        <v/>
      </c>
      <c r="T2513" s="32" t="str">
        <f aca="false">IF(F2513="","",IF(E2513="","Diğer",E2513))</f>
        <v/>
      </c>
      <c r="U2513" s="32" t="str">
        <f aca="false">IF(OR(F2513="",C2513=""),"",IF(COUNTIF($C$2:C2513,C2513)=1,MAX($U$1:U2512)+1,""))</f>
        <v/>
      </c>
    </row>
    <row r="2514" customFormat="false" ht="15" hidden="false" customHeight="false" outlineLevel="0" collapsed="false">
      <c r="A2514" s="34"/>
      <c r="B2514" s="9"/>
      <c r="C2514" s="34"/>
      <c r="D2514" s="34"/>
      <c r="E2514" s="34"/>
      <c r="F2514" s="35"/>
      <c r="G2514" s="9"/>
      <c r="H2514" s="9"/>
      <c r="I2514" s="34"/>
      <c r="J2514" s="30" t="str">
        <f aca="false">IF(F2514="","",G2514-B2514)</f>
        <v/>
      </c>
      <c r="K2514" s="31" t="str">
        <f aca="false">IF(F2514="","",IF(H2514&lt;&gt;"",H2514,MAX('Vade Sapması'!$D$3,G2514)))</f>
        <v/>
      </c>
      <c r="L2514" s="30" t="str">
        <f aca="false">IF(F2514="","",K2514-B2514)</f>
        <v/>
      </c>
      <c r="M2514" s="30" t="str">
        <f aca="false">IF(F2514="","",L2514-J2514)</f>
        <v/>
      </c>
      <c r="N2514" s="32" t="str">
        <f aca="false">IF(F2514="","",IF(H2514&lt;&gt;"","Kapandı",IF('Vade Sapması'!$D$3&gt;G2514,"Açık · vadesi geçti","Açık · vadesi gelmedi")))</f>
        <v/>
      </c>
      <c r="O2514" s="30" t="str">
        <f aca="false">IF(F2514="","",IF(AND(H2514="",'Vade Sapması'!$D$3&gt;G2514),'Vade Sapması'!$D$3-G2514,0))</f>
        <v/>
      </c>
      <c r="P2514" s="33" t="str">
        <f aca="false">IF(F2514="","",F2514*J2514)</f>
        <v/>
      </c>
      <c r="Q2514" s="33" t="str">
        <f aca="false">IF(F2514="","",F2514*L2514)</f>
        <v/>
      </c>
      <c r="R2514" s="33" t="str">
        <f aca="false">IF(F2514="","",IF(H2514="",F2514,0))</f>
        <v/>
      </c>
      <c r="S2514" s="32" t="str">
        <f aca="false">IF(F2514="","",IF(N(O2514)=0,"",IF(O2514&lt;=30,"1-30",IF(O2514&lt;=60,"31-60",IF(O2514&lt;=90,"61-90","90+")))))</f>
        <v/>
      </c>
      <c r="T2514" s="32" t="str">
        <f aca="false">IF(F2514="","",IF(E2514="","Diğer",E2514))</f>
        <v/>
      </c>
      <c r="U2514" s="32" t="str">
        <f aca="false">IF(OR(F2514="",C2514=""),"",IF(COUNTIF($C$2:C2514,C2514)=1,MAX($U$1:U2513)+1,""))</f>
        <v/>
      </c>
    </row>
    <row r="2515" customFormat="false" ht="15" hidden="false" customHeight="false" outlineLevel="0" collapsed="false">
      <c r="A2515" s="34"/>
      <c r="B2515" s="9"/>
      <c r="C2515" s="34"/>
      <c r="D2515" s="34"/>
      <c r="E2515" s="34"/>
      <c r="F2515" s="35"/>
      <c r="G2515" s="9"/>
      <c r="H2515" s="9"/>
      <c r="I2515" s="34"/>
      <c r="J2515" s="30" t="str">
        <f aca="false">IF(F2515="","",G2515-B2515)</f>
        <v/>
      </c>
      <c r="K2515" s="31" t="str">
        <f aca="false">IF(F2515="","",IF(H2515&lt;&gt;"",H2515,MAX('Vade Sapması'!$D$3,G2515)))</f>
        <v/>
      </c>
      <c r="L2515" s="30" t="str">
        <f aca="false">IF(F2515="","",K2515-B2515)</f>
        <v/>
      </c>
      <c r="M2515" s="30" t="str">
        <f aca="false">IF(F2515="","",L2515-J2515)</f>
        <v/>
      </c>
      <c r="N2515" s="32" t="str">
        <f aca="false">IF(F2515="","",IF(H2515&lt;&gt;"","Kapandı",IF('Vade Sapması'!$D$3&gt;G2515,"Açık · vadesi geçti","Açık · vadesi gelmedi")))</f>
        <v/>
      </c>
      <c r="O2515" s="30" t="str">
        <f aca="false">IF(F2515="","",IF(AND(H2515="",'Vade Sapması'!$D$3&gt;G2515),'Vade Sapması'!$D$3-G2515,0))</f>
        <v/>
      </c>
      <c r="P2515" s="33" t="str">
        <f aca="false">IF(F2515="","",F2515*J2515)</f>
        <v/>
      </c>
      <c r="Q2515" s="33" t="str">
        <f aca="false">IF(F2515="","",F2515*L2515)</f>
        <v/>
      </c>
      <c r="R2515" s="33" t="str">
        <f aca="false">IF(F2515="","",IF(H2515="",F2515,0))</f>
        <v/>
      </c>
      <c r="S2515" s="32" t="str">
        <f aca="false">IF(F2515="","",IF(N(O2515)=0,"",IF(O2515&lt;=30,"1-30",IF(O2515&lt;=60,"31-60",IF(O2515&lt;=90,"61-90","90+")))))</f>
        <v/>
      </c>
      <c r="T2515" s="32" t="str">
        <f aca="false">IF(F2515="","",IF(E2515="","Diğer",E2515))</f>
        <v/>
      </c>
      <c r="U2515" s="32" t="str">
        <f aca="false">IF(OR(F2515="",C2515=""),"",IF(COUNTIF($C$2:C2515,C2515)=1,MAX($U$1:U2514)+1,""))</f>
        <v/>
      </c>
    </row>
    <row r="2516" customFormat="false" ht="15" hidden="false" customHeight="false" outlineLevel="0" collapsed="false">
      <c r="A2516" s="34"/>
      <c r="B2516" s="9"/>
      <c r="C2516" s="34"/>
      <c r="D2516" s="34"/>
      <c r="E2516" s="34"/>
      <c r="F2516" s="35"/>
      <c r="G2516" s="9"/>
      <c r="H2516" s="9"/>
      <c r="I2516" s="34"/>
      <c r="J2516" s="30" t="str">
        <f aca="false">IF(F2516="","",G2516-B2516)</f>
        <v/>
      </c>
      <c r="K2516" s="31" t="str">
        <f aca="false">IF(F2516="","",IF(H2516&lt;&gt;"",H2516,MAX('Vade Sapması'!$D$3,G2516)))</f>
        <v/>
      </c>
      <c r="L2516" s="30" t="str">
        <f aca="false">IF(F2516="","",K2516-B2516)</f>
        <v/>
      </c>
      <c r="M2516" s="30" t="str">
        <f aca="false">IF(F2516="","",L2516-J2516)</f>
        <v/>
      </c>
      <c r="N2516" s="32" t="str">
        <f aca="false">IF(F2516="","",IF(H2516&lt;&gt;"","Kapandı",IF('Vade Sapması'!$D$3&gt;G2516,"Açık · vadesi geçti","Açık · vadesi gelmedi")))</f>
        <v/>
      </c>
      <c r="O2516" s="30" t="str">
        <f aca="false">IF(F2516="","",IF(AND(H2516="",'Vade Sapması'!$D$3&gt;G2516),'Vade Sapması'!$D$3-G2516,0))</f>
        <v/>
      </c>
      <c r="P2516" s="33" t="str">
        <f aca="false">IF(F2516="","",F2516*J2516)</f>
        <v/>
      </c>
      <c r="Q2516" s="33" t="str">
        <f aca="false">IF(F2516="","",F2516*L2516)</f>
        <v/>
      </c>
      <c r="R2516" s="33" t="str">
        <f aca="false">IF(F2516="","",IF(H2516="",F2516,0))</f>
        <v/>
      </c>
      <c r="S2516" s="32" t="str">
        <f aca="false">IF(F2516="","",IF(N(O2516)=0,"",IF(O2516&lt;=30,"1-30",IF(O2516&lt;=60,"31-60",IF(O2516&lt;=90,"61-90","90+")))))</f>
        <v/>
      </c>
      <c r="T2516" s="32" t="str">
        <f aca="false">IF(F2516="","",IF(E2516="","Diğer",E2516))</f>
        <v/>
      </c>
      <c r="U2516" s="32" t="str">
        <f aca="false">IF(OR(F2516="",C2516=""),"",IF(COUNTIF($C$2:C2516,C2516)=1,MAX($U$1:U2515)+1,""))</f>
        <v/>
      </c>
    </row>
    <row r="2517" customFormat="false" ht="15" hidden="false" customHeight="false" outlineLevel="0" collapsed="false">
      <c r="A2517" s="34"/>
      <c r="B2517" s="9"/>
      <c r="C2517" s="34"/>
      <c r="D2517" s="34"/>
      <c r="E2517" s="34"/>
      <c r="F2517" s="35"/>
      <c r="G2517" s="9"/>
      <c r="H2517" s="9"/>
      <c r="I2517" s="34"/>
      <c r="J2517" s="30" t="str">
        <f aca="false">IF(F2517="","",G2517-B2517)</f>
        <v/>
      </c>
      <c r="K2517" s="31" t="str">
        <f aca="false">IF(F2517="","",IF(H2517&lt;&gt;"",H2517,MAX('Vade Sapması'!$D$3,G2517)))</f>
        <v/>
      </c>
      <c r="L2517" s="30" t="str">
        <f aca="false">IF(F2517="","",K2517-B2517)</f>
        <v/>
      </c>
      <c r="M2517" s="30" t="str">
        <f aca="false">IF(F2517="","",L2517-J2517)</f>
        <v/>
      </c>
      <c r="N2517" s="32" t="str">
        <f aca="false">IF(F2517="","",IF(H2517&lt;&gt;"","Kapandı",IF('Vade Sapması'!$D$3&gt;G2517,"Açık · vadesi geçti","Açık · vadesi gelmedi")))</f>
        <v/>
      </c>
      <c r="O2517" s="30" t="str">
        <f aca="false">IF(F2517="","",IF(AND(H2517="",'Vade Sapması'!$D$3&gt;G2517),'Vade Sapması'!$D$3-G2517,0))</f>
        <v/>
      </c>
      <c r="P2517" s="33" t="str">
        <f aca="false">IF(F2517="","",F2517*J2517)</f>
        <v/>
      </c>
      <c r="Q2517" s="33" t="str">
        <f aca="false">IF(F2517="","",F2517*L2517)</f>
        <v/>
      </c>
      <c r="R2517" s="33" t="str">
        <f aca="false">IF(F2517="","",IF(H2517="",F2517,0))</f>
        <v/>
      </c>
      <c r="S2517" s="32" t="str">
        <f aca="false">IF(F2517="","",IF(N(O2517)=0,"",IF(O2517&lt;=30,"1-30",IF(O2517&lt;=60,"31-60",IF(O2517&lt;=90,"61-90","90+")))))</f>
        <v/>
      </c>
      <c r="T2517" s="32" t="str">
        <f aca="false">IF(F2517="","",IF(E2517="","Diğer",E2517))</f>
        <v/>
      </c>
      <c r="U2517" s="32" t="str">
        <f aca="false">IF(OR(F2517="",C2517=""),"",IF(COUNTIF($C$2:C2517,C2517)=1,MAX($U$1:U2516)+1,""))</f>
        <v/>
      </c>
    </row>
    <row r="2518" customFormat="false" ht="15" hidden="false" customHeight="false" outlineLevel="0" collapsed="false">
      <c r="A2518" s="34"/>
      <c r="B2518" s="9"/>
      <c r="C2518" s="34"/>
      <c r="D2518" s="34"/>
      <c r="E2518" s="34"/>
      <c r="F2518" s="35"/>
      <c r="G2518" s="9"/>
      <c r="H2518" s="9"/>
      <c r="I2518" s="34"/>
      <c r="J2518" s="30" t="str">
        <f aca="false">IF(F2518="","",G2518-B2518)</f>
        <v/>
      </c>
      <c r="K2518" s="31" t="str">
        <f aca="false">IF(F2518="","",IF(H2518&lt;&gt;"",H2518,MAX('Vade Sapması'!$D$3,G2518)))</f>
        <v/>
      </c>
      <c r="L2518" s="30" t="str">
        <f aca="false">IF(F2518="","",K2518-B2518)</f>
        <v/>
      </c>
      <c r="M2518" s="30" t="str">
        <f aca="false">IF(F2518="","",L2518-J2518)</f>
        <v/>
      </c>
      <c r="N2518" s="32" t="str">
        <f aca="false">IF(F2518="","",IF(H2518&lt;&gt;"","Kapandı",IF('Vade Sapması'!$D$3&gt;G2518,"Açık · vadesi geçti","Açık · vadesi gelmedi")))</f>
        <v/>
      </c>
      <c r="O2518" s="30" t="str">
        <f aca="false">IF(F2518="","",IF(AND(H2518="",'Vade Sapması'!$D$3&gt;G2518),'Vade Sapması'!$D$3-G2518,0))</f>
        <v/>
      </c>
      <c r="P2518" s="33" t="str">
        <f aca="false">IF(F2518="","",F2518*J2518)</f>
        <v/>
      </c>
      <c r="Q2518" s="33" t="str">
        <f aca="false">IF(F2518="","",F2518*L2518)</f>
        <v/>
      </c>
      <c r="R2518" s="33" t="str">
        <f aca="false">IF(F2518="","",IF(H2518="",F2518,0))</f>
        <v/>
      </c>
      <c r="S2518" s="32" t="str">
        <f aca="false">IF(F2518="","",IF(N(O2518)=0,"",IF(O2518&lt;=30,"1-30",IF(O2518&lt;=60,"31-60",IF(O2518&lt;=90,"61-90","90+")))))</f>
        <v/>
      </c>
      <c r="T2518" s="32" t="str">
        <f aca="false">IF(F2518="","",IF(E2518="","Diğer",E2518))</f>
        <v/>
      </c>
      <c r="U2518" s="32" t="str">
        <f aca="false">IF(OR(F2518="",C2518=""),"",IF(COUNTIF($C$2:C2518,C2518)=1,MAX($U$1:U2517)+1,""))</f>
        <v/>
      </c>
    </row>
    <row r="2519" customFormat="false" ht="15" hidden="false" customHeight="false" outlineLevel="0" collapsed="false">
      <c r="A2519" s="34"/>
      <c r="B2519" s="9"/>
      <c r="C2519" s="34"/>
      <c r="D2519" s="34"/>
      <c r="E2519" s="34"/>
      <c r="F2519" s="35"/>
      <c r="G2519" s="9"/>
      <c r="H2519" s="9"/>
      <c r="I2519" s="34"/>
      <c r="J2519" s="30" t="str">
        <f aca="false">IF(F2519="","",G2519-B2519)</f>
        <v/>
      </c>
      <c r="K2519" s="31" t="str">
        <f aca="false">IF(F2519="","",IF(H2519&lt;&gt;"",H2519,MAX('Vade Sapması'!$D$3,G2519)))</f>
        <v/>
      </c>
      <c r="L2519" s="30" t="str">
        <f aca="false">IF(F2519="","",K2519-B2519)</f>
        <v/>
      </c>
      <c r="M2519" s="30" t="str">
        <f aca="false">IF(F2519="","",L2519-J2519)</f>
        <v/>
      </c>
      <c r="N2519" s="32" t="str">
        <f aca="false">IF(F2519="","",IF(H2519&lt;&gt;"","Kapandı",IF('Vade Sapması'!$D$3&gt;G2519,"Açık · vadesi geçti","Açık · vadesi gelmedi")))</f>
        <v/>
      </c>
      <c r="O2519" s="30" t="str">
        <f aca="false">IF(F2519="","",IF(AND(H2519="",'Vade Sapması'!$D$3&gt;G2519),'Vade Sapması'!$D$3-G2519,0))</f>
        <v/>
      </c>
      <c r="P2519" s="33" t="str">
        <f aca="false">IF(F2519="","",F2519*J2519)</f>
        <v/>
      </c>
      <c r="Q2519" s="33" t="str">
        <f aca="false">IF(F2519="","",F2519*L2519)</f>
        <v/>
      </c>
      <c r="R2519" s="33" t="str">
        <f aca="false">IF(F2519="","",IF(H2519="",F2519,0))</f>
        <v/>
      </c>
      <c r="S2519" s="32" t="str">
        <f aca="false">IF(F2519="","",IF(N(O2519)=0,"",IF(O2519&lt;=30,"1-30",IF(O2519&lt;=60,"31-60",IF(O2519&lt;=90,"61-90","90+")))))</f>
        <v/>
      </c>
      <c r="T2519" s="32" t="str">
        <f aca="false">IF(F2519="","",IF(E2519="","Diğer",E2519))</f>
        <v/>
      </c>
      <c r="U2519" s="32" t="str">
        <f aca="false">IF(OR(F2519="",C2519=""),"",IF(COUNTIF($C$2:C2519,C2519)=1,MAX($U$1:U2518)+1,""))</f>
        <v/>
      </c>
    </row>
    <row r="2520" customFormat="false" ht="15" hidden="false" customHeight="false" outlineLevel="0" collapsed="false">
      <c r="A2520" s="34"/>
      <c r="B2520" s="9"/>
      <c r="C2520" s="34"/>
      <c r="D2520" s="34"/>
      <c r="E2520" s="34"/>
      <c r="F2520" s="35"/>
      <c r="G2520" s="9"/>
      <c r="H2520" s="9"/>
      <c r="I2520" s="34"/>
      <c r="J2520" s="30" t="str">
        <f aca="false">IF(F2520="","",G2520-B2520)</f>
        <v/>
      </c>
      <c r="K2520" s="31" t="str">
        <f aca="false">IF(F2520="","",IF(H2520&lt;&gt;"",H2520,MAX('Vade Sapması'!$D$3,G2520)))</f>
        <v/>
      </c>
      <c r="L2520" s="30" t="str">
        <f aca="false">IF(F2520="","",K2520-B2520)</f>
        <v/>
      </c>
      <c r="M2520" s="30" t="str">
        <f aca="false">IF(F2520="","",L2520-J2520)</f>
        <v/>
      </c>
      <c r="N2520" s="32" t="str">
        <f aca="false">IF(F2520="","",IF(H2520&lt;&gt;"","Kapandı",IF('Vade Sapması'!$D$3&gt;G2520,"Açık · vadesi geçti","Açık · vadesi gelmedi")))</f>
        <v/>
      </c>
      <c r="O2520" s="30" t="str">
        <f aca="false">IF(F2520="","",IF(AND(H2520="",'Vade Sapması'!$D$3&gt;G2520),'Vade Sapması'!$D$3-G2520,0))</f>
        <v/>
      </c>
      <c r="P2520" s="33" t="str">
        <f aca="false">IF(F2520="","",F2520*J2520)</f>
        <v/>
      </c>
      <c r="Q2520" s="33" t="str">
        <f aca="false">IF(F2520="","",F2520*L2520)</f>
        <v/>
      </c>
      <c r="R2520" s="33" t="str">
        <f aca="false">IF(F2520="","",IF(H2520="",F2520,0))</f>
        <v/>
      </c>
      <c r="S2520" s="32" t="str">
        <f aca="false">IF(F2520="","",IF(N(O2520)=0,"",IF(O2520&lt;=30,"1-30",IF(O2520&lt;=60,"31-60",IF(O2520&lt;=90,"61-90","90+")))))</f>
        <v/>
      </c>
      <c r="T2520" s="32" t="str">
        <f aca="false">IF(F2520="","",IF(E2520="","Diğer",E2520))</f>
        <v/>
      </c>
      <c r="U2520" s="32" t="str">
        <f aca="false">IF(OR(F2520="",C2520=""),"",IF(COUNTIF($C$2:C2520,C2520)=1,MAX($U$1:U2519)+1,""))</f>
        <v/>
      </c>
    </row>
    <row r="2521" customFormat="false" ht="15" hidden="false" customHeight="false" outlineLevel="0" collapsed="false">
      <c r="A2521" s="34"/>
      <c r="B2521" s="9"/>
      <c r="C2521" s="34"/>
      <c r="D2521" s="34"/>
      <c r="E2521" s="34"/>
      <c r="F2521" s="35"/>
      <c r="G2521" s="9"/>
      <c r="H2521" s="9"/>
      <c r="I2521" s="34"/>
      <c r="J2521" s="30" t="str">
        <f aca="false">IF(F2521="","",G2521-B2521)</f>
        <v/>
      </c>
      <c r="K2521" s="31" t="str">
        <f aca="false">IF(F2521="","",IF(H2521&lt;&gt;"",H2521,MAX('Vade Sapması'!$D$3,G2521)))</f>
        <v/>
      </c>
      <c r="L2521" s="30" t="str">
        <f aca="false">IF(F2521="","",K2521-B2521)</f>
        <v/>
      </c>
      <c r="M2521" s="30" t="str">
        <f aca="false">IF(F2521="","",L2521-J2521)</f>
        <v/>
      </c>
      <c r="N2521" s="32" t="str">
        <f aca="false">IF(F2521="","",IF(H2521&lt;&gt;"","Kapandı",IF('Vade Sapması'!$D$3&gt;G2521,"Açık · vadesi geçti","Açık · vadesi gelmedi")))</f>
        <v/>
      </c>
      <c r="O2521" s="30" t="str">
        <f aca="false">IF(F2521="","",IF(AND(H2521="",'Vade Sapması'!$D$3&gt;G2521),'Vade Sapması'!$D$3-G2521,0))</f>
        <v/>
      </c>
      <c r="P2521" s="33" t="str">
        <f aca="false">IF(F2521="","",F2521*J2521)</f>
        <v/>
      </c>
      <c r="Q2521" s="33" t="str">
        <f aca="false">IF(F2521="","",F2521*L2521)</f>
        <v/>
      </c>
      <c r="R2521" s="33" t="str">
        <f aca="false">IF(F2521="","",IF(H2521="",F2521,0))</f>
        <v/>
      </c>
      <c r="S2521" s="32" t="str">
        <f aca="false">IF(F2521="","",IF(N(O2521)=0,"",IF(O2521&lt;=30,"1-30",IF(O2521&lt;=60,"31-60",IF(O2521&lt;=90,"61-90","90+")))))</f>
        <v/>
      </c>
      <c r="T2521" s="32" t="str">
        <f aca="false">IF(F2521="","",IF(E2521="","Diğer",E2521))</f>
        <v/>
      </c>
      <c r="U2521" s="32" t="str">
        <f aca="false">IF(OR(F2521="",C2521=""),"",IF(COUNTIF($C$2:C2521,C2521)=1,MAX($U$1:U2520)+1,""))</f>
        <v/>
      </c>
    </row>
    <row r="2522" customFormat="false" ht="15" hidden="false" customHeight="false" outlineLevel="0" collapsed="false">
      <c r="A2522" s="34"/>
      <c r="B2522" s="9"/>
      <c r="C2522" s="34"/>
      <c r="D2522" s="34"/>
      <c r="E2522" s="34"/>
      <c r="F2522" s="35"/>
      <c r="G2522" s="9"/>
      <c r="H2522" s="9"/>
      <c r="I2522" s="34"/>
      <c r="J2522" s="30" t="str">
        <f aca="false">IF(F2522="","",G2522-B2522)</f>
        <v/>
      </c>
      <c r="K2522" s="31" t="str">
        <f aca="false">IF(F2522="","",IF(H2522&lt;&gt;"",H2522,MAX('Vade Sapması'!$D$3,G2522)))</f>
        <v/>
      </c>
      <c r="L2522" s="30" t="str">
        <f aca="false">IF(F2522="","",K2522-B2522)</f>
        <v/>
      </c>
      <c r="M2522" s="30" t="str">
        <f aca="false">IF(F2522="","",L2522-J2522)</f>
        <v/>
      </c>
      <c r="N2522" s="32" t="str">
        <f aca="false">IF(F2522="","",IF(H2522&lt;&gt;"","Kapandı",IF('Vade Sapması'!$D$3&gt;G2522,"Açık · vadesi geçti","Açık · vadesi gelmedi")))</f>
        <v/>
      </c>
      <c r="O2522" s="30" t="str">
        <f aca="false">IF(F2522="","",IF(AND(H2522="",'Vade Sapması'!$D$3&gt;G2522),'Vade Sapması'!$D$3-G2522,0))</f>
        <v/>
      </c>
      <c r="P2522" s="33" t="str">
        <f aca="false">IF(F2522="","",F2522*J2522)</f>
        <v/>
      </c>
      <c r="Q2522" s="33" t="str">
        <f aca="false">IF(F2522="","",F2522*L2522)</f>
        <v/>
      </c>
      <c r="R2522" s="33" t="str">
        <f aca="false">IF(F2522="","",IF(H2522="",F2522,0))</f>
        <v/>
      </c>
      <c r="S2522" s="32" t="str">
        <f aca="false">IF(F2522="","",IF(N(O2522)=0,"",IF(O2522&lt;=30,"1-30",IF(O2522&lt;=60,"31-60",IF(O2522&lt;=90,"61-90","90+")))))</f>
        <v/>
      </c>
      <c r="T2522" s="32" t="str">
        <f aca="false">IF(F2522="","",IF(E2522="","Diğer",E2522))</f>
        <v/>
      </c>
      <c r="U2522" s="32" t="str">
        <f aca="false">IF(OR(F2522="",C2522=""),"",IF(COUNTIF($C$2:C2522,C2522)=1,MAX($U$1:U2521)+1,""))</f>
        <v/>
      </c>
    </row>
    <row r="2523" customFormat="false" ht="15" hidden="false" customHeight="false" outlineLevel="0" collapsed="false">
      <c r="A2523" s="34"/>
      <c r="B2523" s="9"/>
      <c r="C2523" s="34"/>
      <c r="D2523" s="34"/>
      <c r="E2523" s="34"/>
      <c r="F2523" s="35"/>
      <c r="G2523" s="9"/>
      <c r="H2523" s="9"/>
      <c r="I2523" s="34"/>
      <c r="J2523" s="30" t="str">
        <f aca="false">IF(F2523="","",G2523-B2523)</f>
        <v/>
      </c>
      <c r="K2523" s="31" t="str">
        <f aca="false">IF(F2523="","",IF(H2523&lt;&gt;"",H2523,MAX('Vade Sapması'!$D$3,G2523)))</f>
        <v/>
      </c>
      <c r="L2523" s="30" t="str">
        <f aca="false">IF(F2523="","",K2523-B2523)</f>
        <v/>
      </c>
      <c r="M2523" s="30" t="str">
        <f aca="false">IF(F2523="","",L2523-J2523)</f>
        <v/>
      </c>
      <c r="N2523" s="32" t="str">
        <f aca="false">IF(F2523="","",IF(H2523&lt;&gt;"","Kapandı",IF('Vade Sapması'!$D$3&gt;G2523,"Açık · vadesi geçti","Açık · vadesi gelmedi")))</f>
        <v/>
      </c>
      <c r="O2523" s="30" t="str">
        <f aca="false">IF(F2523="","",IF(AND(H2523="",'Vade Sapması'!$D$3&gt;G2523),'Vade Sapması'!$D$3-G2523,0))</f>
        <v/>
      </c>
      <c r="P2523" s="33" t="str">
        <f aca="false">IF(F2523="","",F2523*J2523)</f>
        <v/>
      </c>
      <c r="Q2523" s="33" t="str">
        <f aca="false">IF(F2523="","",F2523*L2523)</f>
        <v/>
      </c>
      <c r="R2523" s="33" t="str">
        <f aca="false">IF(F2523="","",IF(H2523="",F2523,0))</f>
        <v/>
      </c>
      <c r="S2523" s="32" t="str">
        <f aca="false">IF(F2523="","",IF(N(O2523)=0,"",IF(O2523&lt;=30,"1-30",IF(O2523&lt;=60,"31-60",IF(O2523&lt;=90,"61-90","90+")))))</f>
        <v/>
      </c>
      <c r="T2523" s="32" t="str">
        <f aca="false">IF(F2523="","",IF(E2523="","Diğer",E2523))</f>
        <v/>
      </c>
      <c r="U2523" s="32" t="str">
        <f aca="false">IF(OR(F2523="",C2523=""),"",IF(COUNTIF($C$2:C2523,C2523)=1,MAX($U$1:U2522)+1,""))</f>
        <v/>
      </c>
    </row>
    <row r="2524" customFormat="false" ht="15" hidden="false" customHeight="false" outlineLevel="0" collapsed="false">
      <c r="A2524" s="34"/>
      <c r="B2524" s="9"/>
      <c r="C2524" s="34"/>
      <c r="D2524" s="34"/>
      <c r="E2524" s="34"/>
      <c r="F2524" s="35"/>
      <c r="G2524" s="9"/>
      <c r="H2524" s="9"/>
      <c r="I2524" s="34"/>
      <c r="J2524" s="30" t="str">
        <f aca="false">IF(F2524="","",G2524-B2524)</f>
        <v/>
      </c>
      <c r="K2524" s="31" t="str">
        <f aca="false">IF(F2524="","",IF(H2524&lt;&gt;"",H2524,MAX('Vade Sapması'!$D$3,G2524)))</f>
        <v/>
      </c>
      <c r="L2524" s="30" t="str">
        <f aca="false">IF(F2524="","",K2524-B2524)</f>
        <v/>
      </c>
      <c r="M2524" s="30" t="str">
        <f aca="false">IF(F2524="","",L2524-J2524)</f>
        <v/>
      </c>
      <c r="N2524" s="32" t="str">
        <f aca="false">IF(F2524="","",IF(H2524&lt;&gt;"","Kapandı",IF('Vade Sapması'!$D$3&gt;G2524,"Açık · vadesi geçti","Açık · vadesi gelmedi")))</f>
        <v/>
      </c>
      <c r="O2524" s="30" t="str">
        <f aca="false">IF(F2524="","",IF(AND(H2524="",'Vade Sapması'!$D$3&gt;G2524),'Vade Sapması'!$D$3-G2524,0))</f>
        <v/>
      </c>
      <c r="P2524" s="33" t="str">
        <f aca="false">IF(F2524="","",F2524*J2524)</f>
        <v/>
      </c>
      <c r="Q2524" s="33" t="str">
        <f aca="false">IF(F2524="","",F2524*L2524)</f>
        <v/>
      </c>
      <c r="R2524" s="33" t="str">
        <f aca="false">IF(F2524="","",IF(H2524="",F2524,0))</f>
        <v/>
      </c>
      <c r="S2524" s="32" t="str">
        <f aca="false">IF(F2524="","",IF(N(O2524)=0,"",IF(O2524&lt;=30,"1-30",IF(O2524&lt;=60,"31-60",IF(O2524&lt;=90,"61-90","90+")))))</f>
        <v/>
      </c>
      <c r="T2524" s="32" t="str">
        <f aca="false">IF(F2524="","",IF(E2524="","Diğer",E2524))</f>
        <v/>
      </c>
      <c r="U2524" s="32" t="str">
        <f aca="false">IF(OR(F2524="",C2524=""),"",IF(COUNTIF($C$2:C2524,C2524)=1,MAX($U$1:U2523)+1,""))</f>
        <v/>
      </c>
    </row>
    <row r="2525" customFormat="false" ht="15" hidden="false" customHeight="false" outlineLevel="0" collapsed="false">
      <c r="A2525" s="34"/>
      <c r="B2525" s="9"/>
      <c r="C2525" s="34"/>
      <c r="D2525" s="34"/>
      <c r="E2525" s="34"/>
      <c r="F2525" s="35"/>
      <c r="G2525" s="9"/>
      <c r="H2525" s="9"/>
      <c r="I2525" s="34"/>
      <c r="J2525" s="30" t="str">
        <f aca="false">IF(F2525="","",G2525-B2525)</f>
        <v/>
      </c>
      <c r="K2525" s="31" t="str">
        <f aca="false">IF(F2525="","",IF(H2525&lt;&gt;"",H2525,MAX('Vade Sapması'!$D$3,G2525)))</f>
        <v/>
      </c>
      <c r="L2525" s="30" t="str">
        <f aca="false">IF(F2525="","",K2525-B2525)</f>
        <v/>
      </c>
      <c r="M2525" s="30" t="str">
        <f aca="false">IF(F2525="","",L2525-J2525)</f>
        <v/>
      </c>
      <c r="N2525" s="32" t="str">
        <f aca="false">IF(F2525="","",IF(H2525&lt;&gt;"","Kapandı",IF('Vade Sapması'!$D$3&gt;G2525,"Açık · vadesi geçti","Açık · vadesi gelmedi")))</f>
        <v/>
      </c>
      <c r="O2525" s="30" t="str">
        <f aca="false">IF(F2525="","",IF(AND(H2525="",'Vade Sapması'!$D$3&gt;G2525),'Vade Sapması'!$D$3-G2525,0))</f>
        <v/>
      </c>
      <c r="P2525" s="33" t="str">
        <f aca="false">IF(F2525="","",F2525*J2525)</f>
        <v/>
      </c>
      <c r="Q2525" s="33" t="str">
        <f aca="false">IF(F2525="","",F2525*L2525)</f>
        <v/>
      </c>
      <c r="R2525" s="33" t="str">
        <f aca="false">IF(F2525="","",IF(H2525="",F2525,0))</f>
        <v/>
      </c>
      <c r="S2525" s="32" t="str">
        <f aca="false">IF(F2525="","",IF(N(O2525)=0,"",IF(O2525&lt;=30,"1-30",IF(O2525&lt;=60,"31-60",IF(O2525&lt;=90,"61-90","90+")))))</f>
        <v/>
      </c>
      <c r="T2525" s="32" t="str">
        <f aca="false">IF(F2525="","",IF(E2525="","Diğer",E2525))</f>
        <v/>
      </c>
      <c r="U2525" s="32" t="str">
        <f aca="false">IF(OR(F2525="",C2525=""),"",IF(COUNTIF($C$2:C2525,C2525)=1,MAX($U$1:U2524)+1,""))</f>
        <v/>
      </c>
    </row>
    <row r="2526" customFormat="false" ht="15" hidden="false" customHeight="false" outlineLevel="0" collapsed="false">
      <c r="A2526" s="34"/>
      <c r="B2526" s="9"/>
      <c r="C2526" s="34"/>
      <c r="D2526" s="34"/>
      <c r="E2526" s="34"/>
      <c r="F2526" s="35"/>
      <c r="G2526" s="9"/>
      <c r="H2526" s="9"/>
      <c r="I2526" s="34"/>
      <c r="J2526" s="30" t="str">
        <f aca="false">IF(F2526="","",G2526-B2526)</f>
        <v/>
      </c>
      <c r="K2526" s="31" t="str">
        <f aca="false">IF(F2526="","",IF(H2526&lt;&gt;"",H2526,MAX('Vade Sapması'!$D$3,G2526)))</f>
        <v/>
      </c>
      <c r="L2526" s="30" t="str">
        <f aca="false">IF(F2526="","",K2526-B2526)</f>
        <v/>
      </c>
      <c r="M2526" s="30" t="str">
        <f aca="false">IF(F2526="","",L2526-J2526)</f>
        <v/>
      </c>
      <c r="N2526" s="32" t="str">
        <f aca="false">IF(F2526="","",IF(H2526&lt;&gt;"","Kapandı",IF('Vade Sapması'!$D$3&gt;G2526,"Açık · vadesi geçti","Açık · vadesi gelmedi")))</f>
        <v/>
      </c>
      <c r="O2526" s="30" t="str">
        <f aca="false">IF(F2526="","",IF(AND(H2526="",'Vade Sapması'!$D$3&gt;G2526),'Vade Sapması'!$D$3-G2526,0))</f>
        <v/>
      </c>
      <c r="P2526" s="33" t="str">
        <f aca="false">IF(F2526="","",F2526*J2526)</f>
        <v/>
      </c>
      <c r="Q2526" s="33" t="str">
        <f aca="false">IF(F2526="","",F2526*L2526)</f>
        <v/>
      </c>
      <c r="R2526" s="33" t="str">
        <f aca="false">IF(F2526="","",IF(H2526="",F2526,0))</f>
        <v/>
      </c>
      <c r="S2526" s="32" t="str">
        <f aca="false">IF(F2526="","",IF(N(O2526)=0,"",IF(O2526&lt;=30,"1-30",IF(O2526&lt;=60,"31-60",IF(O2526&lt;=90,"61-90","90+")))))</f>
        <v/>
      </c>
      <c r="T2526" s="32" t="str">
        <f aca="false">IF(F2526="","",IF(E2526="","Diğer",E2526))</f>
        <v/>
      </c>
      <c r="U2526" s="32" t="str">
        <f aca="false">IF(OR(F2526="",C2526=""),"",IF(COUNTIF($C$2:C2526,C2526)=1,MAX($U$1:U2525)+1,""))</f>
        <v/>
      </c>
    </row>
    <row r="2527" customFormat="false" ht="15" hidden="false" customHeight="false" outlineLevel="0" collapsed="false">
      <c r="A2527" s="34"/>
      <c r="B2527" s="9"/>
      <c r="C2527" s="34"/>
      <c r="D2527" s="34"/>
      <c r="E2527" s="34"/>
      <c r="F2527" s="35"/>
      <c r="G2527" s="9"/>
      <c r="H2527" s="9"/>
      <c r="I2527" s="34"/>
      <c r="J2527" s="30" t="str">
        <f aca="false">IF(F2527="","",G2527-B2527)</f>
        <v/>
      </c>
      <c r="K2527" s="31" t="str">
        <f aca="false">IF(F2527="","",IF(H2527&lt;&gt;"",H2527,MAX('Vade Sapması'!$D$3,G2527)))</f>
        <v/>
      </c>
      <c r="L2527" s="30" t="str">
        <f aca="false">IF(F2527="","",K2527-B2527)</f>
        <v/>
      </c>
      <c r="M2527" s="30" t="str">
        <f aca="false">IF(F2527="","",L2527-J2527)</f>
        <v/>
      </c>
      <c r="N2527" s="32" t="str">
        <f aca="false">IF(F2527="","",IF(H2527&lt;&gt;"","Kapandı",IF('Vade Sapması'!$D$3&gt;G2527,"Açık · vadesi geçti","Açık · vadesi gelmedi")))</f>
        <v/>
      </c>
      <c r="O2527" s="30" t="str">
        <f aca="false">IF(F2527="","",IF(AND(H2527="",'Vade Sapması'!$D$3&gt;G2527),'Vade Sapması'!$D$3-G2527,0))</f>
        <v/>
      </c>
      <c r="P2527" s="33" t="str">
        <f aca="false">IF(F2527="","",F2527*J2527)</f>
        <v/>
      </c>
      <c r="Q2527" s="33" t="str">
        <f aca="false">IF(F2527="","",F2527*L2527)</f>
        <v/>
      </c>
      <c r="R2527" s="33" t="str">
        <f aca="false">IF(F2527="","",IF(H2527="",F2527,0))</f>
        <v/>
      </c>
      <c r="S2527" s="32" t="str">
        <f aca="false">IF(F2527="","",IF(N(O2527)=0,"",IF(O2527&lt;=30,"1-30",IF(O2527&lt;=60,"31-60",IF(O2527&lt;=90,"61-90","90+")))))</f>
        <v/>
      </c>
      <c r="T2527" s="32" t="str">
        <f aca="false">IF(F2527="","",IF(E2527="","Diğer",E2527))</f>
        <v/>
      </c>
      <c r="U2527" s="32" t="str">
        <f aca="false">IF(OR(F2527="",C2527=""),"",IF(COUNTIF($C$2:C2527,C2527)=1,MAX($U$1:U2526)+1,""))</f>
        <v/>
      </c>
    </row>
    <row r="2528" customFormat="false" ht="15" hidden="false" customHeight="false" outlineLevel="0" collapsed="false">
      <c r="A2528" s="34"/>
      <c r="B2528" s="9"/>
      <c r="C2528" s="34"/>
      <c r="D2528" s="34"/>
      <c r="E2528" s="34"/>
      <c r="F2528" s="35"/>
      <c r="G2528" s="9"/>
      <c r="H2528" s="9"/>
      <c r="I2528" s="34"/>
      <c r="J2528" s="30" t="str">
        <f aca="false">IF(F2528="","",G2528-B2528)</f>
        <v/>
      </c>
      <c r="K2528" s="31" t="str">
        <f aca="false">IF(F2528="","",IF(H2528&lt;&gt;"",H2528,MAX('Vade Sapması'!$D$3,G2528)))</f>
        <v/>
      </c>
      <c r="L2528" s="30" t="str">
        <f aca="false">IF(F2528="","",K2528-B2528)</f>
        <v/>
      </c>
      <c r="M2528" s="30" t="str">
        <f aca="false">IF(F2528="","",L2528-J2528)</f>
        <v/>
      </c>
      <c r="N2528" s="32" t="str">
        <f aca="false">IF(F2528="","",IF(H2528&lt;&gt;"","Kapandı",IF('Vade Sapması'!$D$3&gt;G2528,"Açık · vadesi geçti","Açık · vadesi gelmedi")))</f>
        <v/>
      </c>
      <c r="O2528" s="30" t="str">
        <f aca="false">IF(F2528="","",IF(AND(H2528="",'Vade Sapması'!$D$3&gt;G2528),'Vade Sapması'!$D$3-G2528,0))</f>
        <v/>
      </c>
      <c r="P2528" s="33" t="str">
        <f aca="false">IF(F2528="","",F2528*J2528)</f>
        <v/>
      </c>
      <c r="Q2528" s="33" t="str">
        <f aca="false">IF(F2528="","",F2528*L2528)</f>
        <v/>
      </c>
      <c r="R2528" s="33" t="str">
        <f aca="false">IF(F2528="","",IF(H2528="",F2528,0))</f>
        <v/>
      </c>
      <c r="S2528" s="32" t="str">
        <f aca="false">IF(F2528="","",IF(N(O2528)=0,"",IF(O2528&lt;=30,"1-30",IF(O2528&lt;=60,"31-60",IF(O2528&lt;=90,"61-90","90+")))))</f>
        <v/>
      </c>
      <c r="T2528" s="32" t="str">
        <f aca="false">IF(F2528="","",IF(E2528="","Diğer",E2528))</f>
        <v/>
      </c>
      <c r="U2528" s="32" t="str">
        <f aca="false">IF(OR(F2528="",C2528=""),"",IF(COUNTIF($C$2:C2528,C2528)=1,MAX($U$1:U2527)+1,""))</f>
        <v/>
      </c>
    </row>
    <row r="2529" customFormat="false" ht="15" hidden="false" customHeight="false" outlineLevel="0" collapsed="false">
      <c r="A2529" s="34"/>
      <c r="B2529" s="9"/>
      <c r="C2529" s="34"/>
      <c r="D2529" s="34"/>
      <c r="E2529" s="34"/>
      <c r="F2529" s="35"/>
      <c r="G2529" s="9"/>
      <c r="H2529" s="9"/>
      <c r="I2529" s="34"/>
      <c r="J2529" s="30" t="str">
        <f aca="false">IF(F2529="","",G2529-B2529)</f>
        <v/>
      </c>
      <c r="K2529" s="31" t="str">
        <f aca="false">IF(F2529="","",IF(H2529&lt;&gt;"",H2529,MAX('Vade Sapması'!$D$3,G2529)))</f>
        <v/>
      </c>
      <c r="L2529" s="30" t="str">
        <f aca="false">IF(F2529="","",K2529-B2529)</f>
        <v/>
      </c>
      <c r="M2529" s="30" t="str">
        <f aca="false">IF(F2529="","",L2529-J2529)</f>
        <v/>
      </c>
      <c r="N2529" s="32" t="str">
        <f aca="false">IF(F2529="","",IF(H2529&lt;&gt;"","Kapandı",IF('Vade Sapması'!$D$3&gt;G2529,"Açık · vadesi geçti","Açık · vadesi gelmedi")))</f>
        <v/>
      </c>
      <c r="O2529" s="30" t="str">
        <f aca="false">IF(F2529="","",IF(AND(H2529="",'Vade Sapması'!$D$3&gt;G2529),'Vade Sapması'!$D$3-G2529,0))</f>
        <v/>
      </c>
      <c r="P2529" s="33" t="str">
        <f aca="false">IF(F2529="","",F2529*J2529)</f>
        <v/>
      </c>
      <c r="Q2529" s="33" t="str">
        <f aca="false">IF(F2529="","",F2529*L2529)</f>
        <v/>
      </c>
      <c r="R2529" s="33" t="str">
        <f aca="false">IF(F2529="","",IF(H2529="",F2529,0))</f>
        <v/>
      </c>
      <c r="S2529" s="32" t="str">
        <f aca="false">IF(F2529="","",IF(N(O2529)=0,"",IF(O2529&lt;=30,"1-30",IF(O2529&lt;=60,"31-60",IF(O2529&lt;=90,"61-90","90+")))))</f>
        <v/>
      </c>
      <c r="T2529" s="32" t="str">
        <f aca="false">IF(F2529="","",IF(E2529="","Diğer",E2529))</f>
        <v/>
      </c>
      <c r="U2529" s="32" t="str">
        <f aca="false">IF(OR(F2529="",C2529=""),"",IF(COUNTIF($C$2:C2529,C2529)=1,MAX($U$1:U2528)+1,""))</f>
        <v/>
      </c>
    </row>
    <row r="2530" customFormat="false" ht="15" hidden="false" customHeight="false" outlineLevel="0" collapsed="false">
      <c r="A2530" s="34"/>
      <c r="B2530" s="9"/>
      <c r="C2530" s="34"/>
      <c r="D2530" s="34"/>
      <c r="E2530" s="34"/>
      <c r="F2530" s="35"/>
      <c r="G2530" s="9"/>
      <c r="H2530" s="9"/>
      <c r="I2530" s="34"/>
      <c r="J2530" s="30" t="str">
        <f aca="false">IF(F2530="","",G2530-B2530)</f>
        <v/>
      </c>
      <c r="K2530" s="31" t="str">
        <f aca="false">IF(F2530="","",IF(H2530&lt;&gt;"",H2530,MAX('Vade Sapması'!$D$3,G2530)))</f>
        <v/>
      </c>
      <c r="L2530" s="30" t="str">
        <f aca="false">IF(F2530="","",K2530-B2530)</f>
        <v/>
      </c>
      <c r="M2530" s="30" t="str">
        <f aca="false">IF(F2530="","",L2530-J2530)</f>
        <v/>
      </c>
      <c r="N2530" s="32" t="str">
        <f aca="false">IF(F2530="","",IF(H2530&lt;&gt;"","Kapandı",IF('Vade Sapması'!$D$3&gt;G2530,"Açık · vadesi geçti","Açık · vadesi gelmedi")))</f>
        <v/>
      </c>
      <c r="O2530" s="30" t="str">
        <f aca="false">IF(F2530="","",IF(AND(H2530="",'Vade Sapması'!$D$3&gt;G2530),'Vade Sapması'!$D$3-G2530,0))</f>
        <v/>
      </c>
      <c r="P2530" s="33" t="str">
        <f aca="false">IF(F2530="","",F2530*J2530)</f>
        <v/>
      </c>
      <c r="Q2530" s="33" t="str">
        <f aca="false">IF(F2530="","",F2530*L2530)</f>
        <v/>
      </c>
      <c r="R2530" s="33" t="str">
        <f aca="false">IF(F2530="","",IF(H2530="",F2530,0))</f>
        <v/>
      </c>
      <c r="S2530" s="32" t="str">
        <f aca="false">IF(F2530="","",IF(N(O2530)=0,"",IF(O2530&lt;=30,"1-30",IF(O2530&lt;=60,"31-60",IF(O2530&lt;=90,"61-90","90+")))))</f>
        <v/>
      </c>
      <c r="T2530" s="32" t="str">
        <f aca="false">IF(F2530="","",IF(E2530="","Diğer",E2530))</f>
        <v/>
      </c>
      <c r="U2530" s="32" t="str">
        <f aca="false">IF(OR(F2530="",C2530=""),"",IF(COUNTIF($C$2:C2530,C2530)=1,MAX($U$1:U2529)+1,""))</f>
        <v/>
      </c>
    </row>
    <row r="2531" customFormat="false" ht="15" hidden="false" customHeight="false" outlineLevel="0" collapsed="false">
      <c r="A2531" s="34"/>
      <c r="B2531" s="9"/>
      <c r="C2531" s="34"/>
      <c r="D2531" s="34"/>
      <c r="E2531" s="34"/>
      <c r="F2531" s="35"/>
      <c r="G2531" s="9"/>
      <c r="H2531" s="9"/>
      <c r="I2531" s="34"/>
      <c r="J2531" s="30" t="str">
        <f aca="false">IF(F2531="","",G2531-B2531)</f>
        <v/>
      </c>
      <c r="K2531" s="31" t="str">
        <f aca="false">IF(F2531="","",IF(H2531&lt;&gt;"",H2531,MAX('Vade Sapması'!$D$3,G2531)))</f>
        <v/>
      </c>
      <c r="L2531" s="30" t="str">
        <f aca="false">IF(F2531="","",K2531-B2531)</f>
        <v/>
      </c>
      <c r="M2531" s="30" t="str">
        <f aca="false">IF(F2531="","",L2531-J2531)</f>
        <v/>
      </c>
      <c r="N2531" s="32" t="str">
        <f aca="false">IF(F2531="","",IF(H2531&lt;&gt;"","Kapandı",IF('Vade Sapması'!$D$3&gt;G2531,"Açık · vadesi geçti","Açık · vadesi gelmedi")))</f>
        <v/>
      </c>
      <c r="O2531" s="30" t="str">
        <f aca="false">IF(F2531="","",IF(AND(H2531="",'Vade Sapması'!$D$3&gt;G2531),'Vade Sapması'!$D$3-G2531,0))</f>
        <v/>
      </c>
      <c r="P2531" s="33" t="str">
        <f aca="false">IF(F2531="","",F2531*J2531)</f>
        <v/>
      </c>
      <c r="Q2531" s="33" t="str">
        <f aca="false">IF(F2531="","",F2531*L2531)</f>
        <v/>
      </c>
      <c r="R2531" s="33" t="str">
        <f aca="false">IF(F2531="","",IF(H2531="",F2531,0))</f>
        <v/>
      </c>
      <c r="S2531" s="32" t="str">
        <f aca="false">IF(F2531="","",IF(N(O2531)=0,"",IF(O2531&lt;=30,"1-30",IF(O2531&lt;=60,"31-60",IF(O2531&lt;=90,"61-90","90+")))))</f>
        <v/>
      </c>
      <c r="T2531" s="32" t="str">
        <f aca="false">IF(F2531="","",IF(E2531="","Diğer",E2531))</f>
        <v/>
      </c>
      <c r="U2531" s="32" t="str">
        <f aca="false">IF(OR(F2531="",C2531=""),"",IF(COUNTIF($C$2:C2531,C2531)=1,MAX($U$1:U2530)+1,""))</f>
        <v/>
      </c>
    </row>
    <row r="2532" customFormat="false" ht="15" hidden="false" customHeight="false" outlineLevel="0" collapsed="false">
      <c r="A2532" s="34"/>
      <c r="B2532" s="9"/>
      <c r="C2532" s="34"/>
      <c r="D2532" s="34"/>
      <c r="E2532" s="34"/>
      <c r="F2532" s="35"/>
      <c r="G2532" s="9"/>
      <c r="H2532" s="9"/>
      <c r="I2532" s="34"/>
      <c r="J2532" s="30" t="str">
        <f aca="false">IF(F2532="","",G2532-B2532)</f>
        <v/>
      </c>
      <c r="K2532" s="31" t="str">
        <f aca="false">IF(F2532="","",IF(H2532&lt;&gt;"",H2532,MAX('Vade Sapması'!$D$3,G2532)))</f>
        <v/>
      </c>
      <c r="L2532" s="30" t="str">
        <f aca="false">IF(F2532="","",K2532-B2532)</f>
        <v/>
      </c>
      <c r="M2532" s="30" t="str">
        <f aca="false">IF(F2532="","",L2532-J2532)</f>
        <v/>
      </c>
      <c r="N2532" s="32" t="str">
        <f aca="false">IF(F2532="","",IF(H2532&lt;&gt;"","Kapandı",IF('Vade Sapması'!$D$3&gt;G2532,"Açık · vadesi geçti","Açık · vadesi gelmedi")))</f>
        <v/>
      </c>
      <c r="O2532" s="30" t="str">
        <f aca="false">IF(F2532="","",IF(AND(H2532="",'Vade Sapması'!$D$3&gt;G2532),'Vade Sapması'!$D$3-G2532,0))</f>
        <v/>
      </c>
      <c r="P2532" s="33" t="str">
        <f aca="false">IF(F2532="","",F2532*J2532)</f>
        <v/>
      </c>
      <c r="Q2532" s="33" t="str">
        <f aca="false">IF(F2532="","",F2532*L2532)</f>
        <v/>
      </c>
      <c r="R2532" s="33" t="str">
        <f aca="false">IF(F2532="","",IF(H2532="",F2532,0))</f>
        <v/>
      </c>
      <c r="S2532" s="32" t="str">
        <f aca="false">IF(F2532="","",IF(N(O2532)=0,"",IF(O2532&lt;=30,"1-30",IF(O2532&lt;=60,"31-60",IF(O2532&lt;=90,"61-90","90+")))))</f>
        <v/>
      </c>
      <c r="T2532" s="32" t="str">
        <f aca="false">IF(F2532="","",IF(E2532="","Diğer",E2532))</f>
        <v/>
      </c>
      <c r="U2532" s="32" t="str">
        <f aca="false">IF(OR(F2532="",C2532=""),"",IF(COUNTIF($C$2:C2532,C2532)=1,MAX($U$1:U2531)+1,""))</f>
        <v/>
      </c>
    </row>
    <row r="2533" customFormat="false" ht="15" hidden="false" customHeight="false" outlineLevel="0" collapsed="false">
      <c r="A2533" s="34"/>
      <c r="B2533" s="9"/>
      <c r="C2533" s="34"/>
      <c r="D2533" s="34"/>
      <c r="E2533" s="34"/>
      <c r="F2533" s="35"/>
      <c r="G2533" s="9"/>
      <c r="H2533" s="9"/>
      <c r="I2533" s="34"/>
      <c r="J2533" s="30" t="str">
        <f aca="false">IF(F2533="","",G2533-B2533)</f>
        <v/>
      </c>
      <c r="K2533" s="31" t="str">
        <f aca="false">IF(F2533="","",IF(H2533&lt;&gt;"",H2533,MAX('Vade Sapması'!$D$3,G2533)))</f>
        <v/>
      </c>
      <c r="L2533" s="30" t="str">
        <f aca="false">IF(F2533="","",K2533-B2533)</f>
        <v/>
      </c>
      <c r="M2533" s="30" t="str">
        <f aca="false">IF(F2533="","",L2533-J2533)</f>
        <v/>
      </c>
      <c r="N2533" s="32" t="str">
        <f aca="false">IF(F2533="","",IF(H2533&lt;&gt;"","Kapandı",IF('Vade Sapması'!$D$3&gt;G2533,"Açık · vadesi geçti","Açık · vadesi gelmedi")))</f>
        <v/>
      </c>
      <c r="O2533" s="30" t="str">
        <f aca="false">IF(F2533="","",IF(AND(H2533="",'Vade Sapması'!$D$3&gt;G2533),'Vade Sapması'!$D$3-G2533,0))</f>
        <v/>
      </c>
      <c r="P2533" s="33" t="str">
        <f aca="false">IF(F2533="","",F2533*J2533)</f>
        <v/>
      </c>
      <c r="Q2533" s="33" t="str">
        <f aca="false">IF(F2533="","",F2533*L2533)</f>
        <v/>
      </c>
      <c r="R2533" s="33" t="str">
        <f aca="false">IF(F2533="","",IF(H2533="",F2533,0))</f>
        <v/>
      </c>
      <c r="S2533" s="32" t="str">
        <f aca="false">IF(F2533="","",IF(N(O2533)=0,"",IF(O2533&lt;=30,"1-30",IF(O2533&lt;=60,"31-60",IF(O2533&lt;=90,"61-90","90+")))))</f>
        <v/>
      </c>
      <c r="T2533" s="32" t="str">
        <f aca="false">IF(F2533="","",IF(E2533="","Diğer",E2533))</f>
        <v/>
      </c>
      <c r="U2533" s="32" t="str">
        <f aca="false">IF(OR(F2533="",C2533=""),"",IF(COUNTIF($C$2:C2533,C2533)=1,MAX($U$1:U2532)+1,""))</f>
        <v/>
      </c>
    </row>
    <row r="2534" customFormat="false" ht="15" hidden="false" customHeight="false" outlineLevel="0" collapsed="false">
      <c r="A2534" s="34"/>
      <c r="B2534" s="9"/>
      <c r="C2534" s="34"/>
      <c r="D2534" s="34"/>
      <c r="E2534" s="34"/>
      <c r="F2534" s="35"/>
      <c r="G2534" s="9"/>
      <c r="H2534" s="9"/>
      <c r="I2534" s="34"/>
      <c r="J2534" s="30" t="str">
        <f aca="false">IF(F2534="","",G2534-B2534)</f>
        <v/>
      </c>
      <c r="K2534" s="31" t="str">
        <f aca="false">IF(F2534="","",IF(H2534&lt;&gt;"",H2534,MAX('Vade Sapması'!$D$3,G2534)))</f>
        <v/>
      </c>
      <c r="L2534" s="30" t="str">
        <f aca="false">IF(F2534="","",K2534-B2534)</f>
        <v/>
      </c>
      <c r="M2534" s="30" t="str">
        <f aca="false">IF(F2534="","",L2534-J2534)</f>
        <v/>
      </c>
      <c r="N2534" s="32" t="str">
        <f aca="false">IF(F2534="","",IF(H2534&lt;&gt;"","Kapandı",IF('Vade Sapması'!$D$3&gt;G2534,"Açık · vadesi geçti","Açık · vadesi gelmedi")))</f>
        <v/>
      </c>
      <c r="O2534" s="30" t="str">
        <f aca="false">IF(F2534="","",IF(AND(H2534="",'Vade Sapması'!$D$3&gt;G2534),'Vade Sapması'!$D$3-G2534,0))</f>
        <v/>
      </c>
      <c r="P2534" s="33" t="str">
        <f aca="false">IF(F2534="","",F2534*J2534)</f>
        <v/>
      </c>
      <c r="Q2534" s="33" t="str">
        <f aca="false">IF(F2534="","",F2534*L2534)</f>
        <v/>
      </c>
      <c r="R2534" s="33" t="str">
        <f aca="false">IF(F2534="","",IF(H2534="",F2534,0))</f>
        <v/>
      </c>
      <c r="S2534" s="32" t="str">
        <f aca="false">IF(F2534="","",IF(N(O2534)=0,"",IF(O2534&lt;=30,"1-30",IF(O2534&lt;=60,"31-60",IF(O2534&lt;=90,"61-90","90+")))))</f>
        <v/>
      </c>
      <c r="T2534" s="32" t="str">
        <f aca="false">IF(F2534="","",IF(E2534="","Diğer",E2534))</f>
        <v/>
      </c>
      <c r="U2534" s="32" t="str">
        <f aca="false">IF(OR(F2534="",C2534=""),"",IF(COUNTIF($C$2:C2534,C2534)=1,MAX($U$1:U2533)+1,""))</f>
        <v/>
      </c>
    </row>
    <row r="2535" customFormat="false" ht="15" hidden="false" customHeight="false" outlineLevel="0" collapsed="false">
      <c r="A2535" s="34"/>
      <c r="B2535" s="9"/>
      <c r="C2535" s="34"/>
      <c r="D2535" s="34"/>
      <c r="E2535" s="34"/>
      <c r="F2535" s="35"/>
      <c r="G2535" s="9"/>
      <c r="H2535" s="9"/>
      <c r="I2535" s="34"/>
      <c r="J2535" s="30" t="str">
        <f aca="false">IF(F2535="","",G2535-B2535)</f>
        <v/>
      </c>
      <c r="K2535" s="31" t="str">
        <f aca="false">IF(F2535="","",IF(H2535&lt;&gt;"",H2535,MAX('Vade Sapması'!$D$3,G2535)))</f>
        <v/>
      </c>
      <c r="L2535" s="30" t="str">
        <f aca="false">IF(F2535="","",K2535-B2535)</f>
        <v/>
      </c>
      <c r="M2535" s="30" t="str">
        <f aca="false">IF(F2535="","",L2535-J2535)</f>
        <v/>
      </c>
      <c r="N2535" s="32" t="str">
        <f aca="false">IF(F2535="","",IF(H2535&lt;&gt;"","Kapandı",IF('Vade Sapması'!$D$3&gt;G2535,"Açık · vadesi geçti","Açık · vadesi gelmedi")))</f>
        <v/>
      </c>
      <c r="O2535" s="30" t="str">
        <f aca="false">IF(F2535="","",IF(AND(H2535="",'Vade Sapması'!$D$3&gt;G2535),'Vade Sapması'!$D$3-G2535,0))</f>
        <v/>
      </c>
      <c r="P2535" s="33" t="str">
        <f aca="false">IF(F2535="","",F2535*J2535)</f>
        <v/>
      </c>
      <c r="Q2535" s="33" t="str">
        <f aca="false">IF(F2535="","",F2535*L2535)</f>
        <v/>
      </c>
      <c r="R2535" s="33" t="str">
        <f aca="false">IF(F2535="","",IF(H2535="",F2535,0))</f>
        <v/>
      </c>
      <c r="S2535" s="32" t="str">
        <f aca="false">IF(F2535="","",IF(N(O2535)=0,"",IF(O2535&lt;=30,"1-30",IF(O2535&lt;=60,"31-60",IF(O2535&lt;=90,"61-90","90+")))))</f>
        <v/>
      </c>
      <c r="T2535" s="32" t="str">
        <f aca="false">IF(F2535="","",IF(E2535="","Diğer",E2535))</f>
        <v/>
      </c>
      <c r="U2535" s="32" t="str">
        <f aca="false">IF(OR(F2535="",C2535=""),"",IF(COUNTIF($C$2:C2535,C2535)=1,MAX($U$1:U2534)+1,""))</f>
        <v/>
      </c>
    </row>
    <row r="2536" customFormat="false" ht="15" hidden="false" customHeight="false" outlineLevel="0" collapsed="false">
      <c r="A2536" s="34"/>
      <c r="B2536" s="9"/>
      <c r="C2536" s="34"/>
      <c r="D2536" s="34"/>
      <c r="E2536" s="34"/>
      <c r="F2536" s="35"/>
      <c r="G2536" s="9"/>
      <c r="H2536" s="9"/>
      <c r="I2536" s="34"/>
      <c r="J2536" s="30" t="str">
        <f aca="false">IF(F2536="","",G2536-B2536)</f>
        <v/>
      </c>
      <c r="K2536" s="31" t="str">
        <f aca="false">IF(F2536="","",IF(H2536&lt;&gt;"",H2536,MAX('Vade Sapması'!$D$3,G2536)))</f>
        <v/>
      </c>
      <c r="L2536" s="30" t="str">
        <f aca="false">IF(F2536="","",K2536-B2536)</f>
        <v/>
      </c>
      <c r="M2536" s="30" t="str">
        <f aca="false">IF(F2536="","",L2536-J2536)</f>
        <v/>
      </c>
      <c r="N2536" s="32" t="str">
        <f aca="false">IF(F2536="","",IF(H2536&lt;&gt;"","Kapandı",IF('Vade Sapması'!$D$3&gt;G2536,"Açık · vadesi geçti","Açık · vadesi gelmedi")))</f>
        <v/>
      </c>
      <c r="O2536" s="30" t="str">
        <f aca="false">IF(F2536="","",IF(AND(H2536="",'Vade Sapması'!$D$3&gt;G2536),'Vade Sapması'!$D$3-G2536,0))</f>
        <v/>
      </c>
      <c r="P2536" s="33" t="str">
        <f aca="false">IF(F2536="","",F2536*J2536)</f>
        <v/>
      </c>
      <c r="Q2536" s="33" t="str">
        <f aca="false">IF(F2536="","",F2536*L2536)</f>
        <v/>
      </c>
      <c r="R2536" s="33" t="str">
        <f aca="false">IF(F2536="","",IF(H2536="",F2536,0))</f>
        <v/>
      </c>
      <c r="S2536" s="32" t="str">
        <f aca="false">IF(F2536="","",IF(N(O2536)=0,"",IF(O2536&lt;=30,"1-30",IF(O2536&lt;=60,"31-60",IF(O2536&lt;=90,"61-90","90+")))))</f>
        <v/>
      </c>
      <c r="T2536" s="32" t="str">
        <f aca="false">IF(F2536="","",IF(E2536="","Diğer",E2536))</f>
        <v/>
      </c>
      <c r="U2536" s="32" t="str">
        <f aca="false">IF(OR(F2536="",C2536=""),"",IF(COUNTIF($C$2:C2536,C2536)=1,MAX($U$1:U2535)+1,""))</f>
        <v/>
      </c>
    </row>
    <row r="2537" customFormat="false" ht="15" hidden="false" customHeight="false" outlineLevel="0" collapsed="false">
      <c r="A2537" s="34"/>
      <c r="B2537" s="9"/>
      <c r="C2537" s="34"/>
      <c r="D2537" s="34"/>
      <c r="E2537" s="34"/>
      <c r="F2537" s="35"/>
      <c r="G2537" s="9"/>
      <c r="H2537" s="9"/>
      <c r="I2537" s="34"/>
      <c r="J2537" s="30" t="str">
        <f aca="false">IF(F2537="","",G2537-B2537)</f>
        <v/>
      </c>
      <c r="K2537" s="31" t="str">
        <f aca="false">IF(F2537="","",IF(H2537&lt;&gt;"",H2537,MAX('Vade Sapması'!$D$3,G2537)))</f>
        <v/>
      </c>
      <c r="L2537" s="30" t="str">
        <f aca="false">IF(F2537="","",K2537-B2537)</f>
        <v/>
      </c>
      <c r="M2537" s="30" t="str">
        <f aca="false">IF(F2537="","",L2537-J2537)</f>
        <v/>
      </c>
      <c r="N2537" s="32" t="str">
        <f aca="false">IF(F2537="","",IF(H2537&lt;&gt;"","Kapandı",IF('Vade Sapması'!$D$3&gt;G2537,"Açık · vadesi geçti","Açık · vadesi gelmedi")))</f>
        <v/>
      </c>
      <c r="O2537" s="30" t="str">
        <f aca="false">IF(F2537="","",IF(AND(H2537="",'Vade Sapması'!$D$3&gt;G2537),'Vade Sapması'!$D$3-G2537,0))</f>
        <v/>
      </c>
      <c r="P2537" s="33" t="str">
        <f aca="false">IF(F2537="","",F2537*J2537)</f>
        <v/>
      </c>
      <c r="Q2537" s="33" t="str">
        <f aca="false">IF(F2537="","",F2537*L2537)</f>
        <v/>
      </c>
      <c r="R2537" s="33" t="str">
        <f aca="false">IF(F2537="","",IF(H2537="",F2537,0))</f>
        <v/>
      </c>
      <c r="S2537" s="32" t="str">
        <f aca="false">IF(F2537="","",IF(N(O2537)=0,"",IF(O2537&lt;=30,"1-30",IF(O2537&lt;=60,"31-60",IF(O2537&lt;=90,"61-90","90+")))))</f>
        <v/>
      </c>
      <c r="T2537" s="32" t="str">
        <f aca="false">IF(F2537="","",IF(E2537="","Diğer",E2537))</f>
        <v/>
      </c>
      <c r="U2537" s="32" t="str">
        <f aca="false">IF(OR(F2537="",C2537=""),"",IF(COUNTIF($C$2:C2537,C2537)=1,MAX($U$1:U2536)+1,""))</f>
        <v/>
      </c>
    </row>
    <row r="2538" customFormat="false" ht="15" hidden="false" customHeight="false" outlineLevel="0" collapsed="false">
      <c r="A2538" s="34"/>
      <c r="B2538" s="9"/>
      <c r="C2538" s="34"/>
      <c r="D2538" s="34"/>
      <c r="E2538" s="34"/>
      <c r="F2538" s="35"/>
      <c r="G2538" s="9"/>
      <c r="H2538" s="9"/>
      <c r="I2538" s="34"/>
      <c r="J2538" s="30" t="str">
        <f aca="false">IF(F2538="","",G2538-B2538)</f>
        <v/>
      </c>
      <c r="K2538" s="31" t="str">
        <f aca="false">IF(F2538="","",IF(H2538&lt;&gt;"",H2538,MAX('Vade Sapması'!$D$3,G2538)))</f>
        <v/>
      </c>
      <c r="L2538" s="30" t="str">
        <f aca="false">IF(F2538="","",K2538-B2538)</f>
        <v/>
      </c>
      <c r="M2538" s="30" t="str">
        <f aca="false">IF(F2538="","",L2538-J2538)</f>
        <v/>
      </c>
      <c r="N2538" s="32" t="str">
        <f aca="false">IF(F2538="","",IF(H2538&lt;&gt;"","Kapandı",IF('Vade Sapması'!$D$3&gt;G2538,"Açık · vadesi geçti","Açık · vadesi gelmedi")))</f>
        <v/>
      </c>
      <c r="O2538" s="30" t="str">
        <f aca="false">IF(F2538="","",IF(AND(H2538="",'Vade Sapması'!$D$3&gt;G2538),'Vade Sapması'!$D$3-G2538,0))</f>
        <v/>
      </c>
      <c r="P2538" s="33" t="str">
        <f aca="false">IF(F2538="","",F2538*J2538)</f>
        <v/>
      </c>
      <c r="Q2538" s="33" t="str">
        <f aca="false">IF(F2538="","",F2538*L2538)</f>
        <v/>
      </c>
      <c r="R2538" s="33" t="str">
        <f aca="false">IF(F2538="","",IF(H2538="",F2538,0))</f>
        <v/>
      </c>
      <c r="S2538" s="32" t="str">
        <f aca="false">IF(F2538="","",IF(N(O2538)=0,"",IF(O2538&lt;=30,"1-30",IF(O2538&lt;=60,"31-60",IF(O2538&lt;=90,"61-90","90+")))))</f>
        <v/>
      </c>
      <c r="T2538" s="32" t="str">
        <f aca="false">IF(F2538="","",IF(E2538="","Diğer",E2538))</f>
        <v/>
      </c>
      <c r="U2538" s="32" t="str">
        <f aca="false">IF(OR(F2538="",C2538=""),"",IF(COUNTIF($C$2:C2538,C2538)=1,MAX($U$1:U2537)+1,""))</f>
        <v/>
      </c>
    </row>
    <row r="2539" customFormat="false" ht="15" hidden="false" customHeight="false" outlineLevel="0" collapsed="false">
      <c r="A2539" s="34"/>
      <c r="B2539" s="9"/>
      <c r="C2539" s="34"/>
      <c r="D2539" s="34"/>
      <c r="E2539" s="34"/>
      <c r="F2539" s="35"/>
      <c r="G2539" s="9"/>
      <c r="H2539" s="9"/>
      <c r="I2539" s="34"/>
      <c r="J2539" s="30" t="str">
        <f aca="false">IF(F2539="","",G2539-B2539)</f>
        <v/>
      </c>
      <c r="K2539" s="31" t="str">
        <f aca="false">IF(F2539="","",IF(H2539&lt;&gt;"",H2539,MAX('Vade Sapması'!$D$3,G2539)))</f>
        <v/>
      </c>
      <c r="L2539" s="30" t="str">
        <f aca="false">IF(F2539="","",K2539-B2539)</f>
        <v/>
      </c>
      <c r="M2539" s="30" t="str">
        <f aca="false">IF(F2539="","",L2539-J2539)</f>
        <v/>
      </c>
      <c r="N2539" s="32" t="str">
        <f aca="false">IF(F2539="","",IF(H2539&lt;&gt;"","Kapandı",IF('Vade Sapması'!$D$3&gt;G2539,"Açık · vadesi geçti","Açık · vadesi gelmedi")))</f>
        <v/>
      </c>
      <c r="O2539" s="30" t="str">
        <f aca="false">IF(F2539="","",IF(AND(H2539="",'Vade Sapması'!$D$3&gt;G2539),'Vade Sapması'!$D$3-G2539,0))</f>
        <v/>
      </c>
      <c r="P2539" s="33" t="str">
        <f aca="false">IF(F2539="","",F2539*J2539)</f>
        <v/>
      </c>
      <c r="Q2539" s="33" t="str">
        <f aca="false">IF(F2539="","",F2539*L2539)</f>
        <v/>
      </c>
      <c r="R2539" s="33" t="str">
        <f aca="false">IF(F2539="","",IF(H2539="",F2539,0))</f>
        <v/>
      </c>
      <c r="S2539" s="32" t="str">
        <f aca="false">IF(F2539="","",IF(N(O2539)=0,"",IF(O2539&lt;=30,"1-30",IF(O2539&lt;=60,"31-60",IF(O2539&lt;=90,"61-90","90+")))))</f>
        <v/>
      </c>
      <c r="T2539" s="32" t="str">
        <f aca="false">IF(F2539="","",IF(E2539="","Diğer",E2539))</f>
        <v/>
      </c>
      <c r="U2539" s="32" t="str">
        <f aca="false">IF(OR(F2539="",C2539=""),"",IF(COUNTIF($C$2:C2539,C2539)=1,MAX($U$1:U2538)+1,""))</f>
        <v/>
      </c>
    </row>
    <row r="2540" customFormat="false" ht="15" hidden="false" customHeight="false" outlineLevel="0" collapsed="false">
      <c r="A2540" s="34"/>
      <c r="B2540" s="9"/>
      <c r="C2540" s="34"/>
      <c r="D2540" s="34"/>
      <c r="E2540" s="34"/>
      <c r="F2540" s="35"/>
      <c r="G2540" s="9"/>
      <c r="H2540" s="9"/>
      <c r="I2540" s="34"/>
      <c r="J2540" s="30" t="str">
        <f aca="false">IF(F2540="","",G2540-B2540)</f>
        <v/>
      </c>
      <c r="K2540" s="31" t="str">
        <f aca="false">IF(F2540="","",IF(H2540&lt;&gt;"",H2540,MAX('Vade Sapması'!$D$3,G2540)))</f>
        <v/>
      </c>
      <c r="L2540" s="30" t="str">
        <f aca="false">IF(F2540="","",K2540-B2540)</f>
        <v/>
      </c>
      <c r="M2540" s="30" t="str">
        <f aca="false">IF(F2540="","",L2540-J2540)</f>
        <v/>
      </c>
      <c r="N2540" s="32" t="str">
        <f aca="false">IF(F2540="","",IF(H2540&lt;&gt;"","Kapandı",IF('Vade Sapması'!$D$3&gt;G2540,"Açık · vadesi geçti","Açık · vadesi gelmedi")))</f>
        <v/>
      </c>
      <c r="O2540" s="30" t="str">
        <f aca="false">IF(F2540="","",IF(AND(H2540="",'Vade Sapması'!$D$3&gt;G2540),'Vade Sapması'!$D$3-G2540,0))</f>
        <v/>
      </c>
      <c r="P2540" s="33" t="str">
        <f aca="false">IF(F2540="","",F2540*J2540)</f>
        <v/>
      </c>
      <c r="Q2540" s="33" t="str">
        <f aca="false">IF(F2540="","",F2540*L2540)</f>
        <v/>
      </c>
      <c r="R2540" s="33" t="str">
        <f aca="false">IF(F2540="","",IF(H2540="",F2540,0))</f>
        <v/>
      </c>
      <c r="S2540" s="32" t="str">
        <f aca="false">IF(F2540="","",IF(N(O2540)=0,"",IF(O2540&lt;=30,"1-30",IF(O2540&lt;=60,"31-60",IF(O2540&lt;=90,"61-90","90+")))))</f>
        <v/>
      </c>
      <c r="T2540" s="32" t="str">
        <f aca="false">IF(F2540="","",IF(E2540="","Diğer",E2540))</f>
        <v/>
      </c>
      <c r="U2540" s="32" t="str">
        <f aca="false">IF(OR(F2540="",C2540=""),"",IF(COUNTIF($C$2:C2540,C2540)=1,MAX($U$1:U2539)+1,""))</f>
        <v/>
      </c>
    </row>
    <row r="2541" customFormat="false" ht="15" hidden="false" customHeight="false" outlineLevel="0" collapsed="false">
      <c r="A2541" s="34"/>
      <c r="B2541" s="9"/>
      <c r="C2541" s="34"/>
      <c r="D2541" s="34"/>
      <c r="E2541" s="34"/>
      <c r="F2541" s="35"/>
      <c r="G2541" s="9"/>
      <c r="H2541" s="9"/>
      <c r="I2541" s="34"/>
      <c r="J2541" s="30" t="str">
        <f aca="false">IF(F2541="","",G2541-B2541)</f>
        <v/>
      </c>
      <c r="K2541" s="31" t="str">
        <f aca="false">IF(F2541="","",IF(H2541&lt;&gt;"",H2541,MAX('Vade Sapması'!$D$3,G2541)))</f>
        <v/>
      </c>
      <c r="L2541" s="30" t="str">
        <f aca="false">IF(F2541="","",K2541-B2541)</f>
        <v/>
      </c>
      <c r="M2541" s="30" t="str">
        <f aca="false">IF(F2541="","",L2541-J2541)</f>
        <v/>
      </c>
      <c r="N2541" s="32" t="str">
        <f aca="false">IF(F2541="","",IF(H2541&lt;&gt;"","Kapandı",IF('Vade Sapması'!$D$3&gt;G2541,"Açık · vadesi geçti","Açık · vadesi gelmedi")))</f>
        <v/>
      </c>
      <c r="O2541" s="30" t="str">
        <f aca="false">IF(F2541="","",IF(AND(H2541="",'Vade Sapması'!$D$3&gt;G2541),'Vade Sapması'!$D$3-G2541,0))</f>
        <v/>
      </c>
      <c r="P2541" s="33" t="str">
        <f aca="false">IF(F2541="","",F2541*J2541)</f>
        <v/>
      </c>
      <c r="Q2541" s="33" t="str">
        <f aca="false">IF(F2541="","",F2541*L2541)</f>
        <v/>
      </c>
      <c r="R2541" s="33" t="str">
        <f aca="false">IF(F2541="","",IF(H2541="",F2541,0))</f>
        <v/>
      </c>
      <c r="S2541" s="32" t="str">
        <f aca="false">IF(F2541="","",IF(N(O2541)=0,"",IF(O2541&lt;=30,"1-30",IF(O2541&lt;=60,"31-60",IF(O2541&lt;=90,"61-90","90+")))))</f>
        <v/>
      </c>
      <c r="T2541" s="32" t="str">
        <f aca="false">IF(F2541="","",IF(E2541="","Diğer",E2541))</f>
        <v/>
      </c>
      <c r="U2541" s="32" t="str">
        <f aca="false">IF(OR(F2541="",C2541=""),"",IF(COUNTIF($C$2:C2541,C2541)=1,MAX($U$1:U2540)+1,""))</f>
        <v/>
      </c>
    </row>
    <row r="2542" customFormat="false" ht="15" hidden="false" customHeight="false" outlineLevel="0" collapsed="false">
      <c r="A2542" s="34"/>
      <c r="B2542" s="9"/>
      <c r="C2542" s="34"/>
      <c r="D2542" s="34"/>
      <c r="E2542" s="34"/>
      <c r="F2542" s="35"/>
      <c r="G2542" s="9"/>
      <c r="H2542" s="9"/>
      <c r="I2542" s="34"/>
      <c r="J2542" s="30" t="str">
        <f aca="false">IF(F2542="","",G2542-B2542)</f>
        <v/>
      </c>
      <c r="K2542" s="31" t="str">
        <f aca="false">IF(F2542="","",IF(H2542&lt;&gt;"",H2542,MAX('Vade Sapması'!$D$3,G2542)))</f>
        <v/>
      </c>
      <c r="L2542" s="30" t="str">
        <f aca="false">IF(F2542="","",K2542-B2542)</f>
        <v/>
      </c>
      <c r="M2542" s="30" t="str">
        <f aca="false">IF(F2542="","",L2542-J2542)</f>
        <v/>
      </c>
      <c r="N2542" s="32" t="str">
        <f aca="false">IF(F2542="","",IF(H2542&lt;&gt;"","Kapandı",IF('Vade Sapması'!$D$3&gt;G2542,"Açık · vadesi geçti","Açık · vadesi gelmedi")))</f>
        <v/>
      </c>
      <c r="O2542" s="30" t="str">
        <f aca="false">IF(F2542="","",IF(AND(H2542="",'Vade Sapması'!$D$3&gt;G2542),'Vade Sapması'!$D$3-G2542,0))</f>
        <v/>
      </c>
      <c r="P2542" s="33" t="str">
        <f aca="false">IF(F2542="","",F2542*J2542)</f>
        <v/>
      </c>
      <c r="Q2542" s="33" t="str">
        <f aca="false">IF(F2542="","",F2542*L2542)</f>
        <v/>
      </c>
      <c r="R2542" s="33" t="str">
        <f aca="false">IF(F2542="","",IF(H2542="",F2542,0))</f>
        <v/>
      </c>
      <c r="S2542" s="32" t="str">
        <f aca="false">IF(F2542="","",IF(N(O2542)=0,"",IF(O2542&lt;=30,"1-30",IF(O2542&lt;=60,"31-60",IF(O2542&lt;=90,"61-90","90+")))))</f>
        <v/>
      </c>
      <c r="T2542" s="32" t="str">
        <f aca="false">IF(F2542="","",IF(E2542="","Diğer",E2542))</f>
        <v/>
      </c>
      <c r="U2542" s="32" t="str">
        <f aca="false">IF(OR(F2542="",C2542=""),"",IF(COUNTIF($C$2:C2542,C2542)=1,MAX($U$1:U2541)+1,""))</f>
        <v/>
      </c>
    </row>
    <row r="2543" customFormat="false" ht="15" hidden="false" customHeight="false" outlineLevel="0" collapsed="false">
      <c r="A2543" s="34"/>
      <c r="B2543" s="9"/>
      <c r="C2543" s="34"/>
      <c r="D2543" s="34"/>
      <c r="E2543" s="34"/>
      <c r="F2543" s="35"/>
      <c r="G2543" s="9"/>
      <c r="H2543" s="9"/>
      <c r="I2543" s="34"/>
      <c r="J2543" s="30" t="str">
        <f aca="false">IF(F2543="","",G2543-B2543)</f>
        <v/>
      </c>
      <c r="K2543" s="31" t="str">
        <f aca="false">IF(F2543="","",IF(H2543&lt;&gt;"",H2543,MAX('Vade Sapması'!$D$3,G2543)))</f>
        <v/>
      </c>
      <c r="L2543" s="30" t="str">
        <f aca="false">IF(F2543="","",K2543-B2543)</f>
        <v/>
      </c>
      <c r="M2543" s="30" t="str">
        <f aca="false">IF(F2543="","",L2543-J2543)</f>
        <v/>
      </c>
      <c r="N2543" s="32" t="str">
        <f aca="false">IF(F2543="","",IF(H2543&lt;&gt;"","Kapandı",IF('Vade Sapması'!$D$3&gt;G2543,"Açık · vadesi geçti","Açık · vadesi gelmedi")))</f>
        <v/>
      </c>
      <c r="O2543" s="30" t="str">
        <f aca="false">IF(F2543="","",IF(AND(H2543="",'Vade Sapması'!$D$3&gt;G2543),'Vade Sapması'!$D$3-G2543,0))</f>
        <v/>
      </c>
      <c r="P2543" s="33" t="str">
        <f aca="false">IF(F2543="","",F2543*J2543)</f>
        <v/>
      </c>
      <c r="Q2543" s="33" t="str">
        <f aca="false">IF(F2543="","",F2543*L2543)</f>
        <v/>
      </c>
      <c r="R2543" s="33" t="str">
        <f aca="false">IF(F2543="","",IF(H2543="",F2543,0))</f>
        <v/>
      </c>
      <c r="S2543" s="32" t="str">
        <f aca="false">IF(F2543="","",IF(N(O2543)=0,"",IF(O2543&lt;=30,"1-30",IF(O2543&lt;=60,"31-60",IF(O2543&lt;=90,"61-90","90+")))))</f>
        <v/>
      </c>
      <c r="T2543" s="32" t="str">
        <f aca="false">IF(F2543="","",IF(E2543="","Diğer",E2543))</f>
        <v/>
      </c>
      <c r="U2543" s="32" t="str">
        <f aca="false">IF(OR(F2543="",C2543=""),"",IF(COUNTIF($C$2:C2543,C2543)=1,MAX($U$1:U2542)+1,""))</f>
        <v/>
      </c>
    </row>
    <row r="2544" customFormat="false" ht="15" hidden="false" customHeight="false" outlineLevel="0" collapsed="false">
      <c r="A2544" s="34"/>
      <c r="B2544" s="9"/>
      <c r="C2544" s="34"/>
      <c r="D2544" s="34"/>
      <c r="E2544" s="34"/>
      <c r="F2544" s="35"/>
      <c r="G2544" s="9"/>
      <c r="H2544" s="9"/>
      <c r="I2544" s="34"/>
      <c r="J2544" s="30" t="str">
        <f aca="false">IF(F2544="","",G2544-B2544)</f>
        <v/>
      </c>
      <c r="K2544" s="31" t="str">
        <f aca="false">IF(F2544="","",IF(H2544&lt;&gt;"",H2544,MAX('Vade Sapması'!$D$3,G2544)))</f>
        <v/>
      </c>
      <c r="L2544" s="30" t="str">
        <f aca="false">IF(F2544="","",K2544-B2544)</f>
        <v/>
      </c>
      <c r="M2544" s="30" t="str">
        <f aca="false">IF(F2544="","",L2544-J2544)</f>
        <v/>
      </c>
      <c r="N2544" s="32" t="str">
        <f aca="false">IF(F2544="","",IF(H2544&lt;&gt;"","Kapandı",IF('Vade Sapması'!$D$3&gt;G2544,"Açık · vadesi geçti","Açık · vadesi gelmedi")))</f>
        <v/>
      </c>
      <c r="O2544" s="30" t="str">
        <f aca="false">IF(F2544="","",IF(AND(H2544="",'Vade Sapması'!$D$3&gt;G2544),'Vade Sapması'!$D$3-G2544,0))</f>
        <v/>
      </c>
      <c r="P2544" s="33" t="str">
        <f aca="false">IF(F2544="","",F2544*J2544)</f>
        <v/>
      </c>
      <c r="Q2544" s="33" t="str">
        <f aca="false">IF(F2544="","",F2544*L2544)</f>
        <v/>
      </c>
      <c r="R2544" s="33" t="str">
        <f aca="false">IF(F2544="","",IF(H2544="",F2544,0))</f>
        <v/>
      </c>
      <c r="S2544" s="32" t="str">
        <f aca="false">IF(F2544="","",IF(N(O2544)=0,"",IF(O2544&lt;=30,"1-30",IF(O2544&lt;=60,"31-60",IF(O2544&lt;=90,"61-90","90+")))))</f>
        <v/>
      </c>
      <c r="T2544" s="32" t="str">
        <f aca="false">IF(F2544="","",IF(E2544="","Diğer",E2544))</f>
        <v/>
      </c>
      <c r="U2544" s="32" t="str">
        <f aca="false">IF(OR(F2544="",C2544=""),"",IF(COUNTIF($C$2:C2544,C2544)=1,MAX($U$1:U2543)+1,""))</f>
        <v/>
      </c>
    </row>
    <row r="2545" customFormat="false" ht="15" hidden="false" customHeight="false" outlineLevel="0" collapsed="false">
      <c r="A2545" s="34"/>
      <c r="B2545" s="9"/>
      <c r="C2545" s="34"/>
      <c r="D2545" s="34"/>
      <c r="E2545" s="34"/>
      <c r="F2545" s="35"/>
      <c r="G2545" s="9"/>
      <c r="H2545" s="9"/>
      <c r="I2545" s="34"/>
      <c r="J2545" s="30" t="str">
        <f aca="false">IF(F2545="","",G2545-B2545)</f>
        <v/>
      </c>
      <c r="K2545" s="31" t="str">
        <f aca="false">IF(F2545="","",IF(H2545&lt;&gt;"",H2545,MAX('Vade Sapması'!$D$3,G2545)))</f>
        <v/>
      </c>
      <c r="L2545" s="30" t="str">
        <f aca="false">IF(F2545="","",K2545-B2545)</f>
        <v/>
      </c>
      <c r="M2545" s="30" t="str">
        <f aca="false">IF(F2545="","",L2545-J2545)</f>
        <v/>
      </c>
      <c r="N2545" s="32" t="str">
        <f aca="false">IF(F2545="","",IF(H2545&lt;&gt;"","Kapandı",IF('Vade Sapması'!$D$3&gt;G2545,"Açık · vadesi geçti","Açık · vadesi gelmedi")))</f>
        <v/>
      </c>
      <c r="O2545" s="30" t="str">
        <f aca="false">IF(F2545="","",IF(AND(H2545="",'Vade Sapması'!$D$3&gt;G2545),'Vade Sapması'!$D$3-G2545,0))</f>
        <v/>
      </c>
      <c r="P2545" s="33" t="str">
        <f aca="false">IF(F2545="","",F2545*J2545)</f>
        <v/>
      </c>
      <c r="Q2545" s="33" t="str">
        <f aca="false">IF(F2545="","",F2545*L2545)</f>
        <v/>
      </c>
      <c r="R2545" s="33" t="str">
        <f aca="false">IF(F2545="","",IF(H2545="",F2545,0))</f>
        <v/>
      </c>
      <c r="S2545" s="32" t="str">
        <f aca="false">IF(F2545="","",IF(N(O2545)=0,"",IF(O2545&lt;=30,"1-30",IF(O2545&lt;=60,"31-60",IF(O2545&lt;=90,"61-90","90+")))))</f>
        <v/>
      </c>
      <c r="T2545" s="32" t="str">
        <f aca="false">IF(F2545="","",IF(E2545="","Diğer",E2545))</f>
        <v/>
      </c>
      <c r="U2545" s="32" t="str">
        <f aca="false">IF(OR(F2545="",C2545=""),"",IF(COUNTIF($C$2:C2545,C2545)=1,MAX($U$1:U2544)+1,""))</f>
        <v/>
      </c>
    </row>
    <row r="2546" customFormat="false" ht="15" hidden="false" customHeight="false" outlineLevel="0" collapsed="false">
      <c r="A2546" s="34"/>
      <c r="B2546" s="9"/>
      <c r="C2546" s="34"/>
      <c r="D2546" s="34"/>
      <c r="E2546" s="34"/>
      <c r="F2546" s="35"/>
      <c r="G2546" s="9"/>
      <c r="H2546" s="9"/>
      <c r="I2546" s="34"/>
      <c r="J2546" s="30" t="str">
        <f aca="false">IF(F2546="","",G2546-B2546)</f>
        <v/>
      </c>
      <c r="K2546" s="31" t="str">
        <f aca="false">IF(F2546="","",IF(H2546&lt;&gt;"",H2546,MAX('Vade Sapması'!$D$3,G2546)))</f>
        <v/>
      </c>
      <c r="L2546" s="30" t="str">
        <f aca="false">IF(F2546="","",K2546-B2546)</f>
        <v/>
      </c>
      <c r="M2546" s="30" t="str">
        <f aca="false">IF(F2546="","",L2546-J2546)</f>
        <v/>
      </c>
      <c r="N2546" s="32" t="str">
        <f aca="false">IF(F2546="","",IF(H2546&lt;&gt;"","Kapandı",IF('Vade Sapması'!$D$3&gt;G2546,"Açık · vadesi geçti","Açık · vadesi gelmedi")))</f>
        <v/>
      </c>
      <c r="O2546" s="30" t="str">
        <f aca="false">IF(F2546="","",IF(AND(H2546="",'Vade Sapması'!$D$3&gt;G2546),'Vade Sapması'!$D$3-G2546,0))</f>
        <v/>
      </c>
      <c r="P2546" s="33" t="str">
        <f aca="false">IF(F2546="","",F2546*J2546)</f>
        <v/>
      </c>
      <c r="Q2546" s="33" t="str">
        <f aca="false">IF(F2546="","",F2546*L2546)</f>
        <v/>
      </c>
      <c r="R2546" s="33" t="str">
        <f aca="false">IF(F2546="","",IF(H2546="",F2546,0))</f>
        <v/>
      </c>
      <c r="S2546" s="32" t="str">
        <f aca="false">IF(F2546="","",IF(N(O2546)=0,"",IF(O2546&lt;=30,"1-30",IF(O2546&lt;=60,"31-60",IF(O2546&lt;=90,"61-90","90+")))))</f>
        <v/>
      </c>
      <c r="T2546" s="32" t="str">
        <f aca="false">IF(F2546="","",IF(E2546="","Diğer",E2546))</f>
        <v/>
      </c>
      <c r="U2546" s="32" t="str">
        <f aca="false">IF(OR(F2546="",C2546=""),"",IF(COUNTIF($C$2:C2546,C2546)=1,MAX($U$1:U2545)+1,""))</f>
        <v/>
      </c>
    </row>
    <row r="2547" customFormat="false" ht="15" hidden="false" customHeight="false" outlineLevel="0" collapsed="false">
      <c r="A2547" s="34"/>
      <c r="B2547" s="9"/>
      <c r="C2547" s="34"/>
      <c r="D2547" s="34"/>
      <c r="E2547" s="34"/>
      <c r="F2547" s="35"/>
      <c r="G2547" s="9"/>
      <c r="H2547" s="9"/>
      <c r="I2547" s="34"/>
      <c r="J2547" s="30" t="str">
        <f aca="false">IF(F2547="","",G2547-B2547)</f>
        <v/>
      </c>
      <c r="K2547" s="31" t="str">
        <f aca="false">IF(F2547="","",IF(H2547&lt;&gt;"",H2547,MAX('Vade Sapması'!$D$3,G2547)))</f>
        <v/>
      </c>
      <c r="L2547" s="30" t="str">
        <f aca="false">IF(F2547="","",K2547-B2547)</f>
        <v/>
      </c>
      <c r="M2547" s="30" t="str">
        <f aca="false">IF(F2547="","",L2547-J2547)</f>
        <v/>
      </c>
      <c r="N2547" s="32" t="str">
        <f aca="false">IF(F2547="","",IF(H2547&lt;&gt;"","Kapandı",IF('Vade Sapması'!$D$3&gt;G2547,"Açık · vadesi geçti","Açık · vadesi gelmedi")))</f>
        <v/>
      </c>
      <c r="O2547" s="30" t="str">
        <f aca="false">IF(F2547="","",IF(AND(H2547="",'Vade Sapması'!$D$3&gt;G2547),'Vade Sapması'!$D$3-G2547,0))</f>
        <v/>
      </c>
      <c r="P2547" s="33" t="str">
        <f aca="false">IF(F2547="","",F2547*J2547)</f>
        <v/>
      </c>
      <c r="Q2547" s="33" t="str">
        <f aca="false">IF(F2547="","",F2547*L2547)</f>
        <v/>
      </c>
      <c r="R2547" s="33" t="str">
        <f aca="false">IF(F2547="","",IF(H2547="",F2547,0))</f>
        <v/>
      </c>
      <c r="S2547" s="32" t="str">
        <f aca="false">IF(F2547="","",IF(N(O2547)=0,"",IF(O2547&lt;=30,"1-30",IF(O2547&lt;=60,"31-60",IF(O2547&lt;=90,"61-90","90+")))))</f>
        <v/>
      </c>
      <c r="T2547" s="32" t="str">
        <f aca="false">IF(F2547="","",IF(E2547="","Diğer",E2547))</f>
        <v/>
      </c>
      <c r="U2547" s="32" t="str">
        <f aca="false">IF(OR(F2547="",C2547=""),"",IF(COUNTIF($C$2:C2547,C2547)=1,MAX($U$1:U2546)+1,""))</f>
        <v/>
      </c>
    </row>
    <row r="2548" customFormat="false" ht="15" hidden="false" customHeight="false" outlineLevel="0" collapsed="false">
      <c r="A2548" s="34"/>
      <c r="B2548" s="9"/>
      <c r="C2548" s="34"/>
      <c r="D2548" s="34"/>
      <c r="E2548" s="34"/>
      <c r="F2548" s="35"/>
      <c r="G2548" s="9"/>
      <c r="H2548" s="9"/>
      <c r="I2548" s="34"/>
      <c r="J2548" s="30" t="str">
        <f aca="false">IF(F2548="","",G2548-B2548)</f>
        <v/>
      </c>
      <c r="K2548" s="31" t="str">
        <f aca="false">IF(F2548="","",IF(H2548&lt;&gt;"",H2548,MAX('Vade Sapması'!$D$3,G2548)))</f>
        <v/>
      </c>
      <c r="L2548" s="30" t="str">
        <f aca="false">IF(F2548="","",K2548-B2548)</f>
        <v/>
      </c>
      <c r="M2548" s="30" t="str">
        <f aca="false">IF(F2548="","",L2548-J2548)</f>
        <v/>
      </c>
      <c r="N2548" s="32" t="str">
        <f aca="false">IF(F2548="","",IF(H2548&lt;&gt;"","Kapandı",IF('Vade Sapması'!$D$3&gt;G2548,"Açık · vadesi geçti","Açık · vadesi gelmedi")))</f>
        <v/>
      </c>
      <c r="O2548" s="30" t="str">
        <f aca="false">IF(F2548="","",IF(AND(H2548="",'Vade Sapması'!$D$3&gt;G2548),'Vade Sapması'!$D$3-G2548,0))</f>
        <v/>
      </c>
      <c r="P2548" s="33" t="str">
        <f aca="false">IF(F2548="","",F2548*J2548)</f>
        <v/>
      </c>
      <c r="Q2548" s="33" t="str">
        <f aca="false">IF(F2548="","",F2548*L2548)</f>
        <v/>
      </c>
      <c r="R2548" s="33" t="str">
        <f aca="false">IF(F2548="","",IF(H2548="",F2548,0))</f>
        <v/>
      </c>
      <c r="S2548" s="32" t="str">
        <f aca="false">IF(F2548="","",IF(N(O2548)=0,"",IF(O2548&lt;=30,"1-30",IF(O2548&lt;=60,"31-60",IF(O2548&lt;=90,"61-90","90+")))))</f>
        <v/>
      </c>
      <c r="T2548" s="32" t="str">
        <f aca="false">IF(F2548="","",IF(E2548="","Diğer",E2548))</f>
        <v/>
      </c>
      <c r="U2548" s="32" t="str">
        <f aca="false">IF(OR(F2548="",C2548=""),"",IF(COUNTIF($C$2:C2548,C2548)=1,MAX($U$1:U2547)+1,""))</f>
        <v/>
      </c>
    </row>
    <row r="2549" customFormat="false" ht="15" hidden="false" customHeight="false" outlineLevel="0" collapsed="false">
      <c r="A2549" s="34"/>
      <c r="B2549" s="9"/>
      <c r="C2549" s="34"/>
      <c r="D2549" s="34"/>
      <c r="E2549" s="34"/>
      <c r="F2549" s="35"/>
      <c r="G2549" s="9"/>
      <c r="H2549" s="9"/>
      <c r="I2549" s="34"/>
      <c r="J2549" s="30" t="str">
        <f aca="false">IF(F2549="","",G2549-B2549)</f>
        <v/>
      </c>
      <c r="K2549" s="31" t="str">
        <f aca="false">IF(F2549="","",IF(H2549&lt;&gt;"",H2549,MAX('Vade Sapması'!$D$3,G2549)))</f>
        <v/>
      </c>
      <c r="L2549" s="30" t="str">
        <f aca="false">IF(F2549="","",K2549-B2549)</f>
        <v/>
      </c>
      <c r="M2549" s="30" t="str">
        <f aca="false">IF(F2549="","",L2549-J2549)</f>
        <v/>
      </c>
      <c r="N2549" s="32" t="str">
        <f aca="false">IF(F2549="","",IF(H2549&lt;&gt;"","Kapandı",IF('Vade Sapması'!$D$3&gt;G2549,"Açık · vadesi geçti","Açık · vadesi gelmedi")))</f>
        <v/>
      </c>
      <c r="O2549" s="30" t="str">
        <f aca="false">IF(F2549="","",IF(AND(H2549="",'Vade Sapması'!$D$3&gt;G2549),'Vade Sapması'!$D$3-G2549,0))</f>
        <v/>
      </c>
      <c r="P2549" s="33" t="str">
        <f aca="false">IF(F2549="","",F2549*J2549)</f>
        <v/>
      </c>
      <c r="Q2549" s="33" t="str">
        <f aca="false">IF(F2549="","",F2549*L2549)</f>
        <v/>
      </c>
      <c r="R2549" s="33" t="str">
        <f aca="false">IF(F2549="","",IF(H2549="",F2549,0))</f>
        <v/>
      </c>
      <c r="S2549" s="32" t="str">
        <f aca="false">IF(F2549="","",IF(N(O2549)=0,"",IF(O2549&lt;=30,"1-30",IF(O2549&lt;=60,"31-60",IF(O2549&lt;=90,"61-90","90+")))))</f>
        <v/>
      </c>
      <c r="T2549" s="32" t="str">
        <f aca="false">IF(F2549="","",IF(E2549="","Diğer",E2549))</f>
        <v/>
      </c>
      <c r="U2549" s="32" t="str">
        <f aca="false">IF(OR(F2549="",C2549=""),"",IF(COUNTIF($C$2:C2549,C2549)=1,MAX($U$1:U2548)+1,""))</f>
        <v/>
      </c>
    </row>
    <row r="2550" customFormat="false" ht="15" hidden="false" customHeight="false" outlineLevel="0" collapsed="false">
      <c r="A2550" s="34"/>
      <c r="B2550" s="9"/>
      <c r="C2550" s="34"/>
      <c r="D2550" s="34"/>
      <c r="E2550" s="34"/>
      <c r="F2550" s="35"/>
      <c r="G2550" s="9"/>
      <c r="H2550" s="9"/>
      <c r="I2550" s="34"/>
      <c r="J2550" s="30" t="str">
        <f aca="false">IF(F2550="","",G2550-B2550)</f>
        <v/>
      </c>
      <c r="K2550" s="31" t="str">
        <f aca="false">IF(F2550="","",IF(H2550&lt;&gt;"",H2550,MAX('Vade Sapması'!$D$3,G2550)))</f>
        <v/>
      </c>
      <c r="L2550" s="30" t="str">
        <f aca="false">IF(F2550="","",K2550-B2550)</f>
        <v/>
      </c>
      <c r="M2550" s="30" t="str">
        <f aca="false">IF(F2550="","",L2550-J2550)</f>
        <v/>
      </c>
      <c r="N2550" s="32" t="str">
        <f aca="false">IF(F2550="","",IF(H2550&lt;&gt;"","Kapandı",IF('Vade Sapması'!$D$3&gt;G2550,"Açık · vadesi geçti","Açık · vadesi gelmedi")))</f>
        <v/>
      </c>
      <c r="O2550" s="30" t="str">
        <f aca="false">IF(F2550="","",IF(AND(H2550="",'Vade Sapması'!$D$3&gt;G2550),'Vade Sapması'!$D$3-G2550,0))</f>
        <v/>
      </c>
      <c r="P2550" s="33" t="str">
        <f aca="false">IF(F2550="","",F2550*J2550)</f>
        <v/>
      </c>
      <c r="Q2550" s="33" t="str">
        <f aca="false">IF(F2550="","",F2550*L2550)</f>
        <v/>
      </c>
      <c r="R2550" s="33" t="str">
        <f aca="false">IF(F2550="","",IF(H2550="",F2550,0))</f>
        <v/>
      </c>
      <c r="S2550" s="32" t="str">
        <f aca="false">IF(F2550="","",IF(N(O2550)=0,"",IF(O2550&lt;=30,"1-30",IF(O2550&lt;=60,"31-60",IF(O2550&lt;=90,"61-90","90+")))))</f>
        <v/>
      </c>
      <c r="T2550" s="32" t="str">
        <f aca="false">IF(F2550="","",IF(E2550="","Diğer",E2550))</f>
        <v/>
      </c>
      <c r="U2550" s="32" t="str">
        <f aca="false">IF(OR(F2550="",C2550=""),"",IF(COUNTIF($C$2:C2550,C2550)=1,MAX($U$1:U2549)+1,""))</f>
        <v/>
      </c>
    </row>
    <row r="2551" customFormat="false" ht="15" hidden="false" customHeight="false" outlineLevel="0" collapsed="false">
      <c r="A2551" s="34"/>
      <c r="B2551" s="9"/>
      <c r="C2551" s="34"/>
      <c r="D2551" s="34"/>
      <c r="E2551" s="34"/>
      <c r="F2551" s="35"/>
      <c r="G2551" s="9"/>
      <c r="H2551" s="9"/>
      <c r="I2551" s="34"/>
      <c r="J2551" s="30" t="str">
        <f aca="false">IF(F2551="","",G2551-B2551)</f>
        <v/>
      </c>
      <c r="K2551" s="31" t="str">
        <f aca="false">IF(F2551="","",IF(H2551&lt;&gt;"",H2551,MAX('Vade Sapması'!$D$3,G2551)))</f>
        <v/>
      </c>
      <c r="L2551" s="30" t="str">
        <f aca="false">IF(F2551="","",K2551-B2551)</f>
        <v/>
      </c>
      <c r="M2551" s="30" t="str">
        <f aca="false">IF(F2551="","",L2551-J2551)</f>
        <v/>
      </c>
      <c r="N2551" s="32" t="str">
        <f aca="false">IF(F2551="","",IF(H2551&lt;&gt;"","Kapandı",IF('Vade Sapması'!$D$3&gt;G2551,"Açık · vadesi geçti","Açık · vadesi gelmedi")))</f>
        <v/>
      </c>
      <c r="O2551" s="30" t="str">
        <f aca="false">IF(F2551="","",IF(AND(H2551="",'Vade Sapması'!$D$3&gt;G2551),'Vade Sapması'!$D$3-G2551,0))</f>
        <v/>
      </c>
      <c r="P2551" s="33" t="str">
        <f aca="false">IF(F2551="","",F2551*J2551)</f>
        <v/>
      </c>
      <c r="Q2551" s="33" t="str">
        <f aca="false">IF(F2551="","",F2551*L2551)</f>
        <v/>
      </c>
      <c r="R2551" s="33" t="str">
        <f aca="false">IF(F2551="","",IF(H2551="",F2551,0))</f>
        <v/>
      </c>
      <c r="S2551" s="32" t="str">
        <f aca="false">IF(F2551="","",IF(N(O2551)=0,"",IF(O2551&lt;=30,"1-30",IF(O2551&lt;=60,"31-60",IF(O2551&lt;=90,"61-90","90+")))))</f>
        <v/>
      </c>
      <c r="T2551" s="32" t="str">
        <f aca="false">IF(F2551="","",IF(E2551="","Diğer",E2551))</f>
        <v/>
      </c>
      <c r="U2551" s="32" t="str">
        <f aca="false">IF(OR(F2551="",C2551=""),"",IF(COUNTIF($C$2:C2551,C2551)=1,MAX($U$1:U2550)+1,""))</f>
        <v/>
      </c>
    </row>
    <row r="2552" customFormat="false" ht="15" hidden="false" customHeight="false" outlineLevel="0" collapsed="false">
      <c r="A2552" s="34"/>
      <c r="B2552" s="9"/>
      <c r="C2552" s="34"/>
      <c r="D2552" s="34"/>
      <c r="E2552" s="34"/>
      <c r="F2552" s="35"/>
      <c r="G2552" s="9"/>
      <c r="H2552" s="9"/>
      <c r="I2552" s="34"/>
      <c r="J2552" s="30" t="str">
        <f aca="false">IF(F2552="","",G2552-B2552)</f>
        <v/>
      </c>
      <c r="K2552" s="31" t="str">
        <f aca="false">IF(F2552="","",IF(H2552&lt;&gt;"",H2552,MAX('Vade Sapması'!$D$3,G2552)))</f>
        <v/>
      </c>
      <c r="L2552" s="30" t="str">
        <f aca="false">IF(F2552="","",K2552-B2552)</f>
        <v/>
      </c>
      <c r="M2552" s="30" t="str">
        <f aca="false">IF(F2552="","",L2552-J2552)</f>
        <v/>
      </c>
      <c r="N2552" s="32" t="str">
        <f aca="false">IF(F2552="","",IF(H2552&lt;&gt;"","Kapandı",IF('Vade Sapması'!$D$3&gt;G2552,"Açık · vadesi geçti","Açık · vadesi gelmedi")))</f>
        <v/>
      </c>
      <c r="O2552" s="30" t="str">
        <f aca="false">IF(F2552="","",IF(AND(H2552="",'Vade Sapması'!$D$3&gt;G2552),'Vade Sapması'!$D$3-G2552,0))</f>
        <v/>
      </c>
      <c r="P2552" s="33" t="str">
        <f aca="false">IF(F2552="","",F2552*J2552)</f>
        <v/>
      </c>
      <c r="Q2552" s="33" t="str">
        <f aca="false">IF(F2552="","",F2552*L2552)</f>
        <v/>
      </c>
      <c r="R2552" s="33" t="str">
        <f aca="false">IF(F2552="","",IF(H2552="",F2552,0))</f>
        <v/>
      </c>
      <c r="S2552" s="32" t="str">
        <f aca="false">IF(F2552="","",IF(N(O2552)=0,"",IF(O2552&lt;=30,"1-30",IF(O2552&lt;=60,"31-60",IF(O2552&lt;=90,"61-90","90+")))))</f>
        <v/>
      </c>
      <c r="T2552" s="32" t="str">
        <f aca="false">IF(F2552="","",IF(E2552="","Diğer",E2552))</f>
        <v/>
      </c>
      <c r="U2552" s="32" t="str">
        <f aca="false">IF(OR(F2552="",C2552=""),"",IF(COUNTIF($C$2:C2552,C2552)=1,MAX($U$1:U2551)+1,""))</f>
        <v/>
      </c>
    </row>
    <row r="2553" customFormat="false" ht="15" hidden="false" customHeight="false" outlineLevel="0" collapsed="false">
      <c r="A2553" s="34"/>
      <c r="B2553" s="9"/>
      <c r="C2553" s="34"/>
      <c r="D2553" s="34"/>
      <c r="E2553" s="34"/>
      <c r="F2553" s="35"/>
      <c r="G2553" s="9"/>
      <c r="H2553" s="9"/>
      <c r="I2553" s="34"/>
      <c r="J2553" s="30" t="str">
        <f aca="false">IF(F2553="","",G2553-B2553)</f>
        <v/>
      </c>
      <c r="K2553" s="31" t="str">
        <f aca="false">IF(F2553="","",IF(H2553&lt;&gt;"",H2553,MAX('Vade Sapması'!$D$3,G2553)))</f>
        <v/>
      </c>
      <c r="L2553" s="30" t="str">
        <f aca="false">IF(F2553="","",K2553-B2553)</f>
        <v/>
      </c>
      <c r="M2553" s="30" t="str">
        <f aca="false">IF(F2553="","",L2553-J2553)</f>
        <v/>
      </c>
      <c r="N2553" s="32" t="str">
        <f aca="false">IF(F2553="","",IF(H2553&lt;&gt;"","Kapandı",IF('Vade Sapması'!$D$3&gt;G2553,"Açık · vadesi geçti","Açık · vadesi gelmedi")))</f>
        <v/>
      </c>
      <c r="O2553" s="30" t="str">
        <f aca="false">IF(F2553="","",IF(AND(H2553="",'Vade Sapması'!$D$3&gt;G2553),'Vade Sapması'!$D$3-G2553,0))</f>
        <v/>
      </c>
      <c r="P2553" s="33" t="str">
        <f aca="false">IF(F2553="","",F2553*J2553)</f>
        <v/>
      </c>
      <c r="Q2553" s="33" t="str">
        <f aca="false">IF(F2553="","",F2553*L2553)</f>
        <v/>
      </c>
      <c r="R2553" s="33" t="str">
        <f aca="false">IF(F2553="","",IF(H2553="",F2553,0))</f>
        <v/>
      </c>
      <c r="S2553" s="32" t="str">
        <f aca="false">IF(F2553="","",IF(N(O2553)=0,"",IF(O2553&lt;=30,"1-30",IF(O2553&lt;=60,"31-60",IF(O2553&lt;=90,"61-90","90+")))))</f>
        <v/>
      </c>
      <c r="T2553" s="32" t="str">
        <f aca="false">IF(F2553="","",IF(E2553="","Diğer",E2553))</f>
        <v/>
      </c>
      <c r="U2553" s="32" t="str">
        <f aca="false">IF(OR(F2553="",C2553=""),"",IF(COUNTIF($C$2:C2553,C2553)=1,MAX($U$1:U2552)+1,""))</f>
        <v/>
      </c>
    </row>
    <row r="2554" customFormat="false" ht="15" hidden="false" customHeight="false" outlineLevel="0" collapsed="false">
      <c r="A2554" s="34"/>
      <c r="B2554" s="9"/>
      <c r="C2554" s="34"/>
      <c r="D2554" s="34"/>
      <c r="E2554" s="34"/>
      <c r="F2554" s="35"/>
      <c r="G2554" s="9"/>
      <c r="H2554" s="9"/>
      <c r="I2554" s="34"/>
      <c r="J2554" s="30" t="str">
        <f aca="false">IF(F2554="","",G2554-B2554)</f>
        <v/>
      </c>
      <c r="K2554" s="31" t="str">
        <f aca="false">IF(F2554="","",IF(H2554&lt;&gt;"",H2554,MAX('Vade Sapması'!$D$3,G2554)))</f>
        <v/>
      </c>
      <c r="L2554" s="30" t="str">
        <f aca="false">IF(F2554="","",K2554-B2554)</f>
        <v/>
      </c>
      <c r="M2554" s="30" t="str">
        <f aca="false">IF(F2554="","",L2554-J2554)</f>
        <v/>
      </c>
      <c r="N2554" s="32" t="str">
        <f aca="false">IF(F2554="","",IF(H2554&lt;&gt;"","Kapandı",IF('Vade Sapması'!$D$3&gt;G2554,"Açık · vadesi geçti","Açık · vadesi gelmedi")))</f>
        <v/>
      </c>
      <c r="O2554" s="30" t="str">
        <f aca="false">IF(F2554="","",IF(AND(H2554="",'Vade Sapması'!$D$3&gt;G2554),'Vade Sapması'!$D$3-G2554,0))</f>
        <v/>
      </c>
      <c r="P2554" s="33" t="str">
        <f aca="false">IF(F2554="","",F2554*J2554)</f>
        <v/>
      </c>
      <c r="Q2554" s="33" t="str">
        <f aca="false">IF(F2554="","",F2554*L2554)</f>
        <v/>
      </c>
      <c r="R2554" s="33" t="str">
        <f aca="false">IF(F2554="","",IF(H2554="",F2554,0))</f>
        <v/>
      </c>
      <c r="S2554" s="32" t="str">
        <f aca="false">IF(F2554="","",IF(N(O2554)=0,"",IF(O2554&lt;=30,"1-30",IF(O2554&lt;=60,"31-60",IF(O2554&lt;=90,"61-90","90+")))))</f>
        <v/>
      </c>
      <c r="T2554" s="32" t="str">
        <f aca="false">IF(F2554="","",IF(E2554="","Diğer",E2554))</f>
        <v/>
      </c>
      <c r="U2554" s="32" t="str">
        <f aca="false">IF(OR(F2554="",C2554=""),"",IF(COUNTIF($C$2:C2554,C2554)=1,MAX($U$1:U2553)+1,""))</f>
        <v/>
      </c>
    </row>
    <row r="2555" customFormat="false" ht="15" hidden="false" customHeight="false" outlineLevel="0" collapsed="false">
      <c r="A2555" s="34"/>
      <c r="B2555" s="9"/>
      <c r="C2555" s="34"/>
      <c r="D2555" s="34"/>
      <c r="E2555" s="34"/>
      <c r="F2555" s="35"/>
      <c r="G2555" s="9"/>
      <c r="H2555" s="9"/>
      <c r="I2555" s="34"/>
      <c r="J2555" s="30" t="str">
        <f aca="false">IF(F2555="","",G2555-B2555)</f>
        <v/>
      </c>
      <c r="K2555" s="31" t="str">
        <f aca="false">IF(F2555="","",IF(H2555&lt;&gt;"",H2555,MAX('Vade Sapması'!$D$3,G2555)))</f>
        <v/>
      </c>
      <c r="L2555" s="30" t="str">
        <f aca="false">IF(F2555="","",K2555-B2555)</f>
        <v/>
      </c>
      <c r="M2555" s="30" t="str">
        <f aca="false">IF(F2555="","",L2555-J2555)</f>
        <v/>
      </c>
      <c r="N2555" s="32" t="str">
        <f aca="false">IF(F2555="","",IF(H2555&lt;&gt;"","Kapandı",IF('Vade Sapması'!$D$3&gt;G2555,"Açık · vadesi geçti","Açık · vadesi gelmedi")))</f>
        <v/>
      </c>
      <c r="O2555" s="30" t="str">
        <f aca="false">IF(F2555="","",IF(AND(H2555="",'Vade Sapması'!$D$3&gt;G2555),'Vade Sapması'!$D$3-G2555,0))</f>
        <v/>
      </c>
      <c r="P2555" s="33" t="str">
        <f aca="false">IF(F2555="","",F2555*J2555)</f>
        <v/>
      </c>
      <c r="Q2555" s="33" t="str">
        <f aca="false">IF(F2555="","",F2555*L2555)</f>
        <v/>
      </c>
      <c r="R2555" s="33" t="str">
        <f aca="false">IF(F2555="","",IF(H2555="",F2555,0))</f>
        <v/>
      </c>
      <c r="S2555" s="32" t="str">
        <f aca="false">IF(F2555="","",IF(N(O2555)=0,"",IF(O2555&lt;=30,"1-30",IF(O2555&lt;=60,"31-60",IF(O2555&lt;=90,"61-90","90+")))))</f>
        <v/>
      </c>
      <c r="T2555" s="32" t="str">
        <f aca="false">IF(F2555="","",IF(E2555="","Diğer",E2555))</f>
        <v/>
      </c>
      <c r="U2555" s="32" t="str">
        <f aca="false">IF(OR(F2555="",C2555=""),"",IF(COUNTIF($C$2:C2555,C2555)=1,MAX($U$1:U2554)+1,""))</f>
        <v/>
      </c>
    </row>
    <row r="2556" customFormat="false" ht="15" hidden="false" customHeight="false" outlineLevel="0" collapsed="false">
      <c r="A2556" s="34"/>
      <c r="B2556" s="9"/>
      <c r="C2556" s="34"/>
      <c r="D2556" s="34"/>
      <c r="E2556" s="34"/>
      <c r="F2556" s="35"/>
      <c r="G2556" s="9"/>
      <c r="H2556" s="9"/>
      <c r="I2556" s="34"/>
      <c r="J2556" s="30" t="str">
        <f aca="false">IF(F2556="","",G2556-B2556)</f>
        <v/>
      </c>
      <c r="K2556" s="31" t="str">
        <f aca="false">IF(F2556="","",IF(H2556&lt;&gt;"",H2556,MAX('Vade Sapması'!$D$3,G2556)))</f>
        <v/>
      </c>
      <c r="L2556" s="30" t="str">
        <f aca="false">IF(F2556="","",K2556-B2556)</f>
        <v/>
      </c>
      <c r="M2556" s="30" t="str">
        <f aca="false">IF(F2556="","",L2556-J2556)</f>
        <v/>
      </c>
      <c r="N2556" s="32" t="str">
        <f aca="false">IF(F2556="","",IF(H2556&lt;&gt;"","Kapandı",IF('Vade Sapması'!$D$3&gt;G2556,"Açık · vadesi geçti","Açık · vadesi gelmedi")))</f>
        <v/>
      </c>
      <c r="O2556" s="30" t="str">
        <f aca="false">IF(F2556="","",IF(AND(H2556="",'Vade Sapması'!$D$3&gt;G2556),'Vade Sapması'!$D$3-G2556,0))</f>
        <v/>
      </c>
      <c r="P2556" s="33" t="str">
        <f aca="false">IF(F2556="","",F2556*J2556)</f>
        <v/>
      </c>
      <c r="Q2556" s="33" t="str">
        <f aca="false">IF(F2556="","",F2556*L2556)</f>
        <v/>
      </c>
      <c r="R2556" s="33" t="str">
        <f aca="false">IF(F2556="","",IF(H2556="",F2556,0))</f>
        <v/>
      </c>
      <c r="S2556" s="32" t="str">
        <f aca="false">IF(F2556="","",IF(N(O2556)=0,"",IF(O2556&lt;=30,"1-30",IF(O2556&lt;=60,"31-60",IF(O2556&lt;=90,"61-90","90+")))))</f>
        <v/>
      </c>
      <c r="T2556" s="32" t="str">
        <f aca="false">IF(F2556="","",IF(E2556="","Diğer",E2556))</f>
        <v/>
      </c>
      <c r="U2556" s="32" t="str">
        <f aca="false">IF(OR(F2556="",C2556=""),"",IF(COUNTIF($C$2:C2556,C2556)=1,MAX($U$1:U2555)+1,""))</f>
        <v/>
      </c>
    </row>
    <row r="2557" customFormat="false" ht="15" hidden="false" customHeight="false" outlineLevel="0" collapsed="false">
      <c r="A2557" s="34"/>
      <c r="B2557" s="9"/>
      <c r="C2557" s="34"/>
      <c r="D2557" s="34"/>
      <c r="E2557" s="34"/>
      <c r="F2557" s="35"/>
      <c r="G2557" s="9"/>
      <c r="H2557" s="9"/>
      <c r="I2557" s="34"/>
      <c r="J2557" s="30" t="str">
        <f aca="false">IF(F2557="","",G2557-B2557)</f>
        <v/>
      </c>
      <c r="K2557" s="31" t="str">
        <f aca="false">IF(F2557="","",IF(H2557&lt;&gt;"",H2557,MAX('Vade Sapması'!$D$3,G2557)))</f>
        <v/>
      </c>
      <c r="L2557" s="30" t="str">
        <f aca="false">IF(F2557="","",K2557-B2557)</f>
        <v/>
      </c>
      <c r="M2557" s="30" t="str">
        <f aca="false">IF(F2557="","",L2557-J2557)</f>
        <v/>
      </c>
      <c r="N2557" s="32" t="str">
        <f aca="false">IF(F2557="","",IF(H2557&lt;&gt;"","Kapandı",IF('Vade Sapması'!$D$3&gt;G2557,"Açık · vadesi geçti","Açık · vadesi gelmedi")))</f>
        <v/>
      </c>
      <c r="O2557" s="30" t="str">
        <f aca="false">IF(F2557="","",IF(AND(H2557="",'Vade Sapması'!$D$3&gt;G2557),'Vade Sapması'!$D$3-G2557,0))</f>
        <v/>
      </c>
      <c r="P2557" s="33" t="str">
        <f aca="false">IF(F2557="","",F2557*J2557)</f>
        <v/>
      </c>
      <c r="Q2557" s="33" t="str">
        <f aca="false">IF(F2557="","",F2557*L2557)</f>
        <v/>
      </c>
      <c r="R2557" s="33" t="str">
        <f aca="false">IF(F2557="","",IF(H2557="",F2557,0))</f>
        <v/>
      </c>
      <c r="S2557" s="32" t="str">
        <f aca="false">IF(F2557="","",IF(N(O2557)=0,"",IF(O2557&lt;=30,"1-30",IF(O2557&lt;=60,"31-60",IF(O2557&lt;=90,"61-90","90+")))))</f>
        <v/>
      </c>
      <c r="T2557" s="32" t="str">
        <f aca="false">IF(F2557="","",IF(E2557="","Diğer",E2557))</f>
        <v/>
      </c>
      <c r="U2557" s="32" t="str">
        <f aca="false">IF(OR(F2557="",C2557=""),"",IF(COUNTIF($C$2:C2557,C2557)=1,MAX($U$1:U2556)+1,""))</f>
        <v/>
      </c>
    </row>
    <row r="2558" customFormat="false" ht="15" hidden="false" customHeight="false" outlineLevel="0" collapsed="false">
      <c r="A2558" s="34"/>
      <c r="B2558" s="9"/>
      <c r="C2558" s="34"/>
      <c r="D2558" s="34"/>
      <c r="E2558" s="34"/>
      <c r="F2558" s="35"/>
      <c r="G2558" s="9"/>
      <c r="H2558" s="9"/>
      <c r="I2558" s="34"/>
      <c r="J2558" s="30" t="str">
        <f aca="false">IF(F2558="","",G2558-B2558)</f>
        <v/>
      </c>
      <c r="K2558" s="31" t="str">
        <f aca="false">IF(F2558="","",IF(H2558&lt;&gt;"",H2558,MAX('Vade Sapması'!$D$3,G2558)))</f>
        <v/>
      </c>
      <c r="L2558" s="30" t="str">
        <f aca="false">IF(F2558="","",K2558-B2558)</f>
        <v/>
      </c>
      <c r="M2558" s="30" t="str">
        <f aca="false">IF(F2558="","",L2558-J2558)</f>
        <v/>
      </c>
      <c r="N2558" s="32" t="str">
        <f aca="false">IF(F2558="","",IF(H2558&lt;&gt;"","Kapandı",IF('Vade Sapması'!$D$3&gt;G2558,"Açık · vadesi geçti","Açık · vadesi gelmedi")))</f>
        <v/>
      </c>
      <c r="O2558" s="30" t="str">
        <f aca="false">IF(F2558="","",IF(AND(H2558="",'Vade Sapması'!$D$3&gt;G2558),'Vade Sapması'!$D$3-G2558,0))</f>
        <v/>
      </c>
      <c r="P2558" s="33" t="str">
        <f aca="false">IF(F2558="","",F2558*J2558)</f>
        <v/>
      </c>
      <c r="Q2558" s="33" t="str">
        <f aca="false">IF(F2558="","",F2558*L2558)</f>
        <v/>
      </c>
      <c r="R2558" s="33" t="str">
        <f aca="false">IF(F2558="","",IF(H2558="",F2558,0))</f>
        <v/>
      </c>
      <c r="S2558" s="32" t="str">
        <f aca="false">IF(F2558="","",IF(N(O2558)=0,"",IF(O2558&lt;=30,"1-30",IF(O2558&lt;=60,"31-60",IF(O2558&lt;=90,"61-90","90+")))))</f>
        <v/>
      </c>
      <c r="T2558" s="32" t="str">
        <f aca="false">IF(F2558="","",IF(E2558="","Diğer",E2558))</f>
        <v/>
      </c>
      <c r="U2558" s="32" t="str">
        <f aca="false">IF(OR(F2558="",C2558=""),"",IF(COUNTIF($C$2:C2558,C2558)=1,MAX($U$1:U2557)+1,""))</f>
        <v/>
      </c>
    </row>
    <row r="2559" customFormat="false" ht="15" hidden="false" customHeight="false" outlineLevel="0" collapsed="false">
      <c r="A2559" s="34"/>
      <c r="B2559" s="9"/>
      <c r="C2559" s="34"/>
      <c r="D2559" s="34"/>
      <c r="E2559" s="34"/>
      <c r="F2559" s="35"/>
      <c r="G2559" s="9"/>
      <c r="H2559" s="9"/>
      <c r="I2559" s="34"/>
      <c r="J2559" s="30" t="str">
        <f aca="false">IF(F2559="","",G2559-B2559)</f>
        <v/>
      </c>
      <c r="K2559" s="31" t="str">
        <f aca="false">IF(F2559="","",IF(H2559&lt;&gt;"",H2559,MAX('Vade Sapması'!$D$3,G2559)))</f>
        <v/>
      </c>
      <c r="L2559" s="30" t="str">
        <f aca="false">IF(F2559="","",K2559-B2559)</f>
        <v/>
      </c>
      <c r="M2559" s="30" t="str">
        <f aca="false">IF(F2559="","",L2559-J2559)</f>
        <v/>
      </c>
      <c r="N2559" s="32" t="str">
        <f aca="false">IF(F2559="","",IF(H2559&lt;&gt;"","Kapandı",IF('Vade Sapması'!$D$3&gt;G2559,"Açık · vadesi geçti","Açık · vadesi gelmedi")))</f>
        <v/>
      </c>
      <c r="O2559" s="30" t="str">
        <f aca="false">IF(F2559="","",IF(AND(H2559="",'Vade Sapması'!$D$3&gt;G2559),'Vade Sapması'!$D$3-G2559,0))</f>
        <v/>
      </c>
      <c r="P2559" s="33" t="str">
        <f aca="false">IF(F2559="","",F2559*J2559)</f>
        <v/>
      </c>
      <c r="Q2559" s="33" t="str">
        <f aca="false">IF(F2559="","",F2559*L2559)</f>
        <v/>
      </c>
      <c r="R2559" s="33" t="str">
        <f aca="false">IF(F2559="","",IF(H2559="",F2559,0))</f>
        <v/>
      </c>
      <c r="S2559" s="32" t="str">
        <f aca="false">IF(F2559="","",IF(N(O2559)=0,"",IF(O2559&lt;=30,"1-30",IF(O2559&lt;=60,"31-60",IF(O2559&lt;=90,"61-90","90+")))))</f>
        <v/>
      </c>
      <c r="T2559" s="32" t="str">
        <f aca="false">IF(F2559="","",IF(E2559="","Diğer",E2559))</f>
        <v/>
      </c>
      <c r="U2559" s="32" t="str">
        <f aca="false">IF(OR(F2559="",C2559=""),"",IF(COUNTIF($C$2:C2559,C2559)=1,MAX($U$1:U2558)+1,""))</f>
        <v/>
      </c>
    </row>
    <row r="2560" customFormat="false" ht="15" hidden="false" customHeight="false" outlineLevel="0" collapsed="false">
      <c r="A2560" s="34"/>
      <c r="B2560" s="9"/>
      <c r="C2560" s="34"/>
      <c r="D2560" s="34"/>
      <c r="E2560" s="34"/>
      <c r="F2560" s="35"/>
      <c r="G2560" s="9"/>
      <c r="H2560" s="9"/>
      <c r="I2560" s="34"/>
      <c r="J2560" s="30" t="str">
        <f aca="false">IF(F2560="","",G2560-B2560)</f>
        <v/>
      </c>
      <c r="K2560" s="31" t="str">
        <f aca="false">IF(F2560="","",IF(H2560&lt;&gt;"",H2560,MAX('Vade Sapması'!$D$3,G2560)))</f>
        <v/>
      </c>
      <c r="L2560" s="30" t="str">
        <f aca="false">IF(F2560="","",K2560-B2560)</f>
        <v/>
      </c>
      <c r="M2560" s="30" t="str">
        <f aca="false">IF(F2560="","",L2560-J2560)</f>
        <v/>
      </c>
      <c r="N2560" s="32" t="str">
        <f aca="false">IF(F2560="","",IF(H2560&lt;&gt;"","Kapandı",IF('Vade Sapması'!$D$3&gt;G2560,"Açık · vadesi geçti","Açık · vadesi gelmedi")))</f>
        <v/>
      </c>
      <c r="O2560" s="30" t="str">
        <f aca="false">IF(F2560="","",IF(AND(H2560="",'Vade Sapması'!$D$3&gt;G2560),'Vade Sapması'!$D$3-G2560,0))</f>
        <v/>
      </c>
      <c r="P2560" s="33" t="str">
        <f aca="false">IF(F2560="","",F2560*J2560)</f>
        <v/>
      </c>
      <c r="Q2560" s="33" t="str">
        <f aca="false">IF(F2560="","",F2560*L2560)</f>
        <v/>
      </c>
      <c r="R2560" s="33" t="str">
        <f aca="false">IF(F2560="","",IF(H2560="",F2560,0))</f>
        <v/>
      </c>
      <c r="S2560" s="32" t="str">
        <f aca="false">IF(F2560="","",IF(N(O2560)=0,"",IF(O2560&lt;=30,"1-30",IF(O2560&lt;=60,"31-60",IF(O2560&lt;=90,"61-90","90+")))))</f>
        <v/>
      </c>
      <c r="T2560" s="32" t="str">
        <f aca="false">IF(F2560="","",IF(E2560="","Diğer",E2560))</f>
        <v/>
      </c>
      <c r="U2560" s="32" t="str">
        <f aca="false">IF(OR(F2560="",C2560=""),"",IF(COUNTIF($C$2:C2560,C2560)=1,MAX($U$1:U2559)+1,""))</f>
        <v/>
      </c>
    </row>
    <row r="2561" customFormat="false" ht="15" hidden="false" customHeight="false" outlineLevel="0" collapsed="false">
      <c r="A2561" s="34"/>
      <c r="B2561" s="9"/>
      <c r="C2561" s="34"/>
      <c r="D2561" s="34"/>
      <c r="E2561" s="34"/>
      <c r="F2561" s="35"/>
      <c r="G2561" s="9"/>
      <c r="H2561" s="9"/>
      <c r="I2561" s="34"/>
      <c r="J2561" s="30" t="str">
        <f aca="false">IF(F2561="","",G2561-B2561)</f>
        <v/>
      </c>
      <c r="K2561" s="31" t="str">
        <f aca="false">IF(F2561="","",IF(H2561&lt;&gt;"",H2561,MAX('Vade Sapması'!$D$3,G2561)))</f>
        <v/>
      </c>
      <c r="L2561" s="30" t="str">
        <f aca="false">IF(F2561="","",K2561-B2561)</f>
        <v/>
      </c>
      <c r="M2561" s="30" t="str">
        <f aca="false">IF(F2561="","",L2561-J2561)</f>
        <v/>
      </c>
      <c r="N2561" s="32" t="str">
        <f aca="false">IF(F2561="","",IF(H2561&lt;&gt;"","Kapandı",IF('Vade Sapması'!$D$3&gt;G2561,"Açık · vadesi geçti","Açık · vadesi gelmedi")))</f>
        <v/>
      </c>
      <c r="O2561" s="30" t="str">
        <f aca="false">IF(F2561="","",IF(AND(H2561="",'Vade Sapması'!$D$3&gt;G2561),'Vade Sapması'!$D$3-G2561,0))</f>
        <v/>
      </c>
      <c r="P2561" s="33" t="str">
        <f aca="false">IF(F2561="","",F2561*J2561)</f>
        <v/>
      </c>
      <c r="Q2561" s="33" t="str">
        <f aca="false">IF(F2561="","",F2561*L2561)</f>
        <v/>
      </c>
      <c r="R2561" s="33" t="str">
        <f aca="false">IF(F2561="","",IF(H2561="",F2561,0))</f>
        <v/>
      </c>
      <c r="S2561" s="32" t="str">
        <f aca="false">IF(F2561="","",IF(N(O2561)=0,"",IF(O2561&lt;=30,"1-30",IF(O2561&lt;=60,"31-60",IF(O2561&lt;=90,"61-90","90+")))))</f>
        <v/>
      </c>
      <c r="T2561" s="32" t="str">
        <f aca="false">IF(F2561="","",IF(E2561="","Diğer",E2561))</f>
        <v/>
      </c>
      <c r="U2561" s="32" t="str">
        <f aca="false">IF(OR(F2561="",C2561=""),"",IF(COUNTIF($C$2:C2561,C2561)=1,MAX($U$1:U2560)+1,""))</f>
        <v/>
      </c>
    </row>
    <row r="2562" customFormat="false" ht="15" hidden="false" customHeight="false" outlineLevel="0" collapsed="false">
      <c r="A2562" s="34"/>
      <c r="B2562" s="9"/>
      <c r="C2562" s="34"/>
      <c r="D2562" s="34"/>
      <c r="E2562" s="34"/>
      <c r="F2562" s="35"/>
      <c r="G2562" s="9"/>
      <c r="H2562" s="9"/>
      <c r="I2562" s="34"/>
      <c r="J2562" s="30" t="str">
        <f aca="false">IF(F2562="","",G2562-B2562)</f>
        <v/>
      </c>
      <c r="K2562" s="31" t="str">
        <f aca="false">IF(F2562="","",IF(H2562&lt;&gt;"",H2562,MAX('Vade Sapması'!$D$3,G2562)))</f>
        <v/>
      </c>
      <c r="L2562" s="30" t="str">
        <f aca="false">IF(F2562="","",K2562-B2562)</f>
        <v/>
      </c>
      <c r="M2562" s="30" t="str">
        <f aca="false">IF(F2562="","",L2562-J2562)</f>
        <v/>
      </c>
      <c r="N2562" s="32" t="str">
        <f aca="false">IF(F2562="","",IF(H2562&lt;&gt;"","Kapandı",IF('Vade Sapması'!$D$3&gt;G2562,"Açık · vadesi geçti","Açık · vadesi gelmedi")))</f>
        <v/>
      </c>
      <c r="O2562" s="30" t="str">
        <f aca="false">IF(F2562="","",IF(AND(H2562="",'Vade Sapması'!$D$3&gt;G2562),'Vade Sapması'!$D$3-G2562,0))</f>
        <v/>
      </c>
      <c r="P2562" s="33" t="str">
        <f aca="false">IF(F2562="","",F2562*J2562)</f>
        <v/>
      </c>
      <c r="Q2562" s="33" t="str">
        <f aca="false">IF(F2562="","",F2562*L2562)</f>
        <v/>
      </c>
      <c r="R2562" s="33" t="str">
        <f aca="false">IF(F2562="","",IF(H2562="",F2562,0))</f>
        <v/>
      </c>
      <c r="S2562" s="32" t="str">
        <f aca="false">IF(F2562="","",IF(N(O2562)=0,"",IF(O2562&lt;=30,"1-30",IF(O2562&lt;=60,"31-60",IF(O2562&lt;=90,"61-90","90+")))))</f>
        <v/>
      </c>
      <c r="T2562" s="32" t="str">
        <f aca="false">IF(F2562="","",IF(E2562="","Diğer",E2562))</f>
        <v/>
      </c>
      <c r="U2562" s="32" t="str">
        <f aca="false">IF(OR(F2562="",C2562=""),"",IF(COUNTIF($C$2:C2562,C2562)=1,MAX($U$1:U2561)+1,""))</f>
        <v/>
      </c>
    </row>
    <row r="2563" customFormat="false" ht="15" hidden="false" customHeight="false" outlineLevel="0" collapsed="false">
      <c r="A2563" s="34"/>
      <c r="B2563" s="9"/>
      <c r="C2563" s="34"/>
      <c r="D2563" s="34"/>
      <c r="E2563" s="34"/>
      <c r="F2563" s="35"/>
      <c r="G2563" s="9"/>
      <c r="H2563" s="9"/>
      <c r="I2563" s="34"/>
      <c r="J2563" s="30" t="str">
        <f aca="false">IF(F2563="","",G2563-B2563)</f>
        <v/>
      </c>
      <c r="K2563" s="31" t="str">
        <f aca="false">IF(F2563="","",IF(H2563&lt;&gt;"",H2563,MAX('Vade Sapması'!$D$3,G2563)))</f>
        <v/>
      </c>
      <c r="L2563" s="30" t="str">
        <f aca="false">IF(F2563="","",K2563-B2563)</f>
        <v/>
      </c>
      <c r="M2563" s="30" t="str">
        <f aca="false">IF(F2563="","",L2563-J2563)</f>
        <v/>
      </c>
      <c r="N2563" s="32" t="str">
        <f aca="false">IF(F2563="","",IF(H2563&lt;&gt;"","Kapandı",IF('Vade Sapması'!$D$3&gt;G2563,"Açık · vadesi geçti","Açık · vadesi gelmedi")))</f>
        <v/>
      </c>
      <c r="O2563" s="30" t="str">
        <f aca="false">IF(F2563="","",IF(AND(H2563="",'Vade Sapması'!$D$3&gt;G2563),'Vade Sapması'!$D$3-G2563,0))</f>
        <v/>
      </c>
      <c r="P2563" s="33" t="str">
        <f aca="false">IF(F2563="","",F2563*J2563)</f>
        <v/>
      </c>
      <c r="Q2563" s="33" t="str">
        <f aca="false">IF(F2563="","",F2563*L2563)</f>
        <v/>
      </c>
      <c r="R2563" s="33" t="str">
        <f aca="false">IF(F2563="","",IF(H2563="",F2563,0))</f>
        <v/>
      </c>
      <c r="S2563" s="32" t="str">
        <f aca="false">IF(F2563="","",IF(N(O2563)=0,"",IF(O2563&lt;=30,"1-30",IF(O2563&lt;=60,"31-60",IF(O2563&lt;=90,"61-90","90+")))))</f>
        <v/>
      </c>
      <c r="T2563" s="32" t="str">
        <f aca="false">IF(F2563="","",IF(E2563="","Diğer",E2563))</f>
        <v/>
      </c>
      <c r="U2563" s="32" t="str">
        <f aca="false">IF(OR(F2563="",C2563=""),"",IF(COUNTIF($C$2:C2563,C2563)=1,MAX($U$1:U2562)+1,""))</f>
        <v/>
      </c>
    </row>
    <row r="2564" customFormat="false" ht="15" hidden="false" customHeight="false" outlineLevel="0" collapsed="false">
      <c r="A2564" s="34"/>
      <c r="B2564" s="9"/>
      <c r="C2564" s="34"/>
      <c r="D2564" s="34"/>
      <c r="E2564" s="34"/>
      <c r="F2564" s="35"/>
      <c r="G2564" s="9"/>
      <c r="H2564" s="9"/>
      <c r="I2564" s="34"/>
      <c r="J2564" s="30" t="str">
        <f aca="false">IF(F2564="","",G2564-B2564)</f>
        <v/>
      </c>
      <c r="K2564" s="31" t="str">
        <f aca="false">IF(F2564="","",IF(H2564&lt;&gt;"",H2564,MAX('Vade Sapması'!$D$3,G2564)))</f>
        <v/>
      </c>
      <c r="L2564" s="30" t="str">
        <f aca="false">IF(F2564="","",K2564-B2564)</f>
        <v/>
      </c>
      <c r="M2564" s="30" t="str">
        <f aca="false">IF(F2564="","",L2564-J2564)</f>
        <v/>
      </c>
      <c r="N2564" s="32" t="str">
        <f aca="false">IF(F2564="","",IF(H2564&lt;&gt;"","Kapandı",IF('Vade Sapması'!$D$3&gt;G2564,"Açık · vadesi geçti","Açık · vadesi gelmedi")))</f>
        <v/>
      </c>
      <c r="O2564" s="30" t="str">
        <f aca="false">IF(F2564="","",IF(AND(H2564="",'Vade Sapması'!$D$3&gt;G2564),'Vade Sapması'!$D$3-G2564,0))</f>
        <v/>
      </c>
      <c r="P2564" s="33" t="str">
        <f aca="false">IF(F2564="","",F2564*J2564)</f>
        <v/>
      </c>
      <c r="Q2564" s="33" t="str">
        <f aca="false">IF(F2564="","",F2564*L2564)</f>
        <v/>
      </c>
      <c r="R2564" s="33" t="str">
        <f aca="false">IF(F2564="","",IF(H2564="",F2564,0))</f>
        <v/>
      </c>
      <c r="S2564" s="32" t="str">
        <f aca="false">IF(F2564="","",IF(N(O2564)=0,"",IF(O2564&lt;=30,"1-30",IF(O2564&lt;=60,"31-60",IF(O2564&lt;=90,"61-90","90+")))))</f>
        <v/>
      </c>
      <c r="T2564" s="32" t="str">
        <f aca="false">IF(F2564="","",IF(E2564="","Diğer",E2564))</f>
        <v/>
      </c>
      <c r="U2564" s="32" t="str">
        <f aca="false">IF(OR(F2564="",C2564=""),"",IF(COUNTIF($C$2:C2564,C2564)=1,MAX($U$1:U2563)+1,""))</f>
        <v/>
      </c>
    </row>
    <row r="2565" customFormat="false" ht="15" hidden="false" customHeight="false" outlineLevel="0" collapsed="false">
      <c r="A2565" s="34"/>
      <c r="B2565" s="9"/>
      <c r="C2565" s="34"/>
      <c r="D2565" s="34"/>
      <c r="E2565" s="34"/>
      <c r="F2565" s="35"/>
      <c r="G2565" s="9"/>
      <c r="H2565" s="9"/>
      <c r="I2565" s="34"/>
      <c r="J2565" s="30" t="str">
        <f aca="false">IF(F2565="","",G2565-B2565)</f>
        <v/>
      </c>
      <c r="K2565" s="31" t="str">
        <f aca="false">IF(F2565="","",IF(H2565&lt;&gt;"",H2565,MAX('Vade Sapması'!$D$3,G2565)))</f>
        <v/>
      </c>
      <c r="L2565" s="30" t="str">
        <f aca="false">IF(F2565="","",K2565-B2565)</f>
        <v/>
      </c>
      <c r="M2565" s="30" t="str">
        <f aca="false">IF(F2565="","",L2565-J2565)</f>
        <v/>
      </c>
      <c r="N2565" s="32" t="str">
        <f aca="false">IF(F2565="","",IF(H2565&lt;&gt;"","Kapandı",IF('Vade Sapması'!$D$3&gt;G2565,"Açık · vadesi geçti","Açık · vadesi gelmedi")))</f>
        <v/>
      </c>
      <c r="O2565" s="30" t="str">
        <f aca="false">IF(F2565="","",IF(AND(H2565="",'Vade Sapması'!$D$3&gt;G2565),'Vade Sapması'!$D$3-G2565,0))</f>
        <v/>
      </c>
      <c r="P2565" s="33" t="str">
        <f aca="false">IF(F2565="","",F2565*J2565)</f>
        <v/>
      </c>
      <c r="Q2565" s="33" t="str">
        <f aca="false">IF(F2565="","",F2565*L2565)</f>
        <v/>
      </c>
      <c r="R2565" s="33" t="str">
        <f aca="false">IF(F2565="","",IF(H2565="",F2565,0))</f>
        <v/>
      </c>
      <c r="S2565" s="32" t="str">
        <f aca="false">IF(F2565="","",IF(N(O2565)=0,"",IF(O2565&lt;=30,"1-30",IF(O2565&lt;=60,"31-60",IF(O2565&lt;=90,"61-90","90+")))))</f>
        <v/>
      </c>
      <c r="T2565" s="32" t="str">
        <f aca="false">IF(F2565="","",IF(E2565="","Diğer",E2565))</f>
        <v/>
      </c>
      <c r="U2565" s="32" t="str">
        <f aca="false">IF(OR(F2565="",C2565=""),"",IF(COUNTIF($C$2:C2565,C2565)=1,MAX($U$1:U2564)+1,""))</f>
        <v/>
      </c>
    </row>
    <row r="2566" customFormat="false" ht="15" hidden="false" customHeight="false" outlineLevel="0" collapsed="false">
      <c r="A2566" s="34"/>
      <c r="B2566" s="9"/>
      <c r="C2566" s="34"/>
      <c r="D2566" s="34"/>
      <c r="E2566" s="34"/>
      <c r="F2566" s="35"/>
      <c r="G2566" s="9"/>
      <c r="H2566" s="9"/>
      <c r="I2566" s="34"/>
      <c r="J2566" s="30" t="str">
        <f aca="false">IF(F2566="","",G2566-B2566)</f>
        <v/>
      </c>
      <c r="K2566" s="31" t="str">
        <f aca="false">IF(F2566="","",IF(H2566&lt;&gt;"",H2566,MAX('Vade Sapması'!$D$3,G2566)))</f>
        <v/>
      </c>
      <c r="L2566" s="30" t="str">
        <f aca="false">IF(F2566="","",K2566-B2566)</f>
        <v/>
      </c>
      <c r="M2566" s="30" t="str">
        <f aca="false">IF(F2566="","",L2566-J2566)</f>
        <v/>
      </c>
      <c r="N2566" s="32" t="str">
        <f aca="false">IF(F2566="","",IF(H2566&lt;&gt;"","Kapandı",IF('Vade Sapması'!$D$3&gt;G2566,"Açık · vadesi geçti","Açık · vadesi gelmedi")))</f>
        <v/>
      </c>
      <c r="O2566" s="30" t="str">
        <f aca="false">IF(F2566="","",IF(AND(H2566="",'Vade Sapması'!$D$3&gt;G2566),'Vade Sapması'!$D$3-G2566,0))</f>
        <v/>
      </c>
      <c r="P2566" s="33" t="str">
        <f aca="false">IF(F2566="","",F2566*J2566)</f>
        <v/>
      </c>
      <c r="Q2566" s="33" t="str">
        <f aca="false">IF(F2566="","",F2566*L2566)</f>
        <v/>
      </c>
      <c r="R2566" s="33" t="str">
        <f aca="false">IF(F2566="","",IF(H2566="",F2566,0))</f>
        <v/>
      </c>
      <c r="S2566" s="32" t="str">
        <f aca="false">IF(F2566="","",IF(N(O2566)=0,"",IF(O2566&lt;=30,"1-30",IF(O2566&lt;=60,"31-60",IF(O2566&lt;=90,"61-90","90+")))))</f>
        <v/>
      </c>
      <c r="T2566" s="32" t="str">
        <f aca="false">IF(F2566="","",IF(E2566="","Diğer",E2566))</f>
        <v/>
      </c>
      <c r="U2566" s="32" t="str">
        <f aca="false">IF(OR(F2566="",C2566=""),"",IF(COUNTIF($C$2:C2566,C2566)=1,MAX($U$1:U2565)+1,""))</f>
        <v/>
      </c>
    </row>
    <row r="2567" customFormat="false" ht="15" hidden="false" customHeight="false" outlineLevel="0" collapsed="false">
      <c r="A2567" s="34"/>
      <c r="B2567" s="9"/>
      <c r="C2567" s="34"/>
      <c r="D2567" s="34"/>
      <c r="E2567" s="34"/>
      <c r="F2567" s="35"/>
      <c r="G2567" s="9"/>
      <c r="H2567" s="9"/>
      <c r="I2567" s="34"/>
      <c r="J2567" s="30" t="str">
        <f aca="false">IF(F2567="","",G2567-B2567)</f>
        <v/>
      </c>
      <c r="K2567" s="31" t="str">
        <f aca="false">IF(F2567="","",IF(H2567&lt;&gt;"",H2567,MAX('Vade Sapması'!$D$3,G2567)))</f>
        <v/>
      </c>
      <c r="L2567" s="30" t="str">
        <f aca="false">IF(F2567="","",K2567-B2567)</f>
        <v/>
      </c>
      <c r="M2567" s="30" t="str">
        <f aca="false">IF(F2567="","",L2567-J2567)</f>
        <v/>
      </c>
      <c r="N2567" s="32" t="str">
        <f aca="false">IF(F2567="","",IF(H2567&lt;&gt;"","Kapandı",IF('Vade Sapması'!$D$3&gt;G2567,"Açık · vadesi geçti","Açık · vadesi gelmedi")))</f>
        <v/>
      </c>
      <c r="O2567" s="30" t="str">
        <f aca="false">IF(F2567="","",IF(AND(H2567="",'Vade Sapması'!$D$3&gt;G2567),'Vade Sapması'!$D$3-G2567,0))</f>
        <v/>
      </c>
      <c r="P2567" s="33" t="str">
        <f aca="false">IF(F2567="","",F2567*J2567)</f>
        <v/>
      </c>
      <c r="Q2567" s="33" t="str">
        <f aca="false">IF(F2567="","",F2567*L2567)</f>
        <v/>
      </c>
      <c r="R2567" s="33" t="str">
        <f aca="false">IF(F2567="","",IF(H2567="",F2567,0))</f>
        <v/>
      </c>
      <c r="S2567" s="32" t="str">
        <f aca="false">IF(F2567="","",IF(N(O2567)=0,"",IF(O2567&lt;=30,"1-30",IF(O2567&lt;=60,"31-60",IF(O2567&lt;=90,"61-90","90+")))))</f>
        <v/>
      </c>
      <c r="T2567" s="32" t="str">
        <f aca="false">IF(F2567="","",IF(E2567="","Diğer",E2567))</f>
        <v/>
      </c>
      <c r="U2567" s="32" t="str">
        <f aca="false">IF(OR(F2567="",C2567=""),"",IF(COUNTIF($C$2:C2567,C2567)=1,MAX($U$1:U2566)+1,""))</f>
        <v/>
      </c>
    </row>
    <row r="2568" customFormat="false" ht="15" hidden="false" customHeight="false" outlineLevel="0" collapsed="false">
      <c r="A2568" s="34"/>
      <c r="B2568" s="9"/>
      <c r="C2568" s="34"/>
      <c r="D2568" s="34"/>
      <c r="E2568" s="34"/>
      <c r="F2568" s="35"/>
      <c r="G2568" s="9"/>
      <c r="H2568" s="9"/>
      <c r="I2568" s="34"/>
      <c r="J2568" s="30" t="str">
        <f aca="false">IF(F2568="","",G2568-B2568)</f>
        <v/>
      </c>
      <c r="K2568" s="31" t="str">
        <f aca="false">IF(F2568="","",IF(H2568&lt;&gt;"",H2568,MAX('Vade Sapması'!$D$3,G2568)))</f>
        <v/>
      </c>
      <c r="L2568" s="30" t="str">
        <f aca="false">IF(F2568="","",K2568-B2568)</f>
        <v/>
      </c>
      <c r="M2568" s="30" t="str">
        <f aca="false">IF(F2568="","",L2568-J2568)</f>
        <v/>
      </c>
      <c r="N2568" s="32" t="str">
        <f aca="false">IF(F2568="","",IF(H2568&lt;&gt;"","Kapandı",IF('Vade Sapması'!$D$3&gt;G2568,"Açık · vadesi geçti","Açık · vadesi gelmedi")))</f>
        <v/>
      </c>
      <c r="O2568" s="30" t="str">
        <f aca="false">IF(F2568="","",IF(AND(H2568="",'Vade Sapması'!$D$3&gt;G2568),'Vade Sapması'!$D$3-G2568,0))</f>
        <v/>
      </c>
      <c r="P2568" s="33" t="str">
        <f aca="false">IF(F2568="","",F2568*J2568)</f>
        <v/>
      </c>
      <c r="Q2568" s="33" t="str">
        <f aca="false">IF(F2568="","",F2568*L2568)</f>
        <v/>
      </c>
      <c r="R2568" s="33" t="str">
        <f aca="false">IF(F2568="","",IF(H2568="",F2568,0))</f>
        <v/>
      </c>
      <c r="S2568" s="32" t="str">
        <f aca="false">IF(F2568="","",IF(N(O2568)=0,"",IF(O2568&lt;=30,"1-30",IF(O2568&lt;=60,"31-60",IF(O2568&lt;=90,"61-90","90+")))))</f>
        <v/>
      </c>
      <c r="T2568" s="32" t="str">
        <f aca="false">IF(F2568="","",IF(E2568="","Diğer",E2568))</f>
        <v/>
      </c>
      <c r="U2568" s="32" t="str">
        <f aca="false">IF(OR(F2568="",C2568=""),"",IF(COUNTIF($C$2:C2568,C2568)=1,MAX($U$1:U2567)+1,""))</f>
        <v/>
      </c>
    </row>
    <row r="2569" customFormat="false" ht="15" hidden="false" customHeight="false" outlineLevel="0" collapsed="false">
      <c r="A2569" s="34"/>
      <c r="B2569" s="9"/>
      <c r="C2569" s="34"/>
      <c r="D2569" s="34"/>
      <c r="E2569" s="34"/>
      <c r="F2569" s="35"/>
      <c r="G2569" s="9"/>
      <c r="H2569" s="9"/>
      <c r="I2569" s="34"/>
      <c r="J2569" s="30" t="str">
        <f aca="false">IF(F2569="","",G2569-B2569)</f>
        <v/>
      </c>
      <c r="K2569" s="31" t="str">
        <f aca="false">IF(F2569="","",IF(H2569&lt;&gt;"",H2569,MAX('Vade Sapması'!$D$3,G2569)))</f>
        <v/>
      </c>
      <c r="L2569" s="30" t="str">
        <f aca="false">IF(F2569="","",K2569-B2569)</f>
        <v/>
      </c>
      <c r="M2569" s="30" t="str">
        <f aca="false">IF(F2569="","",L2569-J2569)</f>
        <v/>
      </c>
      <c r="N2569" s="32" t="str">
        <f aca="false">IF(F2569="","",IF(H2569&lt;&gt;"","Kapandı",IF('Vade Sapması'!$D$3&gt;G2569,"Açık · vadesi geçti","Açık · vadesi gelmedi")))</f>
        <v/>
      </c>
      <c r="O2569" s="30" t="str">
        <f aca="false">IF(F2569="","",IF(AND(H2569="",'Vade Sapması'!$D$3&gt;G2569),'Vade Sapması'!$D$3-G2569,0))</f>
        <v/>
      </c>
      <c r="P2569" s="33" t="str">
        <f aca="false">IF(F2569="","",F2569*J2569)</f>
        <v/>
      </c>
      <c r="Q2569" s="33" t="str">
        <f aca="false">IF(F2569="","",F2569*L2569)</f>
        <v/>
      </c>
      <c r="R2569" s="33" t="str">
        <f aca="false">IF(F2569="","",IF(H2569="",F2569,0))</f>
        <v/>
      </c>
      <c r="S2569" s="32" t="str">
        <f aca="false">IF(F2569="","",IF(N(O2569)=0,"",IF(O2569&lt;=30,"1-30",IF(O2569&lt;=60,"31-60",IF(O2569&lt;=90,"61-90","90+")))))</f>
        <v/>
      </c>
      <c r="T2569" s="32" t="str">
        <f aca="false">IF(F2569="","",IF(E2569="","Diğer",E2569))</f>
        <v/>
      </c>
      <c r="U2569" s="32" t="str">
        <f aca="false">IF(OR(F2569="",C2569=""),"",IF(COUNTIF($C$2:C2569,C2569)=1,MAX($U$1:U2568)+1,""))</f>
        <v/>
      </c>
    </row>
    <row r="2570" customFormat="false" ht="15" hidden="false" customHeight="false" outlineLevel="0" collapsed="false">
      <c r="A2570" s="34"/>
      <c r="B2570" s="9"/>
      <c r="C2570" s="34"/>
      <c r="D2570" s="34"/>
      <c r="E2570" s="34"/>
      <c r="F2570" s="35"/>
      <c r="G2570" s="9"/>
      <c r="H2570" s="9"/>
      <c r="I2570" s="34"/>
      <c r="J2570" s="30" t="str">
        <f aca="false">IF(F2570="","",G2570-B2570)</f>
        <v/>
      </c>
      <c r="K2570" s="31" t="str">
        <f aca="false">IF(F2570="","",IF(H2570&lt;&gt;"",H2570,MAX('Vade Sapması'!$D$3,G2570)))</f>
        <v/>
      </c>
      <c r="L2570" s="30" t="str">
        <f aca="false">IF(F2570="","",K2570-B2570)</f>
        <v/>
      </c>
      <c r="M2570" s="30" t="str">
        <f aca="false">IF(F2570="","",L2570-J2570)</f>
        <v/>
      </c>
      <c r="N2570" s="32" t="str">
        <f aca="false">IF(F2570="","",IF(H2570&lt;&gt;"","Kapandı",IF('Vade Sapması'!$D$3&gt;G2570,"Açık · vadesi geçti","Açık · vadesi gelmedi")))</f>
        <v/>
      </c>
      <c r="O2570" s="30" t="str">
        <f aca="false">IF(F2570="","",IF(AND(H2570="",'Vade Sapması'!$D$3&gt;G2570),'Vade Sapması'!$D$3-G2570,0))</f>
        <v/>
      </c>
      <c r="P2570" s="33" t="str">
        <f aca="false">IF(F2570="","",F2570*J2570)</f>
        <v/>
      </c>
      <c r="Q2570" s="33" t="str">
        <f aca="false">IF(F2570="","",F2570*L2570)</f>
        <v/>
      </c>
      <c r="R2570" s="33" t="str">
        <f aca="false">IF(F2570="","",IF(H2570="",F2570,0))</f>
        <v/>
      </c>
      <c r="S2570" s="32" t="str">
        <f aca="false">IF(F2570="","",IF(N(O2570)=0,"",IF(O2570&lt;=30,"1-30",IF(O2570&lt;=60,"31-60",IF(O2570&lt;=90,"61-90","90+")))))</f>
        <v/>
      </c>
      <c r="T2570" s="32" t="str">
        <f aca="false">IF(F2570="","",IF(E2570="","Diğer",E2570))</f>
        <v/>
      </c>
      <c r="U2570" s="32" t="str">
        <f aca="false">IF(OR(F2570="",C2570=""),"",IF(COUNTIF($C$2:C2570,C2570)=1,MAX($U$1:U2569)+1,""))</f>
        <v/>
      </c>
    </row>
    <row r="2571" customFormat="false" ht="15" hidden="false" customHeight="false" outlineLevel="0" collapsed="false">
      <c r="A2571" s="34"/>
      <c r="B2571" s="9"/>
      <c r="C2571" s="34"/>
      <c r="D2571" s="34"/>
      <c r="E2571" s="34"/>
      <c r="F2571" s="35"/>
      <c r="G2571" s="9"/>
      <c r="H2571" s="9"/>
      <c r="I2571" s="34"/>
      <c r="J2571" s="30" t="str">
        <f aca="false">IF(F2571="","",G2571-B2571)</f>
        <v/>
      </c>
      <c r="K2571" s="31" t="str">
        <f aca="false">IF(F2571="","",IF(H2571&lt;&gt;"",H2571,MAX('Vade Sapması'!$D$3,G2571)))</f>
        <v/>
      </c>
      <c r="L2571" s="30" t="str">
        <f aca="false">IF(F2571="","",K2571-B2571)</f>
        <v/>
      </c>
      <c r="M2571" s="30" t="str">
        <f aca="false">IF(F2571="","",L2571-J2571)</f>
        <v/>
      </c>
      <c r="N2571" s="32" t="str">
        <f aca="false">IF(F2571="","",IF(H2571&lt;&gt;"","Kapandı",IF('Vade Sapması'!$D$3&gt;G2571,"Açık · vadesi geçti","Açık · vadesi gelmedi")))</f>
        <v/>
      </c>
      <c r="O2571" s="30" t="str">
        <f aca="false">IF(F2571="","",IF(AND(H2571="",'Vade Sapması'!$D$3&gt;G2571),'Vade Sapması'!$D$3-G2571,0))</f>
        <v/>
      </c>
      <c r="P2571" s="33" t="str">
        <f aca="false">IF(F2571="","",F2571*J2571)</f>
        <v/>
      </c>
      <c r="Q2571" s="33" t="str">
        <f aca="false">IF(F2571="","",F2571*L2571)</f>
        <v/>
      </c>
      <c r="R2571" s="33" t="str">
        <f aca="false">IF(F2571="","",IF(H2571="",F2571,0))</f>
        <v/>
      </c>
      <c r="S2571" s="32" t="str">
        <f aca="false">IF(F2571="","",IF(N(O2571)=0,"",IF(O2571&lt;=30,"1-30",IF(O2571&lt;=60,"31-60",IF(O2571&lt;=90,"61-90","90+")))))</f>
        <v/>
      </c>
      <c r="T2571" s="32" t="str">
        <f aca="false">IF(F2571="","",IF(E2571="","Diğer",E2571))</f>
        <v/>
      </c>
      <c r="U2571" s="32" t="str">
        <f aca="false">IF(OR(F2571="",C2571=""),"",IF(COUNTIF($C$2:C2571,C2571)=1,MAX($U$1:U2570)+1,""))</f>
        <v/>
      </c>
    </row>
    <row r="2572" customFormat="false" ht="15" hidden="false" customHeight="false" outlineLevel="0" collapsed="false">
      <c r="A2572" s="34"/>
      <c r="B2572" s="9"/>
      <c r="C2572" s="34"/>
      <c r="D2572" s="34"/>
      <c r="E2572" s="34"/>
      <c r="F2572" s="35"/>
      <c r="G2572" s="9"/>
      <c r="H2572" s="9"/>
      <c r="I2572" s="34"/>
      <c r="J2572" s="30" t="str">
        <f aca="false">IF(F2572="","",G2572-B2572)</f>
        <v/>
      </c>
      <c r="K2572" s="31" t="str">
        <f aca="false">IF(F2572="","",IF(H2572&lt;&gt;"",H2572,MAX('Vade Sapması'!$D$3,G2572)))</f>
        <v/>
      </c>
      <c r="L2572" s="30" t="str">
        <f aca="false">IF(F2572="","",K2572-B2572)</f>
        <v/>
      </c>
      <c r="M2572" s="30" t="str">
        <f aca="false">IF(F2572="","",L2572-J2572)</f>
        <v/>
      </c>
      <c r="N2572" s="32" t="str">
        <f aca="false">IF(F2572="","",IF(H2572&lt;&gt;"","Kapandı",IF('Vade Sapması'!$D$3&gt;G2572,"Açık · vadesi geçti","Açık · vadesi gelmedi")))</f>
        <v/>
      </c>
      <c r="O2572" s="30" t="str">
        <f aca="false">IF(F2572="","",IF(AND(H2572="",'Vade Sapması'!$D$3&gt;G2572),'Vade Sapması'!$D$3-G2572,0))</f>
        <v/>
      </c>
      <c r="P2572" s="33" t="str">
        <f aca="false">IF(F2572="","",F2572*J2572)</f>
        <v/>
      </c>
      <c r="Q2572" s="33" t="str">
        <f aca="false">IF(F2572="","",F2572*L2572)</f>
        <v/>
      </c>
      <c r="R2572" s="33" t="str">
        <f aca="false">IF(F2572="","",IF(H2572="",F2572,0))</f>
        <v/>
      </c>
      <c r="S2572" s="32" t="str">
        <f aca="false">IF(F2572="","",IF(N(O2572)=0,"",IF(O2572&lt;=30,"1-30",IF(O2572&lt;=60,"31-60",IF(O2572&lt;=90,"61-90","90+")))))</f>
        <v/>
      </c>
      <c r="T2572" s="32" t="str">
        <f aca="false">IF(F2572="","",IF(E2572="","Diğer",E2572))</f>
        <v/>
      </c>
      <c r="U2572" s="32" t="str">
        <f aca="false">IF(OR(F2572="",C2572=""),"",IF(COUNTIF($C$2:C2572,C2572)=1,MAX($U$1:U2571)+1,""))</f>
        <v/>
      </c>
    </row>
    <row r="2573" customFormat="false" ht="15" hidden="false" customHeight="false" outlineLevel="0" collapsed="false">
      <c r="A2573" s="34"/>
      <c r="B2573" s="9"/>
      <c r="C2573" s="34"/>
      <c r="D2573" s="34"/>
      <c r="E2573" s="34"/>
      <c r="F2573" s="35"/>
      <c r="G2573" s="9"/>
      <c r="H2573" s="9"/>
      <c r="I2573" s="34"/>
      <c r="J2573" s="30" t="str">
        <f aca="false">IF(F2573="","",G2573-B2573)</f>
        <v/>
      </c>
      <c r="K2573" s="31" t="str">
        <f aca="false">IF(F2573="","",IF(H2573&lt;&gt;"",H2573,MAX('Vade Sapması'!$D$3,G2573)))</f>
        <v/>
      </c>
      <c r="L2573" s="30" t="str">
        <f aca="false">IF(F2573="","",K2573-B2573)</f>
        <v/>
      </c>
      <c r="M2573" s="30" t="str">
        <f aca="false">IF(F2573="","",L2573-J2573)</f>
        <v/>
      </c>
      <c r="N2573" s="32" t="str">
        <f aca="false">IF(F2573="","",IF(H2573&lt;&gt;"","Kapandı",IF('Vade Sapması'!$D$3&gt;G2573,"Açık · vadesi geçti","Açık · vadesi gelmedi")))</f>
        <v/>
      </c>
      <c r="O2573" s="30" t="str">
        <f aca="false">IF(F2573="","",IF(AND(H2573="",'Vade Sapması'!$D$3&gt;G2573),'Vade Sapması'!$D$3-G2573,0))</f>
        <v/>
      </c>
      <c r="P2573" s="33" t="str">
        <f aca="false">IF(F2573="","",F2573*J2573)</f>
        <v/>
      </c>
      <c r="Q2573" s="33" t="str">
        <f aca="false">IF(F2573="","",F2573*L2573)</f>
        <v/>
      </c>
      <c r="R2573" s="33" t="str">
        <f aca="false">IF(F2573="","",IF(H2573="",F2573,0))</f>
        <v/>
      </c>
      <c r="S2573" s="32" t="str">
        <f aca="false">IF(F2573="","",IF(N(O2573)=0,"",IF(O2573&lt;=30,"1-30",IF(O2573&lt;=60,"31-60",IF(O2573&lt;=90,"61-90","90+")))))</f>
        <v/>
      </c>
      <c r="T2573" s="32" t="str">
        <f aca="false">IF(F2573="","",IF(E2573="","Diğer",E2573))</f>
        <v/>
      </c>
      <c r="U2573" s="32" t="str">
        <f aca="false">IF(OR(F2573="",C2573=""),"",IF(COUNTIF($C$2:C2573,C2573)=1,MAX($U$1:U2572)+1,""))</f>
        <v/>
      </c>
    </row>
    <row r="2574" customFormat="false" ht="15" hidden="false" customHeight="false" outlineLevel="0" collapsed="false">
      <c r="A2574" s="34"/>
      <c r="B2574" s="9"/>
      <c r="C2574" s="34"/>
      <c r="D2574" s="34"/>
      <c r="E2574" s="34"/>
      <c r="F2574" s="35"/>
      <c r="G2574" s="9"/>
      <c r="H2574" s="9"/>
      <c r="I2574" s="34"/>
      <c r="J2574" s="30" t="str">
        <f aca="false">IF(F2574="","",G2574-B2574)</f>
        <v/>
      </c>
      <c r="K2574" s="31" t="str">
        <f aca="false">IF(F2574="","",IF(H2574&lt;&gt;"",H2574,MAX('Vade Sapması'!$D$3,G2574)))</f>
        <v/>
      </c>
      <c r="L2574" s="30" t="str">
        <f aca="false">IF(F2574="","",K2574-B2574)</f>
        <v/>
      </c>
      <c r="M2574" s="30" t="str">
        <f aca="false">IF(F2574="","",L2574-J2574)</f>
        <v/>
      </c>
      <c r="N2574" s="32" t="str">
        <f aca="false">IF(F2574="","",IF(H2574&lt;&gt;"","Kapandı",IF('Vade Sapması'!$D$3&gt;G2574,"Açık · vadesi geçti","Açık · vadesi gelmedi")))</f>
        <v/>
      </c>
      <c r="O2574" s="30" t="str">
        <f aca="false">IF(F2574="","",IF(AND(H2574="",'Vade Sapması'!$D$3&gt;G2574),'Vade Sapması'!$D$3-G2574,0))</f>
        <v/>
      </c>
      <c r="P2574" s="33" t="str">
        <f aca="false">IF(F2574="","",F2574*J2574)</f>
        <v/>
      </c>
      <c r="Q2574" s="33" t="str">
        <f aca="false">IF(F2574="","",F2574*L2574)</f>
        <v/>
      </c>
      <c r="R2574" s="33" t="str">
        <f aca="false">IF(F2574="","",IF(H2574="",F2574,0))</f>
        <v/>
      </c>
      <c r="S2574" s="32" t="str">
        <f aca="false">IF(F2574="","",IF(N(O2574)=0,"",IF(O2574&lt;=30,"1-30",IF(O2574&lt;=60,"31-60",IF(O2574&lt;=90,"61-90","90+")))))</f>
        <v/>
      </c>
      <c r="T2574" s="32" t="str">
        <f aca="false">IF(F2574="","",IF(E2574="","Diğer",E2574))</f>
        <v/>
      </c>
      <c r="U2574" s="32" t="str">
        <f aca="false">IF(OR(F2574="",C2574=""),"",IF(COUNTIF($C$2:C2574,C2574)=1,MAX($U$1:U2573)+1,""))</f>
        <v/>
      </c>
    </row>
    <row r="2575" customFormat="false" ht="15" hidden="false" customHeight="false" outlineLevel="0" collapsed="false">
      <c r="A2575" s="34"/>
      <c r="B2575" s="9"/>
      <c r="C2575" s="34"/>
      <c r="D2575" s="34"/>
      <c r="E2575" s="34"/>
      <c r="F2575" s="35"/>
      <c r="G2575" s="9"/>
      <c r="H2575" s="9"/>
      <c r="I2575" s="34"/>
      <c r="J2575" s="30" t="str">
        <f aca="false">IF(F2575="","",G2575-B2575)</f>
        <v/>
      </c>
      <c r="K2575" s="31" t="str">
        <f aca="false">IF(F2575="","",IF(H2575&lt;&gt;"",H2575,MAX('Vade Sapması'!$D$3,G2575)))</f>
        <v/>
      </c>
      <c r="L2575" s="30" t="str">
        <f aca="false">IF(F2575="","",K2575-B2575)</f>
        <v/>
      </c>
      <c r="M2575" s="30" t="str">
        <f aca="false">IF(F2575="","",L2575-J2575)</f>
        <v/>
      </c>
      <c r="N2575" s="32" t="str">
        <f aca="false">IF(F2575="","",IF(H2575&lt;&gt;"","Kapandı",IF('Vade Sapması'!$D$3&gt;G2575,"Açık · vadesi geçti","Açık · vadesi gelmedi")))</f>
        <v/>
      </c>
      <c r="O2575" s="30" t="str">
        <f aca="false">IF(F2575="","",IF(AND(H2575="",'Vade Sapması'!$D$3&gt;G2575),'Vade Sapması'!$D$3-G2575,0))</f>
        <v/>
      </c>
      <c r="P2575" s="33" t="str">
        <f aca="false">IF(F2575="","",F2575*J2575)</f>
        <v/>
      </c>
      <c r="Q2575" s="33" t="str">
        <f aca="false">IF(F2575="","",F2575*L2575)</f>
        <v/>
      </c>
      <c r="R2575" s="33" t="str">
        <f aca="false">IF(F2575="","",IF(H2575="",F2575,0))</f>
        <v/>
      </c>
      <c r="S2575" s="32" t="str">
        <f aca="false">IF(F2575="","",IF(N(O2575)=0,"",IF(O2575&lt;=30,"1-30",IF(O2575&lt;=60,"31-60",IF(O2575&lt;=90,"61-90","90+")))))</f>
        <v/>
      </c>
      <c r="T2575" s="32" t="str">
        <f aca="false">IF(F2575="","",IF(E2575="","Diğer",E2575))</f>
        <v/>
      </c>
      <c r="U2575" s="32" t="str">
        <f aca="false">IF(OR(F2575="",C2575=""),"",IF(COUNTIF($C$2:C2575,C2575)=1,MAX($U$1:U2574)+1,""))</f>
        <v/>
      </c>
    </row>
    <row r="2576" customFormat="false" ht="15" hidden="false" customHeight="false" outlineLevel="0" collapsed="false">
      <c r="A2576" s="34"/>
      <c r="B2576" s="9"/>
      <c r="C2576" s="34"/>
      <c r="D2576" s="34"/>
      <c r="E2576" s="34"/>
      <c r="F2576" s="35"/>
      <c r="G2576" s="9"/>
      <c r="H2576" s="9"/>
      <c r="I2576" s="34"/>
      <c r="J2576" s="30" t="str">
        <f aca="false">IF(F2576="","",G2576-B2576)</f>
        <v/>
      </c>
      <c r="K2576" s="31" t="str">
        <f aca="false">IF(F2576="","",IF(H2576&lt;&gt;"",H2576,MAX('Vade Sapması'!$D$3,G2576)))</f>
        <v/>
      </c>
      <c r="L2576" s="30" t="str">
        <f aca="false">IF(F2576="","",K2576-B2576)</f>
        <v/>
      </c>
      <c r="M2576" s="30" t="str">
        <f aca="false">IF(F2576="","",L2576-J2576)</f>
        <v/>
      </c>
      <c r="N2576" s="32" t="str">
        <f aca="false">IF(F2576="","",IF(H2576&lt;&gt;"","Kapandı",IF('Vade Sapması'!$D$3&gt;G2576,"Açık · vadesi geçti","Açık · vadesi gelmedi")))</f>
        <v/>
      </c>
      <c r="O2576" s="30" t="str">
        <f aca="false">IF(F2576="","",IF(AND(H2576="",'Vade Sapması'!$D$3&gt;G2576),'Vade Sapması'!$D$3-G2576,0))</f>
        <v/>
      </c>
      <c r="P2576" s="33" t="str">
        <f aca="false">IF(F2576="","",F2576*J2576)</f>
        <v/>
      </c>
      <c r="Q2576" s="33" t="str">
        <f aca="false">IF(F2576="","",F2576*L2576)</f>
        <v/>
      </c>
      <c r="R2576" s="33" t="str">
        <f aca="false">IF(F2576="","",IF(H2576="",F2576,0))</f>
        <v/>
      </c>
      <c r="S2576" s="32" t="str">
        <f aca="false">IF(F2576="","",IF(N(O2576)=0,"",IF(O2576&lt;=30,"1-30",IF(O2576&lt;=60,"31-60",IF(O2576&lt;=90,"61-90","90+")))))</f>
        <v/>
      </c>
      <c r="T2576" s="32" t="str">
        <f aca="false">IF(F2576="","",IF(E2576="","Diğer",E2576))</f>
        <v/>
      </c>
      <c r="U2576" s="32" t="str">
        <f aca="false">IF(OR(F2576="",C2576=""),"",IF(COUNTIF($C$2:C2576,C2576)=1,MAX($U$1:U2575)+1,""))</f>
        <v/>
      </c>
    </row>
    <row r="2577" customFormat="false" ht="15" hidden="false" customHeight="false" outlineLevel="0" collapsed="false">
      <c r="A2577" s="34"/>
      <c r="B2577" s="9"/>
      <c r="C2577" s="34"/>
      <c r="D2577" s="34"/>
      <c r="E2577" s="34"/>
      <c r="F2577" s="35"/>
      <c r="G2577" s="9"/>
      <c r="H2577" s="9"/>
      <c r="I2577" s="34"/>
      <c r="J2577" s="30" t="str">
        <f aca="false">IF(F2577="","",G2577-B2577)</f>
        <v/>
      </c>
      <c r="K2577" s="31" t="str">
        <f aca="false">IF(F2577="","",IF(H2577&lt;&gt;"",H2577,MAX('Vade Sapması'!$D$3,G2577)))</f>
        <v/>
      </c>
      <c r="L2577" s="30" t="str">
        <f aca="false">IF(F2577="","",K2577-B2577)</f>
        <v/>
      </c>
      <c r="M2577" s="30" t="str">
        <f aca="false">IF(F2577="","",L2577-J2577)</f>
        <v/>
      </c>
      <c r="N2577" s="32" t="str">
        <f aca="false">IF(F2577="","",IF(H2577&lt;&gt;"","Kapandı",IF('Vade Sapması'!$D$3&gt;G2577,"Açık · vadesi geçti","Açık · vadesi gelmedi")))</f>
        <v/>
      </c>
      <c r="O2577" s="30" t="str">
        <f aca="false">IF(F2577="","",IF(AND(H2577="",'Vade Sapması'!$D$3&gt;G2577),'Vade Sapması'!$D$3-G2577,0))</f>
        <v/>
      </c>
      <c r="P2577" s="33" t="str">
        <f aca="false">IF(F2577="","",F2577*J2577)</f>
        <v/>
      </c>
      <c r="Q2577" s="33" t="str">
        <f aca="false">IF(F2577="","",F2577*L2577)</f>
        <v/>
      </c>
      <c r="R2577" s="33" t="str">
        <f aca="false">IF(F2577="","",IF(H2577="",F2577,0))</f>
        <v/>
      </c>
      <c r="S2577" s="32" t="str">
        <f aca="false">IF(F2577="","",IF(N(O2577)=0,"",IF(O2577&lt;=30,"1-30",IF(O2577&lt;=60,"31-60",IF(O2577&lt;=90,"61-90","90+")))))</f>
        <v/>
      </c>
      <c r="T2577" s="32" t="str">
        <f aca="false">IF(F2577="","",IF(E2577="","Diğer",E2577))</f>
        <v/>
      </c>
      <c r="U2577" s="32" t="str">
        <f aca="false">IF(OR(F2577="",C2577=""),"",IF(COUNTIF($C$2:C2577,C2577)=1,MAX($U$1:U2576)+1,""))</f>
        <v/>
      </c>
    </row>
    <row r="2578" customFormat="false" ht="15" hidden="false" customHeight="false" outlineLevel="0" collapsed="false">
      <c r="A2578" s="34"/>
      <c r="B2578" s="9"/>
      <c r="C2578" s="34"/>
      <c r="D2578" s="34"/>
      <c r="E2578" s="34"/>
      <c r="F2578" s="35"/>
      <c r="G2578" s="9"/>
      <c r="H2578" s="9"/>
      <c r="I2578" s="34"/>
      <c r="J2578" s="30" t="str">
        <f aca="false">IF(F2578="","",G2578-B2578)</f>
        <v/>
      </c>
      <c r="K2578" s="31" t="str">
        <f aca="false">IF(F2578="","",IF(H2578&lt;&gt;"",H2578,MAX('Vade Sapması'!$D$3,G2578)))</f>
        <v/>
      </c>
      <c r="L2578" s="30" t="str">
        <f aca="false">IF(F2578="","",K2578-B2578)</f>
        <v/>
      </c>
      <c r="M2578" s="30" t="str">
        <f aca="false">IF(F2578="","",L2578-J2578)</f>
        <v/>
      </c>
      <c r="N2578" s="32" t="str">
        <f aca="false">IF(F2578="","",IF(H2578&lt;&gt;"","Kapandı",IF('Vade Sapması'!$D$3&gt;G2578,"Açık · vadesi geçti","Açık · vadesi gelmedi")))</f>
        <v/>
      </c>
      <c r="O2578" s="30" t="str">
        <f aca="false">IF(F2578="","",IF(AND(H2578="",'Vade Sapması'!$D$3&gt;G2578),'Vade Sapması'!$D$3-G2578,0))</f>
        <v/>
      </c>
      <c r="P2578" s="33" t="str">
        <f aca="false">IF(F2578="","",F2578*J2578)</f>
        <v/>
      </c>
      <c r="Q2578" s="33" t="str">
        <f aca="false">IF(F2578="","",F2578*L2578)</f>
        <v/>
      </c>
      <c r="R2578" s="33" t="str">
        <f aca="false">IF(F2578="","",IF(H2578="",F2578,0))</f>
        <v/>
      </c>
      <c r="S2578" s="32" t="str">
        <f aca="false">IF(F2578="","",IF(N(O2578)=0,"",IF(O2578&lt;=30,"1-30",IF(O2578&lt;=60,"31-60",IF(O2578&lt;=90,"61-90","90+")))))</f>
        <v/>
      </c>
      <c r="T2578" s="32" t="str">
        <f aca="false">IF(F2578="","",IF(E2578="","Diğer",E2578))</f>
        <v/>
      </c>
      <c r="U2578" s="32" t="str">
        <f aca="false">IF(OR(F2578="",C2578=""),"",IF(COUNTIF($C$2:C2578,C2578)=1,MAX($U$1:U2577)+1,""))</f>
        <v/>
      </c>
    </row>
    <row r="2579" customFormat="false" ht="15" hidden="false" customHeight="false" outlineLevel="0" collapsed="false">
      <c r="A2579" s="34"/>
      <c r="B2579" s="9"/>
      <c r="C2579" s="34"/>
      <c r="D2579" s="34"/>
      <c r="E2579" s="34"/>
      <c r="F2579" s="35"/>
      <c r="G2579" s="9"/>
      <c r="H2579" s="9"/>
      <c r="I2579" s="34"/>
      <c r="J2579" s="30" t="str">
        <f aca="false">IF(F2579="","",G2579-B2579)</f>
        <v/>
      </c>
      <c r="K2579" s="31" t="str">
        <f aca="false">IF(F2579="","",IF(H2579&lt;&gt;"",H2579,MAX('Vade Sapması'!$D$3,G2579)))</f>
        <v/>
      </c>
      <c r="L2579" s="30" t="str">
        <f aca="false">IF(F2579="","",K2579-B2579)</f>
        <v/>
      </c>
      <c r="M2579" s="30" t="str">
        <f aca="false">IF(F2579="","",L2579-J2579)</f>
        <v/>
      </c>
      <c r="N2579" s="32" t="str">
        <f aca="false">IF(F2579="","",IF(H2579&lt;&gt;"","Kapandı",IF('Vade Sapması'!$D$3&gt;G2579,"Açık · vadesi geçti","Açık · vadesi gelmedi")))</f>
        <v/>
      </c>
      <c r="O2579" s="30" t="str">
        <f aca="false">IF(F2579="","",IF(AND(H2579="",'Vade Sapması'!$D$3&gt;G2579),'Vade Sapması'!$D$3-G2579,0))</f>
        <v/>
      </c>
      <c r="P2579" s="33" t="str">
        <f aca="false">IF(F2579="","",F2579*J2579)</f>
        <v/>
      </c>
      <c r="Q2579" s="33" t="str">
        <f aca="false">IF(F2579="","",F2579*L2579)</f>
        <v/>
      </c>
      <c r="R2579" s="33" t="str">
        <f aca="false">IF(F2579="","",IF(H2579="",F2579,0))</f>
        <v/>
      </c>
      <c r="S2579" s="32" t="str">
        <f aca="false">IF(F2579="","",IF(N(O2579)=0,"",IF(O2579&lt;=30,"1-30",IF(O2579&lt;=60,"31-60",IF(O2579&lt;=90,"61-90","90+")))))</f>
        <v/>
      </c>
      <c r="T2579" s="32" t="str">
        <f aca="false">IF(F2579="","",IF(E2579="","Diğer",E2579))</f>
        <v/>
      </c>
      <c r="U2579" s="32" t="str">
        <f aca="false">IF(OR(F2579="",C2579=""),"",IF(COUNTIF($C$2:C2579,C2579)=1,MAX($U$1:U2578)+1,""))</f>
        <v/>
      </c>
    </row>
    <row r="2580" customFormat="false" ht="15" hidden="false" customHeight="false" outlineLevel="0" collapsed="false">
      <c r="A2580" s="34"/>
      <c r="B2580" s="9"/>
      <c r="C2580" s="34"/>
      <c r="D2580" s="34"/>
      <c r="E2580" s="34"/>
      <c r="F2580" s="35"/>
      <c r="G2580" s="9"/>
      <c r="H2580" s="9"/>
      <c r="I2580" s="34"/>
      <c r="J2580" s="30" t="str">
        <f aca="false">IF(F2580="","",G2580-B2580)</f>
        <v/>
      </c>
      <c r="K2580" s="31" t="str">
        <f aca="false">IF(F2580="","",IF(H2580&lt;&gt;"",H2580,MAX('Vade Sapması'!$D$3,G2580)))</f>
        <v/>
      </c>
      <c r="L2580" s="30" t="str">
        <f aca="false">IF(F2580="","",K2580-B2580)</f>
        <v/>
      </c>
      <c r="M2580" s="30" t="str">
        <f aca="false">IF(F2580="","",L2580-J2580)</f>
        <v/>
      </c>
      <c r="N2580" s="32" t="str">
        <f aca="false">IF(F2580="","",IF(H2580&lt;&gt;"","Kapandı",IF('Vade Sapması'!$D$3&gt;G2580,"Açık · vadesi geçti","Açık · vadesi gelmedi")))</f>
        <v/>
      </c>
      <c r="O2580" s="30" t="str">
        <f aca="false">IF(F2580="","",IF(AND(H2580="",'Vade Sapması'!$D$3&gt;G2580),'Vade Sapması'!$D$3-G2580,0))</f>
        <v/>
      </c>
      <c r="P2580" s="33" t="str">
        <f aca="false">IF(F2580="","",F2580*J2580)</f>
        <v/>
      </c>
      <c r="Q2580" s="33" t="str">
        <f aca="false">IF(F2580="","",F2580*L2580)</f>
        <v/>
      </c>
      <c r="R2580" s="33" t="str">
        <f aca="false">IF(F2580="","",IF(H2580="",F2580,0))</f>
        <v/>
      </c>
      <c r="S2580" s="32" t="str">
        <f aca="false">IF(F2580="","",IF(N(O2580)=0,"",IF(O2580&lt;=30,"1-30",IF(O2580&lt;=60,"31-60",IF(O2580&lt;=90,"61-90","90+")))))</f>
        <v/>
      </c>
      <c r="T2580" s="32" t="str">
        <f aca="false">IF(F2580="","",IF(E2580="","Diğer",E2580))</f>
        <v/>
      </c>
      <c r="U2580" s="32" t="str">
        <f aca="false">IF(OR(F2580="",C2580=""),"",IF(COUNTIF($C$2:C2580,C2580)=1,MAX($U$1:U2579)+1,""))</f>
        <v/>
      </c>
    </row>
    <row r="2581" customFormat="false" ht="15" hidden="false" customHeight="false" outlineLevel="0" collapsed="false">
      <c r="A2581" s="34"/>
      <c r="B2581" s="9"/>
      <c r="C2581" s="34"/>
      <c r="D2581" s="34"/>
      <c r="E2581" s="34"/>
      <c r="F2581" s="35"/>
      <c r="G2581" s="9"/>
      <c r="H2581" s="9"/>
      <c r="I2581" s="34"/>
      <c r="J2581" s="30" t="str">
        <f aca="false">IF(F2581="","",G2581-B2581)</f>
        <v/>
      </c>
      <c r="K2581" s="31" t="str">
        <f aca="false">IF(F2581="","",IF(H2581&lt;&gt;"",H2581,MAX('Vade Sapması'!$D$3,G2581)))</f>
        <v/>
      </c>
      <c r="L2581" s="30" t="str">
        <f aca="false">IF(F2581="","",K2581-B2581)</f>
        <v/>
      </c>
      <c r="M2581" s="30" t="str">
        <f aca="false">IF(F2581="","",L2581-J2581)</f>
        <v/>
      </c>
      <c r="N2581" s="32" t="str">
        <f aca="false">IF(F2581="","",IF(H2581&lt;&gt;"","Kapandı",IF('Vade Sapması'!$D$3&gt;G2581,"Açık · vadesi geçti","Açık · vadesi gelmedi")))</f>
        <v/>
      </c>
      <c r="O2581" s="30" t="str">
        <f aca="false">IF(F2581="","",IF(AND(H2581="",'Vade Sapması'!$D$3&gt;G2581),'Vade Sapması'!$D$3-G2581,0))</f>
        <v/>
      </c>
      <c r="P2581" s="33" t="str">
        <f aca="false">IF(F2581="","",F2581*J2581)</f>
        <v/>
      </c>
      <c r="Q2581" s="33" t="str">
        <f aca="false">IF(F2581="","",F2581*L2581)</f>
        <v/>
      </c>
      <c r="R2581" s="33" t="str">
        <f aca="false">IF(F2581="","",IF(H2581="",F2581,0))</f>
        <v/>
      </c>
      <c r="S2581" s="32" t="str">
        <f aca="false">IF(F2581="","",IF(N(O2581)=0,"",IF(O2581&lt;=30,"1-30",IF(O2581&lt;=60,"31-60",IF(O2581&lt;=90,"61-90","90+")))))</f>
        <v/>
      </c>
      <c r="T2581" s="32" t="str">
        <f aca="false">IF(F2581="","",IF(E2581="","Diğer",E2581))</f>
        <v/>
      </c>
      <c r="U2581" s="32" t="str">
        <f aca="false">IF(OR(F2581="",C2581=""),"",IF(COUNTIF($C$2:C2581,C2581)=1,MAX($U$1:U2580)+1,""))</f>
        <v/>
      </c>
    </row>
    <row r="2582" customFormat="false" ht="15" hidden="false" customHeight="false" outlineLevel="0" collapsed="false">
      <c r="A2582" s="34"/>
      <c r="B2582" s="9"/>
      <c r="C2582" s="34"/>
      <c r="D2582" s="34"/>
      <c r="E2582" s="34"/>
      <c r="F2582" s="35"/>
      <c r="G2582" s="9"/>
      <c r="H2582" s="9"/>
      <c r="I2582" s="34"/>
      <c r="J2582" s="30" t="str">
        <f aca="false">IF(F2582="","",G2582-B2582)</f>
        <v/>
      </c>
      <c r="K2582" s="31" t="str">
        <f aca="false">IF(F2582="","",IF(H2582&lt;&gt;"",H2582,MAX('Vade Sapması'!$D$3,G2582)))</f>
        <v/>
      </c>
      <c r="L2582" s="30" t="str">
        <f aca="false">IF(F2582="","",K2582-B2582)</f>
        <v/>
      </c>
      <c r="M2582" s="30" t="str">
        <f aca="false">IF(F2582="","",L2582-J2582)</f>
        <v/>
      </c>
      <c r="N2582" s="32" t="str">
        <f aca="false">IF(F2582="","",IF(H2582&lt;&gt;"","Kapandı",IF('Vade Sapması'!$D$3&gt;G2582,"Açık · vadesi geçti","Açık · vadesi gelmedi")))</f>
        <v/>
      </c>
      <c r="O2582" s="30" t="str">
        <f aca="false">IF(F2582="","",IF(AND(H2582="",'Vade Sapması'!$D$3&gt;G2582),'Vade Sapması'!$D$3-G2582,0))</f>
        <v/>
      </c>
      <c r="P2582" s="33" t="str">
        <f aca="false">IF(F2582="","",F2582*J2582)</f>
        <v/>
      </c>
      <c r="Q2582" s="33" t="str">
        <f aca="false">IF(F2582="","",F2582*L2582)</f>
        <v/>
      </c>
      <c r="R2582" s="33" t="str">
        <f aca="false">IF(F2582="","",IF(H2582="",F2582,0))</f>
        <v/>
      </c>
      <c r="S2582" s="32" t="str">
        <f aca="false">IF(F2582="","",IF(N(O2582)=0,"",IF(O2582&lt;=30,"1-30",IF(O2582&lt;=60,"31-60",IF(O2582&lt;=90,"61-90","90+")))))</f>
        <v/>
      </c>
      <c r="T2582" s="32" t="str">
        <f aca="false">IF(F2582="","",IF(E2582="","Diğer",E2582))</f>
        <v/>
      </c>
      <c r="U2582" s="32" t="str">
        <f aca="false">IF(OR(F2582="",C2582=""),"",IF(COUNTIF($C$2:C2582,C2582)=1,MAX($U$1:U2581)+1,""))</f>
        <v/>
      </c>
    </row>
    <row r="2583" customFormat="false" ht="15" hidden="false" customHeight="false" outlineLevel="0" collapsed="false">
      <c r="A2583" s="34"/>
      <c r="B2583" s="9"/>
      <c r="C2583" s="34"/>
      <c r="D2583" s="34"/>
      <c r="E2583" s="34"/>
      <c r="F2583" s="35"/>
      <c r="G2583" s="9"/>
      <c r="H2583" s="9"/>
      <c r="I2583" s="34"/>
      <c r="J2583" s="30" t="str">
        <f aca="false">IF(F2583="","",G2583-B2583)</f>
        <v/>
      </c>
      <c r="K2583" s="31" t="str">
        <f aca="false">IF(F2583="","",IF(H2583&lt;&gt;"",H2583,MAX('Vade Sapması'!$D$3,G2583)))</f>
        <v/>
      </c>
      <c r="L2583" s="30" t="str">
        <f aca="false">IF(F2583="","",K2583-B2583)</f>
        <v/>
      </c>
      <c r="M2583" s="30" t="str">
        <f aca="false">IF(F2583="","",L2583-J2583)</f>
        <v/>
      </c>
      <c r="N2583" s="32" t="str">
        <f aca="false">IF(F2583="","",IF(H2583&lt;&gt;"","Kapandı",IF('Vade Sapması'!$D$3&gt;G2583,"Açık · vadesi geçti","Açık · vadesi gelmedi")))</f>
        <v/>
      </c>
      <c r="O2583" s="30" t="str">
        <f aca="false">IF(F2583="","",IF(AND(H2583="",'Vade Sapması'!$D$3&gt;G2583),'Vade Sapması'!$D$3-G2583,0))</f>
        <v/>
      </c>
      <c r="P2583" s="33" t="str">
        <f aca="false">IF(F2583="","",F2583*J2583)</f>
        <v/>
      </c>
      <c r="Q2583" s="33" t="str">
        <f aca="false">IF(F2583="","",F2583*L2583)</f>
        <v/>
      </c>
      <c r="R2583" s="33" t="str">
        <f aca="false">IF(F2583="","",IF(H2583="",F2583,0))</f>
        <v/>
      </c>
      <c r="S2583" s="32" t="str">
        <f aca="false">IF(F2583="","",IF(N(O2583)=0,"",IF(O2583&lt;=30,"1-30",IF(O2583&lt;=60,"31-60",IF(O2583&lt;=90,"61-90","90+")))))</f>
        <v/>
      </c>
      <c r="T2583" s="32" t="str">
        <f aca="false">IF(F2583="","",IF(E2583="","Diğer",E2583))</f>
        <v/>
      </c>
      <c r="U2583" s="32" t="str">
        <f aca="false">IF(OR(F2583="",C2583=""),"",IF(COUNTIF($C$2:C2583,C2583)=1,MAX($U$1:U2582)+1,""))</f>
        <v/>
      </c>
    </row>
    <row r="2584" customFormat="false" ht="15" hidden="false" customHeight="false" outlineLevel="0" collapsed="false">
      <c r="A2584" s="34"/>
      <c r="B2584" s="9"/>
      <c r="C2584" s="34"/>
      <c r="D2584" s="34"/>
      <c r="E2584" s="34"/>
      <c r="F2584" s="35"/>
      <c r="G2584" s="9"/>
      <c r="H2584" s="9"/>
      <c r="I2584" s="34"/>
      <c r="J2584" s="30" t="str">
        <f aca="false">IF(F2584="","",G2584-B2584)</f>
        <v/>
      </c>
      <c r="K2584" s="31" t="str">
        <f aca="false">IF(F2584="","",IF(H2584&lt;&gt;"",H2584,MAX('Vade Sapması'!$D$3,G2584)))</f>
        <v/>
      </c>
      <c r="L2584" s="30" t="str">
        <f aca="false">IF(F2584="","",K2584-B2584)</f>
        <v/>
      </c>
      <c r="M2584" s="30" t="str">
        <f aca="false">IF(F2584="","",L2584-J2584)</f>
        <v/>
      </c>
      <c r="N2584" s="32" t="str">
        <f aca="false">IF(F2584="","",IF(H2584&lt;&gt;"","Kapandı",IF('Vade Sapması'!$D$3&gt;G2584,"Açık · vadesi geçti","Açık · vadesi gelmedi")))</f>
        <v/>
      </c>
      <c r="O2584" s="30" t="str">
        <f aca="false">IF(F2584="","",IF(AND(H2584="",'Vade Sapması'!$D$3&gt;G2584),'Vade Sapması'!$D$3-G2584,0))</f>
        <v/>
      </c>
      <c r="P2584" s="33" t="str">
        <f aca="false">IF(F2584="","",F2584*J2584)</f>
        <v/>
      </c>
      <c r="Q2584" s="33" t="str">
        <f aca="false">IF(F2584="","",F2584*L2584)</f>
        <v/>
      </c>
      <c r="R2584" s="33" t="str">
        <f aca="false">IF(F2584="","",IF(H2584="",F2584,0))</f>
        <v/>
      </c>
      <c r="S2584" s="32" t="str">
        <f aca="false">IF(F2584="","",IF(N(O2584)=0,"",IF(O2584&lt;=30,"1-30",IF(O2584&lt;=60,"31-60",IF(O2584&lt;=90,"61-90","90+")))))</f>
        <v/>
      </c>
      <c r="T2584" s="32" t="str">
        <f aca="false">IF(F2584="","",IF(E2584="","Diğer",E2584))</f>
        <v/>
      </c>
      <c r="U2584" s="32" t="str">
        <f aca="false">IF(OR(F2584="",C2584=""),"",IF(COUNTIF($C$2:C2584,C2584)=1,MAX($U$1:U2583)+1,""))</f>
        <v/>
      </c>
    </row>
    <row r="2585" customFormat="false" ht="15" hidden="false" customHeight="false" outlineLevel="0" collapsed="false">
      <c r="A2585" s="34"/>
      <c r="B2585" s="9"/>
      <c r="C2585" s="34"/>
      <c r="D2585" s="34"/>
      <c r="E2585" s="34"/>
      <c r="F2585" s="35"/>
      <c r="G2585" s="9"/>
      <c r="H2585" s="9"/>
      <c r="I2585" s="34"/>
      <c r="J2585" s="30" t="str">
        <f aca="false">IF(F2585="","",G2585-B2585)</f>
        <v/>
      </c>
      <c r="K2585" s="31" t="str">
        <f aca="false">IF(F2585="","",IF(H2585&lt;&gt;"",H2585,MAX('Vade Sapması'!$D$3,G2585)))</f>
        <v/>
      </c>
      <c r="L2585" s="30" t="str">
        <f aca="false">IF(F2585="","",K2585-B2585)</f>
        <v/>
      </c>
      <c r="M2585" s="30" t="str">
        <f aca="false">IF(F2585="","",L2585-J2585)</f>
        <v/>
      </c>
      <c r="N2585" s="32" t="str">
        <f aca="false">IF(F2585="","",IF(H2585&lt;&gt;"","Kapandı",IF('Vade Sapması'!$D$3&gt;G2585,"Açık · vadesi geçti","Açık · vadesi gelmedi")))</f>
        <v/>
      </c>
      <c r="O2585" s="30" t="str">
        <f aca="false">IF(F2585="","",IF(AND(H2585="",'Vade Sapması'!$D$3&gt;G2585),'Vade Sapması'!$D$3-G2585,0))</f>
        <v/>
      </c>
      <c r="P2585" s="33" t="str">
        <f aca="false">IF(F2585="","",F2585*J2585)</f>
        <v/>
      </c>
      <c r="Q2585" s="33" t="str">
        <f aca="false">IF(F2585="","",F2585*L2585)</f>
        <v/>
      </c>
      <c r="R2585" s="33" t="str">
        <f aca="false">IF(F2585="","",IF(H2585="",F2585,0))</f>
        <v/>
      </c>
      <c r="S2585" s="32" t="str">
        <f aca="false">IF(F2585="","",IF(N(O2585)=0,"",IF(O2585&lt;=30,"1-30",IF(O2585&lt;=60,"31-60",IF(O2585&lt;=90,"61-90","90+")))))</f>
        <v/>
      </c>
      <c r="T2585" s="32" t="str">
        <f aca="false">IF(F2585="","",IF(E2585="","Diğer",E2585))</f>
        <v/>
      </c>
      <c r="U2585" s="32" t="str">
        <f aca="false">IF(OR(F2585="",C2585=""),"",IF(COUNTIF($C$2:C2585,C2585)=1,MAX($U$1:U2584)+1,""))</f>
        <v/>
      </c>
    </row>
    <row r="2586" customFormat="false" ht="15" hidden="false" customHeight="false" outlineLevel="0" collapsed="false">
      <c r="A2586" s="34"/>
      <c r="B2586" s="9"/>
      <c r="C2586" s="34"/>
      <c r="D2586" s="34"/>
      <c r="E2586" s="34"/>
      <c r="F2586" s="35"/>
      <c r="G2586" s="9"/>
      <c r="H2586" s="9"/>
      <c r="I2586" s="34"/>
      <c r="J2586" s="30" t="str">
        <f aca="false">IF(F2586="","",G2586-B2586)</f>
        <v/>
      </c>
      <c r="K2586" s="31" t="str">
        <f aca="false">IF(F2586="","",IF(H2586&lt;&gt;"",H2586,MAX('Vade Sapması'!$D$3,G2586)))</f>
        <v/>
      </c>
      <c r="L2586" s="30" t="str">
        <f aca="false">IF(F2586="","",K2586-B2586)</f>
        <v/>
      </c>
      <c r="M2586" s="30" t="str">
        <f aca="false">IF(F2586="","",L2586-J2586)</f>
        <v/>
      </c>
      <c r="N2586" s="32" t="str">
        <f aca="false">IF(F2586="","",IF(H2586&lt;&gt;"","Kapandı",IF('Vade Sapması'!$D$3&gt;G2586,"Açık · vadesi geçti","Açık · vadesi gelmedi")))</f>
        <v/>
      </c>
      <c r="O2586" s="30" t="str">
        <f aca="false">IF(F2586="","",IF(AND(H2586="",'Vade Sapması'!$D$3&gt;G2586),'Vade Sapması'!$D$3-G2586,0))</f>
        <v/>
      </c>
      <c r="P2586" s="33" t="str">
        <f aca="false">IF(F2586="","",F2586*J2586)</f>
        <v/>
      </c>
      <c r="Q2586" s="33" t="str">
        <f aca="false">IF(F2586="","",F2586*L2586)</f>
        <v/>
      </c>
      <c r="R2586" s="33" t="str">
        <f aca="false">IF(F2586="","",IF(H2586="",F2586,0))</f>
        <v/>
      </c>
      <c r="S2586" s="32" t="str">
        <f aca="false">IF(F2586="","",IF(N(O2586)=0,"",IF(O2586&lt;=30,"1-30",IF(O2586&lt;=60,"31-60",IF(O2586&lt;=90,"61-90","90+")))))</f>
        <v/>
      </c>
      <c r="T2586" s="32" t="str">
        <f aca="false">IF(F2586="","",IF(E2586="","Diğer",E2586))</f>
        <v/>
      </c>
      <c r="U2586" s="32" t="str">
        <f aca="false">IF(OR(F2586="",C2586=""),"",IF(COUNTIF($C$2:C2586,C2586)=1,MAX($U$1:U2585)+1,""))</f>
        <v/>
      </c>
    </row>
    <row r="2587" customFormat="false" ht="15" hidden="false" customHeight="false" outlineLevel="0" collapsed="false">
      <c r="A2587" s="34"/>
      <c r="B2587" s="9"/>
      <c r="C2587" s="34"/>
      <c r="D2587" s="34"/>
      <c r="E2587" s="34"/>
      <c r="F2587" s="35"/>
      <c r="G2587" s="9"/>
      <c r="H2587" s="9"/>
      <c r="I2587" s="34"/>
      <c r="J2587" s="30" t="str">
        <f aca="false">IF(F2587="","",G2587-B2587)</f>
        <v/>
      </c>
      <c r="K2587" s="31" t="str">
        <f aca="false">IF(F2587="","",IF(H2587&lt;&gt;"",H2587,MAX('Vade Sapması'!$D$3,G2587)))</f>
        <v/>
      </c>
      <c r="L2587" s="30" t="str">
        <f aca="false">IF(F2587="","",K2587-B2587)</f>
        <v/>
      </c>
      <c r="M2587" s="30" t="str">
        <f aca="false">IF(F2587="","",L2587-J2587)</f>
        <v/>
      </c>
      <c r="N2587" s="32" t="str">
        <f aca="false">IF(F2587="","",IF(H2587&lt;&gt;"","Kapandı",IF('Vade Sapması'!$D$3&gt;G2587,"Açık · vadesi geçti","Açık · vadesi gelmedi")))</f>
        <v/>
      </c>
      <c r="O2587" s="30" t="str">
        <f aca="false">IF(F2587="","",IF(AND(H2587="",'Vade Sapması'!$D$3&gt;G2587),'Vade Sapması'!$D$3-G2587,0))</f>
        <v/>
      </c>
      <c r="P2587" s="33" t="str">
        <f aca="false">IF(F2587="","",F2587*J2587)</f>
        <v/>
      </c>
      <c r="Q2587" s="33" t="str">
        <f aca="false">IF(F2587="","",F2587*L2587)</f>
        <v/>
      </c>
      <c r="R2587" s="33" t="str">
        <f aca="false">IF(F2587="","",IF(H2587="",F2587,0))</f>
        <v/>
      </c>
      <c r="S2587" s="32" t="str">
        <f aca="false">IF(F2587="","",IF(N(O2587)=0,"",IF(O2587&lt;=30,"1-30",IF(O2587&lt;=60,"31-60",IF(O2587&lt;=90,"61-90","90+")))))</f>
        <v/>
      </c>
      <c r="T2587" s="32" t="str">
        <f aca="false">IF(F2587="","",IF(E2587="","Diğer",E2587))</f>
        <v/>
      </c>
      <c r="U2587" s="32" t="str">
        <f aca="false">IF(OR(F2587="",C2587=""),"",IF(COUNTIF($C$2:C2587,C2587)=1,MAX($U$1:U2586)+1,""))</f>
        <v/>
      </c>
    </row>
    <row r="2588" customFormat="false" ht="15" hidden="false" customHeight="false" outlineLevel="0" collapsed="false">
      <c r="A2588" s="34"/>
      <c r="B2588" s="9"/>
      <c r="C2588" s="34"/>
      <c r="D2588" s="34"/>
      <c r="E2588" s="34"/>
      <c r="F2588" s="35"/>
      <c r="G2588" s="9"/>
      <c r="H2588" s="9"/>
      <c r="I2588" s="34"/>
      <c r="J2588" s="30" t="str">
        <f aca="false">IF(F2588="","",G2588-B2588)</f>
        <v/>
      </c>
      <c r="K2588" s="31" t="str">
        <f aca="false">IF(F2588="","",IF(H2588&lt;&gt;"",H2588,MAX('Vade Sapması'!$D$3,G2588)))</f>
        <v/>
      </c>
      <c r="L2588" s="30" t="str">
        <f aca="false">IF(F2588="","",K2588-B2588)</f>
        <v/>
      </c>
      <c r="M2588" s="30" t="str">
        <f aca="false">IF(F2588="","",L2588-J2588)</f>
        <v/>
      </c>
      <c r="N2588" s="32" t="str">
        <f aca="false">IF(F2588="","",IF(H2588&lt;&gt;"","Kapandı",IF('Vade Sapması'!$D$3&gt;G2588,"Açık · vadesi geçti","Açık · vadesi gelmedi")))</f>
        <v/>
      </c>
      <c r="O2588" s="30" t="str">
        <f aca="false">IF(F2588="","",IF(AND(H2588="",'Vade Sapması'!$D$3&gt;G2588),'Vade Sapması'!$D$3-G2588,0))</f>
        <v/>
      </c>
      <c r="P2588" s="33" t="str">
        <f aca="false">IF(F2588="","",F2588*J2588)</f>
        <v/>
      </c>
      <c r="Q2588" s="33" t="str">
        <f aca="false">IF(F2588="","",F2588*L2588)</f>
        <v/>
      </c>
      <c r="R2588" s="33" t="str">
        <f aca="false">IF(F2588="","",IF(H2588="",F2588,0))</f>
        <v/>
      </c>
      <c r="S2588" s="32" t="str">
        <f aca="false">IF(F2588="","",IF(N(O2588)=0,"",IF(O2588&lt;=30,"1-30",IF(O2588&lt;=60,"31-60",IF(O2588&lt;=90,"61-90","90+")))))</f>
        <v/>
      </c>
      <c r="T2588" s="32" t="str">
        <f aca="false">IF(F2588="","",IF(E2588="","Diğer",E2588))</f>
        <v/>
      </c>
      <c r="U2588" s="32" t="str">
        <f aca="false">IF(OR(F2588="",C2588=""),"",IF(COUNTIF($C$2:C2588,C2588)=1,MAX($U$1:U2587)+1,""))</f>
        <v/>
      </c>
    </row>
    <row r="2589" customFormat="false" ht="15" hidden="false" customHeight="false" outlineLevel="0" collapsed="false">
      <c r="A2589" s="34"/>
      <c r="B2589" s="9"/>
      <c r="C2589" s="34"/>
      <c r="D2589" s="34"/>
      <c r="E2589" s="34"/>
      <c r="F2589" s="35"/>
      <c r="G2589" s="9"/>
      <c r="H2589" s="9"/>
      <c r="I2589" s="34"/>
      <c r="J2589" s="30" t="str">
        <f aca="false">IF(F2589="","",G2589-B2589)</f>
        <v/>
      </c>
      <c r="K2589" s="31" t="str">
        <f aca="false">IF(F2589="","",IF(H2589&lt;&gt;"",H2589,MAX('Vade Sapması'!$D$3,G2589)))</f>
        <v/>
      </c>
      <c r="L2589" s="30" t="str">
        <f aca="false">IF(F2589="","",K2589-B2589)</f>
        <v/>
      </c>
      <c r="M2589" s="30" t="str">
        <f aca="false">IF(F2589="","",L2589-J2589)</f>
        <v/>
      </c>
      <c r="N2589" s="32" t="str">
        <f aca="false">IF(F2589="","",IF(H2589&lt;&gt;"","Kapandı",IF('Vade Sapması'!$D$3&gt;G2589,"Açık · vadesi geçti","Açık · vadesi gelmedi")))</f>
        <v/>
      </c>
      <c r="O2589" s="30" t="str">
        <f aca="false">IF(F2589="","",IF(AND(H2589="",'Vade Sapması'!$D$3&gt;G2589),'Vade Sapması'!$D$3-G2589,0))</f>
        <v/>
      </c>
      <c r="P2589" s="33" t="str">
        <f aca="false">IF(F2589="","",F2589*J2589)</f>
        <v/>
      </c>
      <c r="Q2589" s="33" t="str">
        <f aca="false">IF(F2589="","",F2589*L2589)</f>
        <v/>
      </c>
      <c r="R2589" s="33" t="str">
        <f aca="false">IF(F2589="","",IF(H2589="",F2589,0))</f>
        <v/>
      </c>
      <c r="S2589" s="32" t="str">
        <f aca="false">IF(F2589="","",IF(N(O2589)=0,"",IF(O2589&lt;=30,"1-30",IF(O2589&lt;=60,"31-60",IF(O2589&lt;=90,"61-90","90+")))))</f>
        <v/>
      </c>
      <c r="T2589" s="32" t="str">
        <f aca="false">IF(F2589="","",IF(E2589="","Diğer",E2589))</f>
        <v/>
      </c>
      <c r="U2589" s="32" t="str">
        <f aca="false">IF(OR(F2589="",C2589=""),"",IF(COUNTIF($C$2:C2589,C2589)=1,MAX($U$1:U2588)+1,""))</f>
        <v/>
      </c>
    </row>
    <row r="2590" customFormat="false" ht="15" hidden="false" customHeight="false" outlineLevel="0" collapsed="false">
      <c r="A2590" s="34"/>
      <c r="B2590" s="9"/>
      <c r="C2590" s="34"/>
      <c r="D2590" s="34"/>
      <c r="E2590" s="34"/>
      <c r="F2590" s="35"/>
      <c r="G2590" s="9"/>
      <c r="H2590" s="9"/>
      <c r="I2590" s="34"/>
      <c r="J2590" s="30" t="str">
        <f aca="false">IF(F2590="","",G2590-B2590)</f>
        <v/>
      </c>
      <c r="K2590" s="31" t="str">
        <f aca="false">IF(F2590="","",IF(H2590&lt;&gt;"",H2590,MAX('Vade Sapması'!$D$3,G2590)))</f>
        <v/>
      </c>
      <c r="L2590" s="30" t="str">
        <f aca="false">IF(F2590="","",K2590-B2590)</f>
        <v/>
      </c>
      <c r="M2590" s="30" t="str">
        <f aca="false">IF(F2590="","",L2590-J2590)</f>
        <v/>
      </c>
      <c r="N2590" s="32" t="str">
        <f aca="false">IF(F2590="","",IF(H2590&lt;&gt;"","Kapandı",IF('Vade Sapması'!$D$3&gt;G2590,"Açık · vadesi geçti","Açık · vadesi gelmedi")))</f>
        <v/>
      </c>
      <c r="O2590" s="30" t="str">
        <f aca="false">IF(F2590="","",IF(AND(H2590="",'Vade Sapması'!$D$3&gt;G2590),'Vade Sapması'!$D$3-G2590,0))</f>
        <v/>
      </c>
      <c r="P2590" s="33" t="str">
        <f aca="false">IF(F2590="","",F2590*J2590)</f>
        <v/>
      </c>
      <c r="Q2590" s="33" t="str">
        <f aca="false">IF(F2590="","",F2590*L2590)</f>
        <v/>
      </c>
      <c r="R2590" s="33" t="str">
        <f aca="false">IF(F2590="","",IF(H2590="",F2590,0))</f>
        <v/>
      </c>
      <c r="S2590" s="32" t="str">
        <f aca="false">IF(F2590="","",IF(N(O2590)=0,"",IF(O2590&lt;=30,"1-30",IF(O2590&lt;=60,"31-60",IF(O2590&lt;=90,"61-90","90+")))))</f>
        <v/>
      </c>
      <c r="T2590" s="32" t="str">
        <f aca="false">IF(F2590="","",IF(E2590="","Diğer",E2590))</f>
        <v/>
      </c>
      <c r="U2590" s="32" t="str">
        <f aca="false">IF(OR(F2590="",C2590=""),"",IF(COUNTIF($C$2:C2590,C2590)=1,MAX($U$1:U2589)+1,""))</f>
        <v/>
      </c>
    </row>
    <row r="2591" customFormat="false" ht="15" hidden="false" customHeight="false" outlineLevel="0" collapsed="false">
      <c r="A2591" s="34"/>
      <c r="B2591" s="9"/>
      <c r="C2591" s="34"/>
      <c r="D2591" s="34"/>
      <c r="E2591" s="34"/>
      <c r="F2591" s="35"/>
      <c r="G2591" s="9"/>
      <c r="H2591" s="9"/>
      <c r="I2591" s="34"/>
      <c r="J2591" s="30" t="str">
        <f aca="false">IF(F2591="","",G2591-B2591)</f>
        <v/>
      </c>
      <c r="K2591" s="31" t="str">
        <f aca="false">IF(F2591="","",IF(H2591&lt;&gt;"",H2591,MAX('Vade Sapması'!$D$3,G2591)))</f>
        <v/>
      </c>
      <c r="L2591" s="30" t="str">
        <f aca="false">IF(F2591="","",K2591-B2591)</f>
        <v/>
      </c>
      <c r="M2591" s="30" t="str">
        <f aca="false">IF(F2591="","",L2591-J2591)</f>
        <v/>
      </c>
      <c r="N2591" s="32" t="str">
        <f aca="false">IF(F2591="","",IF(H2591&lt;&gt;"","Kapandı",IF('Vade Sapması'!$D$3&gt;G2591,"Açık · vadesi geçti","Açık · vadesi gelmedi")))</f>
        <v/>
      </c>
      <c r="O2591" s="30" t="str">
        <f aca="false">IF(F2591="","",IF(AND(H2591="",'Vade Sapması'!$D$3&gt;G2591),'Vade Sapması'!$D$3-G2591,0))</f>
        <v/>
      </c>
      <c r="P2591" s="33" t="str">
        <f aca="false">IF(F2591="","",F2591*J2591)</f>
        <v/>
      </c>
      <c r="Q2591" s="33" t="str">
        <f aca="false">IF(F2591="","",F2591*L2591)</f>
        <v/>
      </c>
      <c r="R2591" s="33" t="str">
        <f aca="false">IF(F2591="","",IF(H2591="",F2591,0))</f>
        <v/>
      </c>
      <c r="S2591" s="32" t="str">
        <f aca="false">IF(F2591="","",IF(N(O2591)=0,"",IF(O2591&lt;=30,"1-30",IF(O2591&lt;=60,"31-60",IF(O2591&lt;=90,"61-90","90+")))))</f>
        <v/>
      </c>
      <c r="T2591" s="32" t="str">
        <f aca="false">IF(F2591="","",IF(E2591="","Diğer",E2591))</f>
        <v/>
      </c>
      <c r="U2591" s="32" t="str">
        <f aca="false">IF(OR(F2591="",C2591=""),"",IF(COUNTIF($C$2:C2591,C2591)=1,MAX($U$1:U2590)+1,""))</f>
        <v/>
      </c>
    </row>
    <row r="2592" customFormat="false" ht="15" hidden="false" customHeight="false" outlineLevel="0" collapsed="false">
      <c r="A2592" s="34"/>
      <c r="B2592" s="9"/>
      <c r="C2592" s="34"/>
      <c r="D2592" s="34"/>
      <c r="E2592" s="34"/>
      <c r="F2592" s="35"/>
      <c r="G2592" s="9"/>
      <c r="H2592" s="9"/>
      <c r="I2592" s="34"/>
      <c r="J2592" s="30" t="str">
        <f aca="false">IF(F2592="","",G2592-B2592)</f>
        <v/>
      </c>
      <c r="K2592" s="31" t="str">
        <f aca="false">IF(F2592="","",IF(H2592&lt;&gt;"",H2592,MAX('Vade Sapması'!$D$3,G2592)))</f>
        <v/>
      </c>
      <c r="L2592" s="30" t="str">
        <f aca="false">IF(F2592="","",K2592-B2592)</f>
        <v/>
      </c>
      <c r="M2592" s="30" t="str">
        <f aca="false">IF(F2592="","",L2592-J2592)</f>
        <v/>
      </c>
      <c r="N2592" s="32" t="str">
        <f aca="false">IF(F2592="","",IF(H2592&lt;&gt;"","Kapandı",IF('Vade Sapması'!$D$3&gt;G2592,"Açık · vadesi geçti","Açık · vadesi gelmedi")))</f>
        <v/>
      </c>
      <c r="O2592" s="30" t="str">
        <f aca="false">IF(F2592="","",IF(AND(H2592="",'Vade Sapması'!$D$3&gt;G2592),'Vade Sapması'!$D$3-G2592,0))</f>
        <v/>
      </c>
      <c r="P2592" s="33" t="str">
        <f aca="false">IF(F2592="","",F2592*J2592)</f>
        <v/>
      </c>
      <c r="Q2592" s="33" t="str">
        <f aca="false">IF(F2592="","",F2592*L2592)</f>
        <v/>
      </c>
      <c r="R2592" s="33" t="str">
        <f aca="false">IF(F2592="","",IF(H2592="",F2592,0))</f>
        <v/>
      </c>
      <c r="S2592" s="32" t="str">
        <f aca="false">IF(F2592="","",IF(N(O2592)=0,"",IF(O2592&lt;=30,"1-30",IF(O2592&lt;=60,"31-60",IF(O2592&lt;=90,"61-90","90+")))))</f>
        <v/>
      </c>
      <c r="T2592" s="32" t="str">
        <f aca="false">IF(F2592="","",IF(E2592="","Diğer",E2592))</f>
        <v/>
      </c>
      <c r="U2592" s="32" t="str">
        <f aca="false">IF(OR(F2592="",C2592=""),"",IF(COUNTIF($C$2:C2592,C2592)=1,MAX($U$1:U2591)+1,""))</f>
        <v/>
      </c>
    </row>
    <row r="2593" customFormat="false" ht="15" hidden="false" customHeight="false" outlineLevel="0" collapsed="false">
      <c r="A2593" s="34"/>
      <c r="B2593" s="9"/>
      <c r="C2593" s="34"/>
      <c r="D2593" s="34"/>
      <c r="E2593" s="34"/>
      <c r="F2593" s="35"/>
      <c r="G2593" s="9"/>
      <c r="H2593" s="9"/>
      <c r="I2593" s="34"/>
      <c r="J2593" s="30" t="str">
        <f aca="false">IF(F2593="","",G2593-B2593)</f>
        <v/>
      </c>
      <c r="K2593" s="31" t="str">
        <f aca="false">IF(F2593="","",IF(H2593&lt;&gt;"",H2593,MAX('Vade Sapması'!$D$3,G2593)))</f>
        <v/>
      </c>
      <c r="L2593" s="30" t="str">
        <f aca="false">IF(F2593="","",K2593-B2593)</f>
        <v/>
      </c>
      <c r="M2593" s="30" t="str">
        <f aca="false">IF(F2593="","",L2593-J2593)</f>
        <v/>
      </c>
      <c r="N2593" s="32" t="str">
        <f aca="false">IF(F2593="","",IF(H2593&lt;&gt;"","Kapandı",IF('Vade Sapması'!$D$3&gt;G2593,"Açık · vadesi geçti","Açık · vadesi gelmedi")))</f>
        <v/>
      </c>
      <c r="O2593" s="30" t="str">
        <f aca="false">IF(F2593="","",IF(AND(H2593="",'Vade Sapması'!$D$3&gt;G2593),'Vade Sapması'!$D$3-G2593,0))</f>
        <v/>
      </c>
      <c r="P2593" s="33" t="str">
        <f aca="false">IF(F2593="","",F2593*J2593)</f>
        <v/>
      </c>
      <c r="Q2593" s="33" t="str">
        <f aca="false">IF(F2593="","",F2593*L2593)</f>
        <v/>
      </c>
      <c r="R2593" s="33" t="str">
        <f aca="false">IF(F2593="","",IF(H2593="",F2593,0))</f>
        <v/>
      </c>
      <c r="S2593" s="32" t="str">
        <f aca="false">IF(F2593="","",IF(N(O2593)=0,"",IF(O2593&lt;=30,"1-30",IF(O2593&lt;=60,"31-60",IF(O2593&lt;=90,"61-90","90+")))))</f>
        <v/>
      </c>
      <c r="T2593" s="32" t="str">
        <f aca="false">IF(F2593="","",IF(E2593="","Diğer",E2593))</f>
        <v/>
      </c>
      <c r="U2593" s="32" t="str">
        <f aca="false">IF(OR(F2593="",C2593=""),"",IF(COUNTIF($C$2:C2593,C2593)=1,MAX($U$1:U2592)+1,""))</f>
        <v/>
      </c>
    </row>
    <row r="2594" customFormat="false" ht="15" hidden="false" customHeight="false" outlineLevel="0" collapsed="false">
      <c r="A2594" s="34"/>
      <c r="B2594" s="9"/>
      <c r="C2594" s="34"/>
      <c r="D2594" s="34"/>
      <c r="E2594" s="34"/>
      <c r="F2594" s="35"/>
      <c r="G2594" s="9"/>
      <c r="H2594" s="9"/>
      <c r="I2594" s="34"/>
      <c r="J2594" s="30" t="str">
        <f aca="false">IF(F2594="","",G2594-B2594)</f>
        <v/>
      </c>
      <c r="K2594" s="31" t="str">
        <f aca="false">IF(F2594="","",IF(H2594&lt;&gt;"",H2594,MAX('Vade Sapması'!$D$3,G2594)))</f>
        <v/>
      </c>
      <c r="L2594" s="30" t="str">
        <f aca="false">IF(F2594="","",K2594-B2594)</f>
        <v/>
      </c>
      <c r="M2594" s="30" t="str">
        <f aca="false">IF(F2594="","",L2594-J2594)</f>
        <v/>
      </c>
      <c r="N2594" s="32" t="str">
        <f aca="false">IF(F2594="","",IF(H2594&lt;&gt;"","Kapandı",IF('Vade Sapması'!$D$3&gt;G2594,"Açık · vadesi geçti","Açık · vadesi gelmedi")))</f>
        <v/>
      </c>
      <c r="O2594" s="30" t="str">
        <f aca="false">IF(F2594="","",IF(AND(H2594="",'Vade Sapması'!$D$3&gt;G2594),'Vade Sapması'!$D$3-G2594,0))</f>
        <v/>
      </c>
      <c r="P2594" s="33" t="str">
        <f aca="false">IF(F2594="","",F2594*J2594)</f>
        <v/>
      </c>
      <c r="Q2594" s="33" t="str">
        <f aca="false">IF(F2594="","",F2594*L2594)</f>
        <v/>
      </c>
      <c r="R2594" s="33" t="str">
        <f aca="false">IF(F2594="","",IF(H2594="",F2594,0))</f>
        <v/>
      </c>
      <c r="S2594" s="32" t="str">
        <f aca="false">IF(F2594="","",IF(N(O2594)=0,"",IF(O2594&lt;=30,"1-30",IF(O2594&lt;=60,"31-60",IF(O2594&lt;=90,"61-90","90+")))))</f>
        <v/>
      </c>
      <c r="T2594" s="32" t="str">
        <f aca="false">IF(F2594="","",IF(E2594="","Diğer",E2594))</f>
        <v/>
      </c>
      <c r="U2594" s="32" t="str">
        <f aca="false">IF(OR(F2594="",C2594=""),"",IF(COUNTIF($C$2:C2594,C2594)=1,MAX($U$1:U2593)+1,""))</f>
        <v/>
      </c>
    </row>
    <row r="2595" customFormat="false" ht="15" hidden="false" customHeight="false" outlineLevel="0" collapsed="false">
      <c r="A2595" s="34"/>
      <c r="B2595" s="9"/>
      <c r="C2595" s="34"/>
      <c r="D2595" s="34"/>
      <c r="E2595" s="34"/>
      <c r="F2595" s="35"/>
      <c r="G2595" s="9"/>
      <c r="H2595" s="9"/>
      <c r="I2595" s="34"/>
      <c r="J2595" s="30" t="str">
        <f aca="false">IF(F2595="","",G2595-B2595)</f>
        <v/>
      </c>
      <c r="K2595" s="31" t="str">
        <f aca="false">IF(F2595="","",IF(H2595&lt;&gt;"",H2595,MAX('Vade Sapması'!$D$3,G2595)))</f>
        <v/>
      </c>
      <c r="L2595" s="30" t="str">
        <f aca="false">IF(F2595="","",K2595-B2595)</f>
        <v/>
      </c>
      <c r="M2595" s="30" t="str">
        <f aca="false">IF(F2595="","",L2595-J2595)</f>
        <v/>
      </c>
      <c r="N2595" s="32" t="str">
        <f aca="false">IF(F2595="","",IF(H2595&lt;&gt;"","Kapandı",IF('Vade Sapması'!$D$3&gt;G2595,"Açık · vadesi geçti","Açık · vadesi gelmedi")))</f>
        <v/>
      </c>
      <c r="O2595" s="30" t="str">
        <f aca="false">IF(F2595="","",IF(AND(H2595="",'Vade Sapması'!$D$3&gt;G2595),'Vade Sapması'!$D$3-G2595,0))</f>
        <v/>
      </c>
      <c r="P2595" s="33" t="str">
        <f aca="false">IF(F2595="","",F2595*J2595)</f>
        <v/>
      </c>
      <c r="Q2595" s="33" t="str">
        <f aca="false">IF(F2595="","",F2595*L2595)</f>
        <v/>
      </c>
      <c r="R2595" s="33" t="str">
        <f aca="false">IF(F2595="","",IF(H2595="",F2595,0))</f>
        <v/>
      </c>
      <c r="S2595" s="32" t="str">
        <f aca="false">IF(F2595="","",IF(N(O2595)=0,"",IF(O2595&lt;=30,"1-30",IF(O2595&lt;=60,"31-60",IF(O2595&lt;=90,"61-90","90+")))))</f>
        <v/>
      </c>
      <c r="T2595" s="32" t="str">
        <f aca="false">IF(F2595="","",IF(E2595="","Diğer",E2595))</f>
        <v/>
      </c>
      <c r="U2595" s="32" t="str">
        <f aca="false">IF(OR(F2595="",C2595=""),"",IF(COUNTIF($C$2:C2595,C2595)=1,MAX($U$1:U2594)+1,""))</f>
        <v/>
      </c>
    </row>
    <row r="2596" customFormat="false" ht="15" hidden="false" customHeight="false" outlineLevel="0" collapsed="false">
      <c r="A2596" s="34"/>
      <c r="B2596" s="9"/>
      <c r="C2596" s="34"/>
      <c r="D2596" s="34"/>
      <c r="E2596" s="34"/>
      <c r="F2596" s="35"/>
      <c r="G2596" s="9"/>
      <c r="H2596" s="9"/>
      <c r="I2596" s="34"/>
      <c r="J2596" s="30" t="str">
        <f aca="false">IF(F2596="","",G2596-B2596)</f>
        <v/>
      </c>
      <c r="K2596" s="31" t="str">
        <f aca="false">IF(F2596="","",IF(H2596&lt;&gt;"",H2596,MAX('Vade Sapması'!$D$3,G2596)))</f>
        <v/>
      </c>
      <c r="L2596" s="30" t="str">
        <f aca="false">IF(F2596="","",K2596-B2596)</f>
        <v/>
      </c>
      <c r="M2596" s="30" t="str">
        <f aca="false">IF(F2596="","",L2596-J2596)</f>
        <v/>
      </c>
      <c r="N2596" s="32" t="str">
        <f aca="false">IF(F2596="","",IF(H2596&lt;&gt;"","Kapandı",IF('Vade Sapması'!$D$3&gt;G2596,"Açık · vadesi geçti","Açık · vadesi gelmedi")))</f>
        <v/>
      </c>
      <c r="O2596" s="30" t="str">
        <f aca="false">IF(F2596="","",IF(AND(H2596="",'Vade Sapması'!$D$3&gt;G2596),'Vade Sapması'!$D$3-G2596,0))</f>
        <v/>
      </c>
      <c r="P2596" s="33" t="str">
        <f aca="false">IF(F2596="","",F2596*J2596)</f>
        <v/>
      </c>
      <c r="Q2596" s="33" t="str">
        <f aca="false">IF(F2596="","",F2596*L2596)</f>
        <v/>
      </c>
      <c r="R2596" s="33" t="str">
        <f aca="false">IF(F2596="","",IF(H2596="",F2596,0))</f>
        <v/>
      </c>
      <c r="S2596" s="32" t="str">
        <f aca="false">IF(F2596="","",IF(N(O2596)=0,"",IF(O2596&lt;=30,"1-30",IF(O2596&lt;=60,"31-60",IF(O2596&lt;=90,"61-90","90+")))))</f>
        <v/>
      </c>
      <c r="T2596" s="32" t="str">
        <f aca="false">IF(F2596="","",IF(E2596="","Diğer",E2596))</f>
        <v/>
      </c>
      <c r="U2596" s="32" t="str">
        <f aca="false">IF(OR(F2596="",C2596=""),"",IF(COUNTIF($C$2:C2596,C2596)=1,MAX($U$1:U2595)+1,""))</f>
        <v/>
      </c>
    </row>
    <row r="2597" customFormat="false" ht="15" hidden="false" customHeight="false" outlineLevel="0" collapsed="false">
      <c r="A2597" s="34"/>
      <c r="B2597" s="9"/>
      <c r="C2597" s="34"/>
      <c r="D2597" s="34"/>
      <c r="E2597" s="34"/>
      <c r="F2597" s="35"/>
      <c r="G2597" s="9"/>
      <c r="H2597" s="9"/>
      <c r="I2597" s="34"/>
      <c r="J2597" s="30" t="str">
        <f aca="false">IF(F2597="","",G2597-B2597)</f>
        <v/>
      </c>
      <c r="K2597" s="31" t="str">
        <f aca="false">IF(F2597="","",IF(H2597&lt;&gt;"",H2597,MAX('Vade Sapması'!$D$3,G2597)))</f>
        <v/>
      </c>
      <c r="L2597" s="30" t="str">
        <f aca="false">IF(F2597="","",K2597-B2597)</f>
        <v/>
      </c>
      <c r="M2597" s="30" t="str">
        <f aca="false">IF(F2597="","",L2597-J2597)</f>
        <v/>
      </c>
      <c r="N2597" s="32" t="str">
        <f aca="false">IF(F2597="","",IF(H2597&lt;&gt;"","Kapandı",IF('Vade Sapması'!$D$3&gt;G2597,"Açık · vadesi geçti","Açık · vadesi gelmedi")))</f>
        <v/>
      </c>
      <c r="O2597" s="30" t="str">
        <f aca="false">IF(F2597="","",IF(AND(H2597="",'Vade Sapması'!$D$3&gt;G2597),'Vade Sapması'!$D$3-G2597,0))</f>
        <v/>
      </c>
      <c r="P2597" s="33" t="str">
        <f aca="false">IF(F2597="","",F2597*J2597)</f>
        <v/>
      </c>
      <c r="Q2597" s="33" t="str">
        <f aca="false">IF(F2597="","",F2597*L2597)</f>
        <v/>
      </c>
      <c r="R2597" s="33" t="str">
        <f aca="false">IF(F2597="","",IF(H2597="",F2597,0))</f>
        <v/>
      </c>
      <c r="S2597" s="32" t="str">
        <f aca="false">IF(F2597="","",IF(N(O2597)=0,"",IF(O2597&lt;=30,"1-30",IF(O2597&lt;=60,"31-60",IF(O2597&lt;=90,"61-90","90+")))))</f>
        <v/>
      </c>
      <c r="T2597" s="32" t="str">
        <f aca="false">IF(F2597="","",IF(E2597="","Diğer",E2597))</f>
        <v/>
      </c>
      <c r="U2597" s="32" t="str">
        <f aca="false">IF(OR(F2597="",C2597=""),"",IF(COUNTIF($C$2:C2597,C2597)=1,MAX($U$1:U2596)+1,""))</f>
        <v/>
      </c>
    </row>
    <row r="2598" customFormat="false" ht="15" hidden="false" customHeight="false" outlineLevel="0" collapsed="false">
      <c r="A2598" s="34"/>
      <c r="B2598" s="9"/>
      <c r="C2598" s="34"/>
      <c r="D2598" s="34"/>
      <c r="E2598" s="34"/>
      <c r="F2598" s="35"/>
      <c r="G2598" s="9"/>
      <c r="H2598" s="9"/>
      <c r="I2598" s="34"/>
      <c r="J2598" s="30" t="str">
        <f aca="false">IF(F2598="","",G2598-B2598)</f>
        <v/>
      </c>
      <c r="K2598" s="31" t="str">
        <f aca="false">IF(F2598="","",IF(H2598&lt;&gt;"",H2598,MAX('Vade Sapması'!$D$3,G2598)))</f>
        <v/>
      </c>
      <c r="L2598" s="30" t="str">
        <f aca="false">IF(F2598="","",K2598-B2598)</f>
        <v/>
      </c>
      <c r="M2598" s="30" t="str">
        <f aca="false">IF(F2598="","",L2598-J2598)</f>
        <v/>
      </c>
      <c r="N2598" s="32" t="str">
        <f aca="false">IF(F2598="","",IF(H2598&lt;&gt;"","Kapandı",IF('Vade Sapması'!$D$3&gt;G2598,"Açık · vadesi geçti","Açık · vadesi gelmedi")))</f>
        <v/>
      </c>
      <c r="O2598" s="30" t="str">
        <f aca="false">IF(F2598="","",IF(AND(H2598="",'Vade Sapması'!$D$3&gt;G2598),'Vade Sapması'!$D$3-G2598,0))</f>
        <v/>
      </c>
      <c r="P2598" s="33" t="str">
        <f aca="false">IF(F2598="","",F2598*J2598)</f>
        <v/>
      </c>
      <c r="Q2598" s="33" t="str">
        <f aca="false">IF(F2598="","",F2598*L2598)</f>
        <v/>
      </c>
      <c r="R2598" s="33" t="str">
        <f aca="false">IF(F2598="","",IF(H2598="",F2598,0))</f>
        <v/>
      </c>
      <c r="S2598" s="32" t="str">
        <f aca="false">IF(F2598="","",IF(N(O2598)=0,"",IF(O2598&lt;=30,"1-30",IF(O2598&lt;=60,"31-60",IF(O2598&lt;=90,"61-90","90+")))))</f>
        <v/>
      </c>
      <c r="T2598" s="32" t="str">
        <f aca="false">IF(F2598="","",IF(E2598="","Diğer",E2598))</f>
        <v/>
      </c>
      <c r="U2598" s="32" t="str">
        <f aca="false">IF(OR(F2598="",C2598=""),"",IF(COUNTIF($C$2:C2598,C2598)=1,MAX($U$1:U2597)+1,""))</f>
        <v/>
      </c>
    </row>
    <row r="2599" customFormat="false" ht="15" hidden="false" customHeight="false" outlineLevel="0" collapsed="false">
      <c r="A2599" s="34"/>
      <c r="B2599" s="9"/>
      <c r="C2599" s="34"/>
      <c r="D2599" s="34"/>
      <c r="E2599" s="34"/>
      <c r="F2599" s="35"/>
      <c r="G2599" s="9"/>
      <c r="H2599" s="9"/>
      <c r="I2599" s="34"/>
      <c r="J2599" s="30" t="str">
        <f aca="false">IF(F2599="","",G2599-B2599)</f>
        <v/>
      </c>
      <c r="K2599" s="31" t="str">
        <f aca="false">IF(F2599="","",IF(H2599&lt;&gt;"",H2599,MAX('Vade Sapması'!$D$3,G2599)))</f>
        <v/>
      </c>
      <c r="L2599" s="30" t="str">
        <f aca="false">IF(F2599="","",K2599-B2599)</f>
        <v/>
      </c>
      <c r="M2599" s="30" t="str">
        <f aca="false">IF(F2599="","",L2599-J2599)</f>
        <v/>
      </c>
      <c r="N2599" s="32" t="str">
        <f aca="false">IF(F2599="","",IF(H2599&lt;&gt;"","Kapandı",IF('Vade Sapması'!$D$3&gt;G2599,"Açık · vadesi geçti","Açık · vadesi gelmedi")))</f>
        <v/>
      </c>
      <c r="O2599" s="30" t="str">
        <f aca="false">IF(F2599="","",IF(AND(H2599="",'Vade Sapması'!$D$3&gt;G2599),'Vade Sapması'!$D$3-G2599,0))</f>
        <v/>
      </c>
      <c r="P2599" s="33" t="str">
        <f aca="false">IF(F2599="","",F2599*J2599)</f>
        <v/>
      </c>
      <c r="Q2599" s="33" t="str">
        <f aca="false">IF(F2599="","",F2599*L2599)</f>
        <v/>
      </c>
      <c r="R2599" s="33" t="str">
        <f aca="false">IF(F2599="","",IF(H2599="",F2599,0))</f>
        <v/>
      </c>
      <c r="S2599" s="32" t="str">
        <f aca="false">IF(F2599="","",IF(N(O2599)=0,"",IF(O2599&lt;=30,"1-30",IF(O2599&lt;=60,"31-60",IF(O2599&lt;=90,"61-90","90+")))))</f>
        <v/>
      </c>
      <c r="T2599" s="32" t="str">
        <f aca="false">IF(F2599="","",IF(E2599="","Diğer",E2599))</f>
        <v/>
      </c>
      <c r="U2599" s="32" t="str">
        <f aca="false">IF(OR(F2599="",C2599=""),"",IF(COUNTIF($C$2:C2599,C2599)=1,MAX($U$1:U2598)+1,""))</f>
        <v/>
      </c>
    </row>
    <row r="2600" customFormat="false" ht="15" hidden="false" customHeight="false" outlineLevel="0" collapsed="false">
      <c r="A2600" s="34"/>
      <c r="B2600" s="9"/>
      <c r="C2600" s="34"/>
      <c r="D2600" s="34"/>
      <c r="E2600" s="34"/>
      <c r="F2600" s="35"/>
      <c r="G2600" s="9"/>
      <c r="H2600" s="9"/>
      <c r="I2600" s="34"/>
      <c r="J2600" s="30" t="str">
        <f aca="false">IF(F2600="","",G2600-B2600)</f>
        <v/>
      </c>
      <c r="K2600" s="31" t="str">
        <f aca="false">IF(F2600="","",IF(H2600&lt;&gt;"",H2600,MAX('Vade Sapması'!$D$3,G2600)))</f>
        <v/>
      </c>
      <c r="L2600" s="30" t="str">
        <f aca="false">IF(F2600="","",K2600-B2600)</f>
        <v/>
      </c>
      <c r="M2600" s="30" t="str">
        <f aca="false">IF(F2600="","",L2600-J2600)</f>
        <v/>
      </c>
      <c r="N2600" s="32" t="str">
        <f aca="false">IF(F2600="","",IF(H2600&lt;&gt;"","Kapandı",IF('Vade Sapması'!$D$3&gt;G2600,"Açık · vadesi geçti","Açık · vadesi gelmedi")))</f>
        <v/>
      </c>
      <c r="O2600" s="30" t="str">
        <f aca="false">IF(F2600="","",IF(AND(H2600="",'Vade Sapması'!$D$3&gt;G2600),'Vade Sapması'!$D$3-G2600,0))</f>
        <v/>
      </c>
      <c r="P2600" s="33" t="str">
        <f aca="false">IF(F2600="","",F2600*J2600)</f>
        <v/>
      </c>
      <c r="Q2600" s="33" t="str">
        <f aca="false">IF(F2600="","",F2600*L2600)</f>
        <v/>
      </c>
      <c r="R2600" s="33" t="str">
        <f aca="false">IF(F2600="","",IF(H2600="",F2600,0))</f>
        <v/>
      </c>
      <c r="S2600" s="32" t="str">
        <f aca="false">IF(F2600="","",IF(N(O2600)=0,"",IF(O2600&lt;=30,"1-30",IF(O2600&lt;=60,"31-60",IF(O2600&lt;=90,"61-90","90+")))))</f>
        <v/>
      </c>
      <c r="T2600" s="32" t="str">
        <f aca="false">IF(F2600="","",IF(E2600="","Diğer",E2600))</f>
        <v/>
      </c>
      <c r="U2600" s="32" t="str">
        <f aca="false">IF(OR(F2600="",C2600=""),"",IF(COUNTIF($C$2:C2600,C2600)=1,MAX($U$1:U2599)+1,""))</f>
        <v/>
      </c>
    </row>
    <row r="2601" customFormat="false" ht="15" hidden="false" customHeight="false" outlineLevel="0" collapsed="false">
      <c r="A2601" s="34"/>
      <c r="B2601" s="9"/>
      <c r="C2601" s="34"/>
      <c r="D2601" s="34"/>
      <c r="E2601" s="34"/>
      <c r="F2601" s="35"/>
      <c r="G2601" s="9"/>
      <c r="H2601" s="9"/>
      <c r="I2601" s="34"/>
      <c r="J2601" s="30" t="str">
        <f aca="false">IF(F2601="","",G2601-B2601)</f>
        <v/>
      </c>
      <c r="K2601" s="31" t="str">
        <f aca="false">IF(F2601="","",IF(H2601&lt;&gt;"",H2601,MAX('Vade Sapması'!$D$3,G2601)))</f>
        <v/>
      </c>
      <c r="L2601" s="30" t="str">
        <f aca="false">IF(F2601="","",K2601-B2601)</f>
        <v/>
      </c>
      <c r="M2601" s="30" t="str">
        <f aca="false">IF(F2601="","",L2601-J2601)</f>
        <v/>
      </c>
      <c r="N2601" s="32" t="str">
        <f aca="false">IF(F2601="","",IF(H2601&lt;&gt;"","Kapandı",IF('Vade Sapması'!$D$3&gt;G2601,"Açık · vadesi geçti","Açık · vadesi gelmedi")))</f>
        <v/>
      </c>
      <c r="O2601" s="30" t="str">
        <f aca="false">IF(F2601="","",IF(AND(H2601="",'Vade Sapması'!$D$3&gt;G2601),'Vade Sapması'!$D$3-G2601,0))</f>
        <v/>
      </c>
      <c r="P2601" s="33" t="str">
        <f aca="false">IF(F2601="","",F2601*J2601)</f>
        <v/>
      </c>
      <c r="Q2601" s="33" t="str">
        <f aca="false">IF(F2601="","",F2601*L2601)</f>
        <v/>
      </c>
      <c r="R2601" s="33" t="str">
        <f aca="false">IF(F2601="","",IF(H2601="",F2601,0))</f>
        <v/>
      </c>
      <c r="S2601" s="32" t="str">
        <f aca="false">IF(F2601="","",IF(N(O2601)=0,"",IF(O2601&lt;=30,"1-30",IF(O2601&lt;=60,"31-60",IF(O2601&lt;=90,"61-90","90+")))))</f>
        <v/>
      </c>
      <c r="T2601" s="32" t="str">
        <f aca="false">IF(F2601="","",IF(E2601="","Diğer",E2601))</f>
        <v/>
      </c>
      <c r="U2601" s="32" t="str">
        <f aca="false">IF(OR(F2601="",C2601=""),"",IF(COUNTIF($C$2:C2601,C2601)=1,MAX($U$1:U2600)+1,""))</f>
        <v/>
      </c>
    </row>
    <row r="2602" customFormat="false" ht="15" hidden="false" customHeight="false" outlineLevel="0" collapsed="false">
      <c r="A2602" s="34"/>
      <c r="B2602" s="9"/>
      <c r="C2602" s="34"/>
      <c r="D2602" s="34"/>
      <c r="E2602" s="34"/>
      <c r="F2602" s="35"/>
      <c r="G2602" s="9"/>
      <c r="H2602" s="9"/>
      <c r="I2602" s="34"/>
      <c r="J2602" s="30" t="str">
        <f aca="false">IF(F2602="","",G2602-B2602)</f>
        <v/>
      </c>
      <c r="K2602" s="31" t="str">
        <f aca="false">IF(F2602="","",IF(H2602&lt;&gt;"",H2602,MAX('Vade Sapması'!$D$3,G2602)))</f>
        <v/>
      </c>
      <c r="L2602" s="30" t="str">
        <f aca="false">IF(F2602="","",K2602-B2602)</f>
        <v/>
      </c>
      <c r="M2602" s="30" t="str">
        <f aca="false">IF(F2602="","",L2602-J2602)</f>
        <v/>
      </c>
      <c r="N2602" s="32" t="str">
        <f aca="false">IF(F2602="","",IF(H2602&lt;&gt;"","Kapandı",IF('Vade Sapması'!$D$3&gt;G2602,"Açık · vadesi geçti","Açık · vadesi gelmedi")))</f>
        <v/>
      </c>
      <c r="O2602" s="30" t="str">
        <f aca="false">IF(F2602="","",IF(AND(H2602="",'Vade Sapması'!$D$3&gt;G2602),'Vade Sapması'!$D$3-G2602,0))</f>
        <v/>
      </c>
      <c r="P2602" s="33" t="str">
        <f aca="false">IF(F2602="","",F2602*J2602)</f>
        <v/>
      </c>
      <c r="Q2602" s="33" t="str">
        <f aca="false">IF(F2602="","",F2602*L2602)</f>
        <v/>
      </c>
      <c r="R2602" s="33" t="str">
        <f aca="false">IF(F2602="","",IF(H2602="",F2602,0))</f>
        <v/>
      </c>
      <c r="S2602" s="32" t="str">
        <f aca="false">IF(F2602="","",IF(N(O2602)=0,"",IF(O2602&lt;=30,"1-30",IF(O2602&lt;=60,"31-60",IF(O2602&lt;=90,"61-90","90+")))))</f>
        <v/>
      </c>
      <c r="T2602" s="32" t="str">
        <f aca="false">IF(F2602="","",IF(E2602="","Diğer",E2602))</f>
        <v/>
      </c>
      <c r="U2602" s="32" t="str">
        <f aca="false">IF(OR(F2602="",C2602=""),"",IF(COUNTIF($C$2:C2602,C2602)=1,MAX($U$1:U2601)+1,""))</f>
        <v/>
      </c>
    </row>
    <row r="2603" customFormat="false" ht="15" hidden="false" customHeight="false" outlineLevel="0" collapsed="false">
      <c r="A2603" s="34"/>
      <c r="B2603" s="9"/>
      <c r="C2603" s="34"/>
      <c r="D2603" s="34"/>
      <c r="E2603" s="34"/>
      <c r="F2603" s="35"/>
      <c r="G2603" s="9"/>
      <c r="H2603" s="9"/>
      <c r="I2603" s="34"/>
      <c r="J2603" s="30" t="str">
        <f aca="false">IF(F2603="","",G2603-B2603)</f>
        <v/>
      </c>
      <c r="K2603" s="31" t="str">
        <f aca="false">IF(F2603="","",IF(H2603&lt;&gt;"",H2603,MAX('Vade Sapması'!$D$3,G2603)))</f>
        <v/>
      </c>
      <c r="L2603" s="30" t="str">
        <f aca="false">IF(F2603="","",K2603-B2603)</f>
        <v/>
      </c>
      <c r="M2603" s="30" t="str">
        <f aca="false">IF(F2603="","",L2603-J2603)</f>
        <v/>
      </c>
      <c r="N2603" s="32" t="str">
        <f aca="false">IF(F2603="","",IF(H2603&lt;&gt;"","Kapandı",IF('Vade Sapması'!$D$3&gt;G2603,"Açık · vadesi geçti","Açık · vadesi gelmedi")))</f>
        <v/>
      </c>
      <c r="O2603" s="30" t="str">
        <f aca="false">IF(F2603="","",IF(AND(H2603="",'Vade Sapması'!$D$3&gt;G2603),'Vade Sapması'!$D$3-G2603,0))</f>
        <v/>
      </c>
      <c r="P2603" s="33" t="str">
        <f aca="false">IF(F2603="","",F2603*J2603)</f>
        <v/>
      </c>
      <c r="Q2603" s="33" t="str">
        <f aca="false">IF(F2603="","",F2603*L2603)</f>
        <v/>
      </c>
      <c r="R2603" s="33" t="str">
        <f aca="false">IF(F2603="","",IF(H2603="",F2603,0))</f>
        <v/>
      </c>
      <c r="S2603" s="32" t="str">
        <f aca="false">IF(F2603="","",IF(N(O2603)=0,"",IF(O2603&lt;=30,"1-30",IF(O2603&lt;=60,"31-60",IF(O2603&lt;=90,"61-90","90+")))))</f>
        <v/>
      </c>
      <c r="T2603" s="32" t="str">
        <f aca="false">IF(F2603="","",IF(E2603="","Diğer",E2603))</f>
        <v/>
      </c>
      <c r="U2603" s="32" t="str">
        <f aca="false">IF(OR(F2603="",C2603=""),"",IF(COUNTIF($C$2:C2603,C2603)=1,MAX($U$1:U2602)+1,""))</f>
        <v/>
      </c>
    </row>
    <row r="2604" customFormat="false" ht="15" hidden="false" customHeight="false" outlineLevel="0" collapsed="false">
      <c r="A2604" s="34"/>
      <c r="B2604" s="9"/>
      <c r="C2604" s="34"/>
      <c r="D2604" s="34"/>
      <c r="E2604" s="34"/>
      <c r="F2604" s="35"/>
      <c r="G2604" s="9"/>
      <c r="H2604" s="9"/>
      <c r="I2604" s="34"/>
      <c r="J2604" s="30" t="str">
        <f aca="false">IF(F2604="","",G2604-B2604)</f>
        <v/>
      </c>
      <c r="K2604" s="31" t="str">
        <f aca="false">IF(F2604="","",IF(H2604&lt;&gt;"",H2604,MAX('Vade Sapması'!$D$3,G2604)))</f>
        <v/>
      </c>
      <c r="L2604" s="30" t="str">
        <f aca="false">IF(F2604="","",K2604-B2604)</f>
        <v/>
      </c>
      <c r="M2604" s="30" t="str">
        <f aca="false">IF(F2604="","",L2604-J2604)</f>
        <v/>
      </c>
      <c r="N2604" s="32" t="str">
        <f aca="false">IF(F2604="","",IF(H2604&lt;&gt;"","Kapandı",IF('Vade Sapması'!$D$3&gt;G2604,"Açık · vadesi geçti","Açık · vadesi gelmedi")))</f>
        <v/>
      </c>
      <c r="O2604" s="30" t="str">
        <f aca="false">IF(F2604="","",IF(AND(H2604="",'Vade Sapması'!$D$3&gt;G2604),'Vade Sapması'!$D$3-G2604,0))</f>
        <v/>
      </c>
      <c r="P2604" s="33" t="str">
        <f aca="false">IF(F2604="","",F2604*J2604)</f>
        <v/>
      </c>
      <c r="Q2604" s="33" t="str">
        <f aca="false">IF(F2604="","",F2604*L2604)</f>
        <v/>
      </c>
      <c r="R2604" s="33" t="str">
        <f aca="false">IF(F2604="","",IF(H2604="",F2604,0))</f>
        <v/>
      </c>
      <c r="S2604" s="32" t="str">
        <f aca="false">IF(F2604="","",IF(N(O2604)=0,"",IF(O2604&lt;=30,"1-30",IF(O2604&lt;=60,"31-60",IF(O2604&lt;=90,"61-90","90+")))))</f>
        <v/>
      </c>
      <c r="T2604" s="32" t="str">
        <f aca="false">IF(F2604="","",IF(E2604="","Diğer",E2604))</f>
        <v/>
      </c>
      <c r="U2604" s="32" t="str">
        <f aca="false">IF(OR(F2604="",C2604=""),"",IF(COUNTIF($C$2:C2604,C2604)=1,MAX($U$1:U2603)+1,""))</f>
        <v/>
      </c>
    </row>
    <row r="2605" customFormat="false" ht="15" hidden="false" customHeight="false" outlineLevel="0" collapsed="false">
      <c r="A2605" s="34"/>
      <c r="B2605" s="9"/>
      <c r="C2605" s="34"/>
      <c r="D2605" s="34"/>
      <c r="E2605" s="34"/>
      <c r="F2605" s="35"/>
      <c r="G2605" s="9"/>
      <c r="H2605" s="9"/>
      <c r="I2605" s="34"/>
      <c r="J2605" s="30" t="str">
        <f aca="false">IF(F2605="","",G2605-B2605)</f>
        <v/>
      </c>
      <c r="K2605" s="31" t="str">
        <f aca="false">IF(F2605="","",IF(H2605&lt;&gt;"",H2605,MAX('Vade Sapması'!$D$3,G2605)))</f>
        <v/>
      </c>
      <c r="L2605" s="30" t="str">
        <f aca="false">IF(F2605="","",K2605-B2605)</f>
        <v/>
      </c>
      <c r="M2605" s="30" t="str">
        <f aca="false">IF(F2605="","",L2605-J2605)</f>
        <v/>
      </c>
      <c r="N2605" s="32" t="str">
        <f aca="false">IF(F2605="","",IF(H2605&lt;&gt;"","Kapandı",IF('Vade Sapması'!$D$3&gt;G2605,"Açık · vadesi geçti","Açık · vadesi gelmedi")))</f>
        <v/>
      </c>
      <c r="O2605" s="30" t="str">
        <f aca="false">IF(F2605="","",IF(AND(H2605="",'Vade Sapması'!$D$3&gt;G2605),'Vade Sapması'!$D$3-G2605,0))</f>
        <v/>
      </c>
      <c r="P2605" s="33" t="str">
        <f aca="false">IF(F2605="","",F2605*J2605)</f>
        <v/>
      </c>
      <c r="Q2605" s="33" t="str">
        <f aca="false">IF(F2605="","",F2605*L2605)</f>
        <v/>
      </c>
      <c r="R2605" s="33" t="str">
        <f aca="false">IF(F2605="","",IF(H2605="",F2605,0))</f>
        <v/>
      </c>
      <c r="S2605" s="32" t="str">
        <f aca="false">IF(F2605="","",IF(N(O2605)=0,"",IF(O2605&lt;=30,"1-30",IF(O2605&lt;=60,"31-60",IF(O2605&lt;=90,"61-90","90+")))))</f>
        <v/>
      </c>
      <c r="T2605" s="32" t="str">
        <f aca="false">IF(F2605="","",IF(E2605="","Diğer",E2605))</f>
        <v/>
      </c>
      <c r="U2605" s="32" t="str">
        <f aca="false">IF(OR(F2605="",C2605=""),"",IF(COUNTIF($C$2:C2605,C2605)=1,MAX($U$1:U2604)+1,""))</f>
        <v/>
      </c>
    </row>
    <row r="2606" customFormat="false" ht="15" hidden="false" customHeight="false" outlineLevel="0" collapsed="false">
      <c r="A2606" s="34"/>
      <c r="B2606" s="9"/>
      <c r="C2606" s="34"/>
      <c r="D2606" s="34"/>
      <c r="E2606" s="34"/>
      <c r="F2606" s="35"/>
      <c r="G2606" s="9"/>
      <c r="H2606" s="9"/>
      <c r="I2606" s="34"/>
      <c r="J2606" s="30" t="str">
        <f aca="false">IF(F2606="","",G2606-B2606)</f>
        <v/>
      </c>
      <c r="K2606" s="31" t="str">
        <f aca="false">IF(F2606="","",IF(H2606&lt;&gt;"",H2606,MAX('Vade Sapması'!$D$3,G2606)))</f>
        <v/>
      </c>
      <c r="L2606" s="30" t="str">
        <f aca="false">IF(F2606="","",K2606-B2606)</f>
        <v/>
      </c>
      <c r="M2606" s="30" t="str">
        <f aca="false">IF(F2606="","",L2606-J2606)</f>
        <v/>
      </c>
      <c r="N2606" s="32" t="str">
        <f aca="false">IF(F2606="","",IF(H2606&lt;&gt;"","Kapandı",IF('Vade Sapması'!$D$3&gt;G2606,"Açık · vadesi geçti","Açık · vadesi gelmedi")))</f>
        <v/>
      </c>
      <c r="O2606" s="30" t="str">
        <f aca="false">IF(F2606="","",IF(AND(H2606="",'Vade Sapması'!$D$3&gt;G2606),'Vade Sapması'!$D$3-G2606,0))</f>
        <v/>
      </c>
      <c r="P2606" s="33" t="str">
        <f aca="false">IF(F2606="","",F2606*J2606)</f>
        <v/>
      </c>
      <c r="Q2606" s="33" t="str">
        <f aca="false">IF(F2606="","",F2606*L2606)</f>
        <v/>
      </c>
      <c r="R2606" s="33" t="str">
        <f aca="false">IF(F2606="","",IF(H2606="",F2606,0))</f>
        <v/>
      </c>
      <c r="S2606" s="32" t="str">
        <f aca="false">IF(F2606="","",IF(N(O2606)=0,"",IF(O2606&lt;=30,"1-30",IF(O2606&lt;=60,"31-60",IF(O2606&lt;=90,"61-90","90+")))))</f>
        <v/>
      </c>
      <c r="T2606" s="32" t="str">
        <f aca="false">IF(F2606="","",IF(E2606="","Diğer",E2606))</f>
        <v/>
      </c>
      <c r="U2606" s="32" t="str">
        <f aca="false">IF(OR(F2606="",C2606=""),"",IF(COUNTIF($C$2:C2606,C2606)=1,MAX($U$1:U2605)+1,""))</f>
        <v/>
      </c>
    </row>
    <row r="2607" customFormat="false" ht="15" hidden="false" customHeight="false" outlineLevel="0" collapsed="false">
      <c r="A2607" s="34"/>
      <c r="B2607" s="9"/>
      <c r="C2607" s="34"/>
      <c r="D2607" s="34"/>
      <c r="E2607" s="34"/>
      <c r="F2607" s="35"/>
      <c r="G2607" s="9"/>
      <c r="H2607" s="9"/>
      <c r="I2607" s="34"/>
      <c r="J2607" s="30" t="str">
        <f aca="false">IF(F2607="","",G2607-B2607)</f>
        <v/>
      </c>
      <c r="K2607" s="31" t="str">
        <f aca="false">IF(F2607="","",IF(H2607&lt;&gt;"",H2607,MAX('Vade Sapması'!$D$3,G2607)))</f>
        <v/>
      </c>
      <c r="L2607" s="30" t="str">
        <f aca="false">IF(F2607="","",K2607-B2607)</f>
        <v/>
      </c>
      <c r="M2607" s="30" t="str">
        <f aca="false">IF(F2607="","",L2607-J2607)</f>
        <v/>
      </c>
      <c r="N2607" s="32" t="str">
        <f aca="false">IF(F2607="","",IF(H2607&lt;&gt;"","Kapandı",IF('Vade Sapması'!$D$3&gt;G2607,"Açık · vadesi geçti","Açık · vadesi gelmedi")))</f>
        <v/>
      </c>
      <c r="O2607" s="30" t="str">
        <f aca="false">IF(F2607="","",IF(AND(H2607="",'Vade Sapması'!$D$3&gt;G2607),'Vade Sapması'!$D$3-G2607,0))</f>
        <v/>
      </c>
      <c r="P2607" s="33" t="str">
        <f aca="false">IF(F2607="","",F2607*J2607)</f>
        <v/>
      </c>
      <c r="Q2607" s="33" t="str">
        <f aca="false">IF(F2607="","",F2607*L2607)</f>
        <v/>
      </c>
      <c r="R2607" s="33" t="str">
        <f aca="false">IF(F2607="","",IF(H2607="",F2607,0))</f>
        <v/>
      </c>
      <c r="S2607" s="32" t="str">
        <f aca="false">IF(F2607="","",IF(N(O2607)=0,"",IF(O2607&lt;=30,"1-30",IF(O2607&lt;=60,"31-60",IF(O2607&lt;=90,"61-90","90+")))))</f>
        <v/>
      </c>
      <c r="T2607" s="32" t="str">
        <f aca="false">IF(F2607="","",IF(E2607="","Diğer",E2607))</f>
        <v/>
      </c>
      <c r="U2607" s="32" t="str">
        <f aca="false">IF(OR(F2607="",C2607=""),"",IF(COUNTIF($C$2:C2607,C2607)=1,MAX($U$1:U2606)+1,""))</f>
        <v/>
      </c>
    </row>
    <row r="2608" customFormat="false" ht="15" hidden="false" customHeight="false" outlineLevel="0" collapsed="false">
      <c r="A2608" s="34"/>
      <c r="B2608" s="9"/>
      <c r="C2608" s="34"/>
      <c r="D2608" s="34"/>
      <c r="E2608" s="34"/>
      <c r="F2608" s="35"/>
      <c r="G2608" s="9"/>
      <c r="H2608" s="9"/>
      <c r="I2608" s="34"/>
      <c r="J2608" s="30" t="str">
        <f aca="false">IF(F2608="","",G2608-B2608)</f>
        <v/>
      </c>
      <c r="K2608" s="31" t="str">
        <f aca="false">IF(F2608="","",IF(H2608&lt;&gt;"",H2608,MAX('Vade Sapması'!$D$3,G2608)))</f>
        <v/>
      </c>
      <c r="L2608" s="30" t="str">
        <f aca="false">IF(F2608="","",K2608-B2608)</f>
        <v/>
      </c>
      <c r="M2608" s="30" t="str">
        <f aca="false">IF(F2608="","",L2608-J2608)</f>
        <v/>
      </c>
      <c r="N2608" s="32" t="str">
        <f aca="false">IF(F2608="","",IF(H2608&lt;&gt;"","Kapandı",IF('Vade Sapması'!$D$3&gt;G2608,"Açık · vadesi geçti","Açık · vadesi gelmedi")))</f>
        <v/>
      </c>
      <c r="O2608" s="30" t="str">
        <f aca="false">IF(F2608="","",IF(AND(H2608="",'Vade Sapması'!$D$3&gt;G2608),'Vade Sapması'!$D$3-G2608,0))</f>
        <v/>
      </c>
      <c r="P2608" s="33" t="str">
        <f aca="false">IF(F2608="","",F2608*J2608)</f>
        <v/>
      </c>
      <c r="Q2608" s="33" t="str">
        <f aca="false">IF(F2608="","",F2608*L2608)</f>
        <v/>
      </c>
      <c r="R2608" s="33" t="str">
        <f aca="false">IF(F2608="","",IF(H2608="",F2608,0))</f>
        <v/>
      </c>
      <c r="S2608" s="32" t="str">
        <f aca="false">IF(F2608="","",IF(N(O2608)=0,"",IF(O2608&lt;=30,"1-30",IF(O2608&lt;=60,"31-60",IF(O2608&lt;=90,"61-90","90+")))))</f>
        <v/>
      </c>
      <c r="T2608" s="32" t="str">
        <f aca="false">IF(F2608="","",IF(E2608="","Diğer",E2608))</f>
        <v/>
      </c>
      <c r="U2608" s="32" t="str">
        <f aca="false">IF(OR(F2608="",C2608=""),"",IF(COUNTIF($C$2:C2608,C2608)=1,MAX($U$1:U2607)+1,""))</f>
        <v/>
      </c>
    </row>
    <row r="2609" customFormat="false" ht="15" hidden="false" customHeight="false" outlineLevel="0" collapsed="false">
      <c r="A2609" s="34"/>
      <c r="B2609" s="9"/>
      <c r="C2609" s="34"/>
      <c r="D2609" s="34"/>
      <c r="E2609" s="34"/>
      <c r="F2609" s="35"/>
      <c r="G2609" s="9"/>
      <c r="H2609" s="9"/>
      <c r="I2609" s="34"/>
      <c r="J2609" s="30" t="str">
        <f aca="false">IF(F2609="","",G2609-B2609)</f>
        <v/>
      </c>
      <c r="K2609" s="31" t="str">
        <f aca="false">IF(F2609="","",IF(H2609&lt;&gt;"",H2609,MAX('Vade Sapması'!$D$3,G2609)))</f>
        <v/>
      </c>
      <c r="L2609" s="30" t="str">
        <f aca="false">IF(F2609="","",K2609-B2609)</f>
        <v/>
      </c>
      <c r="M2609" s="30" t="str">
        <f aca="false">IF(F2609="","",L2609-J2609)</f>
        <v/>
      </c>
      <c r="N2609" s="32" t="str">
        <f aca="false">IF(F2609="","",IF(H2609&lt;&gt;"","Kapandı",IF('Vade Sapması'!$D$3&gt;G2609,"Açık · vadesi geçti","Açık · vadesi gelmedi")))</f>
        <v/>
      </c>
      <c r="O2609" s="30" t="str">
        <f aca="false">IF(F2609="","",IF(AND(H2609="",'Vade Sapması'!$D$3&gt;G2609),'Vade Sapması'!$D$3-G2609,0))</f>
        <v/>
      </c>
      <c r="P2609" s="33" t="str">
        <f aca="false">IF(F2609="","",F2609*J2609)</f>
        <v/>
      </c>
      <c r="Q2609" s="33" t="str">
        <f aca="false">IF(F2609="","",F2609*L2609)</f>
        <v/>
      </c>
      <c r="R2609" s="33" t="str">
        <f aca="false">IF(F2609="","",IF(H2609="",F2609,0))</f>
        <v/>
      </c>
      <c r="S2609" s="32" t="str">
        <f aca="false">IF(F2609="","",IF(N(O2609)=0,"",IF(O2609&lt;=30,"1-30",IF(O2609&lt;=60,"31-60",IF(O2609&lt;=90,"61-90","90+")))))</f>
        <v/>
      </c>
      <c r="T2609" s="32" t="str">
        <f aca="false">IF(F2609="","",IF(E2609="","Diğer",E2609))</f>
        <v/>
      </c>
      <c r="U2609" s="32" t="str">
        <f aca="false">IF(OR(F2609="",C2609=""),"",IF(COUNTIF($C$2:C2609,C2609)=1,MAX($U$1:U2608)+1,""))</f>
        <v/>
      </c>
    </row>
    <row r="2610" customFormat="false" ht="15" hidden="false" customHeight="false" outlineLevel="0" collapsed="false">
      <c r="A2610" s="34"/>
      <c r="B2610" s="9"/>
      <c r="C2610" s="34"/>
      <c r="D2610" s="34"/>
      <c r="E2610" s="34"/>
      <c r="F2610" s="35"/>
      <c r="G2610" s="9"/>
      <c r="H2610" s="9"/>
      <c r="I2610" s="34"/>
      <c r="J2610" s="30" t="str">
        <f aca="false">IF(F2610="","",G2610-B2610)</f>
        <v/>
      </c>
      <c r="K2610" s="31" t="str">
        <f aca="false">IF(F2610="","",IF(H2610&lt;&gt;"",H2610,MAX('Vade Sapması'!$D$3,G2610)))</f>
        <v/>
      </c>
      <c r="L2610" s="30" t="str">
        <f aca="false">IF(F2610="","",K2610-B2610)</f>
        <v/>
      </c>
      <c r="M2610" s="30" t="str">
        <f aca="false">IF(F2610="","",L2610-J2610)</f>
        <v/>
      </c>
      <c r="N2610" s="32" t="str">
        <f aca="false">IF(F2610="","",IF(H2610&lt;&gt;"","Kapandı",IF('Vade Sapması'!$D$3&gt;G2610,"Açık · vadesi geçti","Açık · vadesi gelmedi")))</f>
        <v/>
      </c>
      <c r="O2610" s="30" t="str">
        <f aca="false">IF(F2610="","",IF(AND(H2610="",'Vade Sapması'!$D$3&gt;G2610),'Vade Sapması'!$D$3-G2610,0))</f>
        <v/>
      </c>
      <c r="P2610" s="33" t="str">
        <f aca="false">IF(F2610="","",F2610*J2610)</f>
        <v/>
      </c>
      <c r="Q2610" s="33" t="str">
        <f aca="false">IF(F2610="","",F2610*L2610)</f>
        <v/>
      </c>
      <c r="R2610" s="33" t="str">
        <f aca="false">IF(F2610="","",IF(H2610="",F2610,0))</f>
        <v/>
      </c>
      <c r="S2610" s="32" t="str">
        <f aca="false">IF(F2610="","",IF(N(O2610)=0,"",IF(O2610&lt;=30,"1-30",IF(O2610&lt;=60,"31-60",IF(O2610&lt;=90,"61-90","90+")))))</f>
        <v/>
      </c>
      <c r="T2610" s="32" t="str">
        <f aca="false">IF(F2610="","",IF(E2610="","Diğer",E2610))</f>
        <v/>
      </c>
      <c r="U2610" s="32" t="str">
        <f aca="false">IF(OR(F2610="",C2610=""),"",IF(COUNTIF($C$2:C2610,C2610)=1,MAX($U$1:U2609)+1,""))</f>
        <v/>
      </c>
    </row>
    <row r="2611" customFormat="false" ht="15" hidden="false" customHeight="false" outlineLevel="0" collapsed="false">
      <c r="A2611" s="34"/>
      <c r="B2611" s="9"/>
      <c r="C2611" s="34"/>
      <c r="D2611" s="34"/>
      <c r="E2611" s="34"/>
      <c r="F2611" s="35"/>
      <c r="G2611" s="9"/>
      <c r="H2611" s="9"/>
      <c r="I2611" s="34"/>
      <c r="J2611" s="30" t="str">
        <f aca="false">IF(F2611="","",G2611-B2611)</f>
        <v/>
      </c>
      <c r="K2611" s="31" t="str">
        <f aca="false">IF(F2611="","",IF(H2611&lt;&gt;"",H2611,MAX('Vade Sapması'!$D$3,G2611)))</f>
        <v/>
      </c>
      <c r="L2611" s="30" t="str">
        <f aca="false">IF(F2611="","",K2611-B2611)</f>
        <v/>
      </c>
      <c r="M2611" s="30" t="str">
        <f aca="false">IF(F2611="","",L2611-J2611)</f>
        <v/>
      </c>
      <c r="N2611" s="32" t="str">
        <f aca="false">IF(F2611="","",IF(H2611&lt;&gt;"","Kapandı",IF('Vade Sapması'!$D$3&gt;G2611,"Açık · vadesi geçti","Açık · vadesi gelmedi")))</f>
        <v/>
      </c>
      <c r="O2611" s="30" t="str">
        <f aca="false">IF(F2611="","",IF(AND(H2611="",'Vade Sapması'!$D$3&gt;G2611),'Vade Sapması'!$D$3-G2611,0))</f>
        <v/>
      </c>
      <c r="P2611" s="33" t="str">
        <f aca="false">IF(F2611="","",F2611*J2611)</f>
        <v/>
      </c>
      <c r="Q2611" s="33" t="str">
        <f aca="false">IF(F2611="","",F2611*L2611)</f>
        <v/>
      </c>
      <c r="R2611" s="33" t="str">
        <f aca="false">IF(F2611="","",IF(H2611="",F2611,0))</f>
        <v/>
      </c>
      <c r="S2611" s="32" t="str">
        <f aca="false">IF(F2611="","",IF(N(O2611)=0,"",IF(O2611&lt;=30,"1-30",IF(O2611&lt;=60,"31-60",IF(O2611&lt;=90,"61-90","90+")))))</f>
        <v/>
      </c>
      <c r="T2611" s="32" t="str">
        <f aca="false">IF(F2611="","",IF(E2611="","Diğer",E2611))</f>
        <v/>
      </c>
      <c r="U2611" s="32" t="str">
        <f aca="false">IF(OR(F2611="",C2611=""),"",IF(COUNTIF($C$2:C2611,C2611)=1,MAX($U$1:U2610)+1,""))</f>
        <v/>
      </c>
    </row>
    <row r="2612" customFormat="false" ht="15" hidden="false" customHeight="false" outlineLevel="0" collapsed="false">
      <c r="A2612" s="34"/>
      <c r="B2612" s="9"/>
      <c r="C2612" s="34"/>
      <c r="D2612" s="34"/>
      <c r="E2612" s="34"/>
      <c r="F2612" s="35"/>
      <c r="G2612" s="9"/>
      <c r="H2612" s="9"/>
      <c r="I2612" s="34"/>
      <c r="J2612" s="30" t="str">
        <f aca="false">IF(F2612="","",G2612-B2612)</f>
        <v/>
      </c>
      <c r="K2612" s="31" t="str">
        <f aca="false">IF(F2612="","",IF(H2612&lt;&gt;"",H2612,MAX('Vade Sapması'!$D$3,G2612)))</f>
        <v/>
      </c>
      <c r="L2612" s="30" t="str">
        <f aca="false">IF(F2612="","",K2612-B2612)</f>
        <v/>
      </c>
      <c r="M2612" s="30" t="str">
        <f aca="false">IF(F2612="","",L2612-J2612)</f>
        <v/>
      </c>
      <c r="N2612" s="32" t="str">
        <f aca="false">IF(F2612="","",IF(H2612&lt;&gt;"","Kapandı",IF('Vade Sapması'!$D$3&gt;G2612,"Açık · vadesi geçti","Açık · vadesi gelmedi")))</f>
        <v/>
      </c>
      <c r="O2612" s="30" t="str">
        <f aca="false">IF(F2612="","",IF(AND(H2612="",'Vade Sapması'!$D$3&gt;G2612),'Vade Sapması'!$D$3-G2612,0))</f>
        <v/>
      </c>
      <c r="P2612" s="33" t="str">
        <f aca="false">IF(F2612="","",F2612*J2612)</f>
        <v/>
      </c>
      <c r="Q2612" s="33" t="str">
        <f aca="false">IF(F2612="","",F2612*L2612)</f>
        <v/>
      </c>
      <c r="R2612" s="33" t="str">
        <f aca="false">IF(F2612="","",IF(H2612="",F2612,0))</f>
        <v/>
      </c>
      <c r="S2612" s="32" t="str">
        <f aca="false">IF(F2612="","",IF(N(O2612)=0,"",IF(O2612&lt;=30,"1-30",IF(O2612&lt;=60,"31-60",IF(O2612&lt;=90,"61-90","90+")))))</f>
        <v/>
      </c>
      <c r="T2612" s="32" t="str">
        <f aca="false">IF(F2612="","",IF(E2612="","Diğer",E2612))</f>
        <v/>
      </c>
      <c r="U2612" s="32" t="str">
        <f aca="false">IF(OR(F2612="",C2612=""),"",IF(COUNTIF($C$2:C2612,C2612)=1,MAX($U$1:U2611)+1,""))</f>
        <v/>
      </c>
    </row>
    <row r="2613" customFormat="false" ht="15" hidden="false" customHeight="false" outlineLevel="0" collapsed="false">
      <c r="A2613" s="34"/>
      <c r="B2613" s="9"/>
      <c r="C2613" s="34"/>
      <c r="D2613" s="34"/>
      <c r="E2613" s="34"/>
      <c r="F2613" s="35"/>
      <c r="G2613" s="9"/>
      <c r="H2613" s="9"/>
      <c r="I2613" s="34"/>
      <c r="J2613" s="30" t="str">
        <f aca="false">IF(F2613="","",G2613-B2613)</f>
        <v/>
      </c>
      <c r="K2613" s="31" t="str">
        <f aca="false">IF(F2613="","",IF(H2613&lt;&gt;"",H2613,MAX('Vade Sapması'!$D$3,G2613)))</f>
        <v/>
      </c>
      <c r="L2613" s="30" t="str">
        <f aca="false">IF(F2613="","",K2613-B2613)</f>
        <v/>
      </c>
      <c r="M2613" s="30" t="str">
        <f aca="false">IF(F2613="","",L2613-J2613)</f>
        <v/>
      </c>
      <c r="N2613" s="32" t="str">
        <f aca="false">IF(F2613="","",IF(H2613&lt;&gt;"","Kapandı",IF('Vade Sapması'!$D$3&gt;G2613,"Açık · vadesi geçti","Açık · vadesi gelmedi")))</f>
        <v/>
      </c>
      <c r="O2613" s="30" t="str">
        <f aca="false">IF(F2613="","",IF(AND(H2613="",'Vade Sapması'!$D$3&gt;G2613),'Vade Sapması'!$D$3-G2613,0))</f>
        <v/>
      </c>
      <c r="P2613" s="33" t="str">
        <f aca="false">IF(F2613="","",F2613*J2613)</f>
        <v/>
      </c>
      <c r="Q2613" s="33" t="str">
        <f aca="false">IF(F2613="","",F2613*L2613)</f>
        <v/>
      </c>
      <c r="R2613" s="33" t="str">
        <f aca="false">IF(F2613="","",IF(H2613="",F2613,0))</f>
        <v/>
      </c>
      <c r="S2613" s="32" t="str">
        <f aca="false">IF(F2613="","",IF(N(O2613)=0,"",IF(O2613&lt;=30,"1-30",IF(O2613&lt;=60,"31-60",IF(O2613&lt;=90,"61-90","90+")))))</f>
        <v/>
      </c>
      <c r="T2613" s="32" t="str">
        <f aca="false">IF(F2613="","",IF(E2613="","Diğer",E2613))</f>
        <v/>
      </c>
      <c r="U2613" s="32" t="str">
        <f aca="false">IF(OR(F2613="",C2613=""),"",IF(COUNTIF($C$2:C2613,C2613)=1,MAX($U$1:U2612)+1,""))</f>
        <v/>
      </c>
    </row>
    <row r="2614" customFormat="false" ht="15" hidden="false" customHeight="false" outlineLevel="0" collapsed="false">
      <c r="A2614" s="34"/>
      <c r="B2614" s="9"/>
      <c r="C2614" s="34"/>
      <c r="D2614" s="34"/>
      <c r="E2614" s="34"/>
      <c r="F2614" s="35"/>
      <c r="G2614" s="9"/>
      <c r="H2614" s="9"/>
      <c r="I2614" s="34"/>
      <c r="J2614" s="30" t="str">
        <f aca="false">IF(F2614="","",G2614-B2614)</f>
        <v/>
      </c>
      <c r="K2614" s="31" t="str">
        <f aca="false">IF(F2614="","",IF(H2614&lt;&gt;"",H2614,MAX('Vade Sapması'!$D$3,G2614)))</f>
        <v/>
      </c>
      <c r="L2614" s="30" t="str">
        <f aca="false">IF(F2614="","",K2614-B2614)</f>
        <v/>
      </c>
      <c r="M2614" s="30" t="str">
        <f aca="false">IF(F2614="","",L2614-J2614)</f>
        <v/>
      </c>
      <c r="N2614" s="32" t="str">
        <f aca="false">IF(F2614="","",IF(H2614&lt;&gt;"","Kapandı",IF('Vade Sapması'!$D$3&gt;G2614,"Açık · vadesi geçti","Açık · vadesi gelmedi")))</f>
        <v/>
      </c>
      <c r="O2614" s="30" t="str">
        <f aca="false">IF(F2614="","",IF(AND(H2614="",'Vade Sapması'!$D$3&gt;G2614),'Vade Sapması'!$D$3-G2614,0))</f>
        <v/>
      </c>
      <c r="P2614" s="33" t="str">
        <f aca="false">IF(F2614="","",F2614*J2614)</f>
        <v/>
      </c>
      <c r="Q2614" s="33" t="str">
        <f aca="false">IF(F2614="","",F2614*L2614)</f>
        <v/>
      </c>
      <c r="R2614" s="33" t="str">
        <f aca="false">IF(F2614="","",IF(H2614="",F2614,0))</f>
        <v/>
      </c>
      <c r="S2614" s="32" t="str">
        <f aca="false">IF(F2614="","",IF(N(O2614)=0,"",IF(O2614&lt;=30,"1-30",IF(O2614&lt;=60,"31-60",IF(O2614&lt;=90,"61-90","90+")))))</f>
        <v/>
      </c>
      <c r="T2614" s="32" t="str">
        <f aca="false">IF(F2614="","",IF(E2614="","Diğer",E2614))</f>
        <v/>
      </c>
      <c r="U2614" s="32" t="str">
        <f aca="false">IF(OR(F2614="",C2614=""),"",IF(COUNTIF($C$2:C2614,C2614)=1,MAX($U$1:U2613)+1,""))</f>
        <v/>
      </c>
    </row>
    <row r="2615" customFormat="false" ht="15" hidden="false" customHeight="false" outlineLevel="0" collapsed="false">
      <c r="A2615" s="34"/>
      <c r="B2615" s="9"/>
      <c r="C2615" s="34"/>
      <c r="D2615" s="34"/>
      <c r="E2615" s="34"/>
      <c r="F2615" s="35"/>
      <c r="G2615" s="9"/>
      <c r="H2615" s="9"/>
      <c r="I2615" s="34"/>
      <c r="J2615" s="30" t="str">
        <f aca="false">IF(F2615="","",G2615-B2615)</f>
        <v/>
      </c>
      <c r="K2615" s="31" t="str">
        <f aca="false">IF(F2615="","",IF(H2615&lt;&gt;"",H2615,MAX('Vade Sapması'!$D$3,G2615)))</f>
        <v/>
      </c>
      <c r="L2615" s="30" t="str">
        <f aca="false">IF(F2615="","",K2615-B2615)</f>
        <v/>
      </c>
      <c r="M2615" s="30" t="str">
        <f aca="false">IF(F2615="","",L2615-J2615)</f>
        <v/>
      </c>
      <c r="N2615" s="32" t="str">
        <f aca="false">IF(F2615="","",IF(H2615&lt;&gt;"","Kapandı",IF('Vade Sapması'!$D$3&gt;G2615,"Açık · vadesi geçti","Açık · vadesi gelmedi")))</f>
        <v/>
      </c>
      <c r="O2615" s="30" t="str">
        <f aca="false">IF(F2615="","",IF(AND(H2615="",'Vade Sapması'!$D$3&gt;G2615),'Vade Sapması'!$D$3-G2615,0))</f>
        <v/>
      </c>
      <c r="P2615" s="33" t="str">
        <f aca="false">IF(F2615="","",F2615*J2615)</f>
        <v/>
      </c>
      <c r="Q2615" s="33" t="str">
        <f aca="false">IF(F2615="","",F2615*L2615)</f>
        <v/>
      </c>
      <c r="R2615" s="33" t="str">
        <f aca="false">IF(F2615="","",IF(H2615="",F2615,0))</f>
        <v/>
      </c>
      <c r="S2615" s="32" t="str">
        <f aca="false">IF(F2615="","",IF(N(O2615)=0,"",IF(O2615&lt;=30,"1-30",IF(O2615&lt;=60,"31-60",IF(O2615&lt;=90,"61-90","90+")))))</f>
        <v/>
      </c>
      <c r="T2615" s="32" t="str">
        <f aca="false">IF(F2615="","",IF(E2615="","Diğer",E2615))</f>
        <v/>
      </c>
      <c r="U2615" s="32" t="str">
        <f aca="false">IF(OR(F2615="",C2615=""),"",IF(COUNTIF($C$2:C2615,C2615)=1,MAX($U$1:U2614)+1,""))</f>
        <v/>
      </c>
    </row>
    <row r="2616" customFormat="false" ht="15" hidden="false" customHeight="false" outlineLevel="0" collapsed="false">
      <c r="A2616" s="34"/>
      <c r="B2616" s="9"/>
      <c r="C2616" s="34"/>
      <c r="D2616" s="34"/>
      <c r="E2616" s="34"/>
      <c r="F2616" s="35"/>
      <c r="G2616" s="9"/>
      <c r="H2616" s="9"/>
      <c r="I2616" s="34"/>
      <c r="J2616" s="30" t="str">
        <f aca="false">IF(F2616="","",G2616-B2616)</f>
        <v/>
      </c>
      <c r="K2616" s="31" t="str">
        <f aca="false">IF(F2616="","",IF(H2616&lt;&gt;"",H2616,MAX('Vade Sapması'!$D$3,G2616)))</f>
        <v/>
      </c>
      <c r="L2616" s="30" t="str">
        <f aca="false">IF(F2616="","",K2616-B2616)</f>
        <v/>
      </c>
      <c r="M2616" s="30" t="str">
        <f aca="false">IF(F2616="","",L2616-J2616)</f>
        <v/>
      </c>
      <c r="N2616" s="32" t="str">
        <f aca="false">IF(F2616="","",IF(H2616&lt;&gt;"","Kapandı",IF('Vade Sapması'!$D$3&gt;G2616,"Açık · vadesi geçti","Açık · vadesi gelmedi")))</f>
        <v/>
      </c>
      <c r="O2616" s="30" t="str">
        <f aca="false">IF(F2616="","",IF(AND(H2616="",'Vade Sapması'!$D$3&gt;G2616),'Vade Sapması'!$D$3-G2616,0))</f>
        <v/>
      </c>
      <c r="P2616" s="33" t="str">
        <f aca="false">IF(F2616="","",F2616*J2616)</f>
        <v/>
      </c>
      <c r="Q2616" s="33" t="str">
        <f aca="false">IF(F2616="","",F2616*L2616)</f>
        <v/>
      </c>
      <c r="R2616" s="33" t="str">
        <f aca="false">IF(F2616="","",IF(H2616="",F2616,0))</f>
        <v/>
      </c>
      <c r="S2616" s="32" t="str">
        <f aca="false">IF(F2616="","",IF(N(O2616)=0,"",IF(O2616&lt;=30,"1-30",IF(O2616&lt;=60,"31-60",IF(O2616&lt;=90,"61-90","90+")))))</f>
        <v/>
      </c>
      <c r="T2616" s="32" t="str">
        <f aca="false">IF(F2616="","",IF(E2616="","Diğer",E2616))</f>
        <v/>
      </c>
      <c r="U2616" s="32" t="str">
        <f aca="false">IF(OR(F2616="",C2616=""),"",IF(COUNTIF($C$2:C2616,C2616)=1,MAX($U$1:U2615)+1,""))</f>
        <v/>
      </c>
    </row>
    <row r="2617" customFormat="false" ht="15" hidden="false" customHeight="false" outlineLevel="0" collapsed="false">
      <c r="A2617" s="34"/>
      <c r="B2617" s="9"/>
      <c r="C2617" s="34"/>
      <c r="D2617" s="34"/>
      <c r="E2617" s="34"/>
      <c r="F2617" s="35"/>
      <c r="G2617" s="9"/>
      <c r="H2617" s="9"/>
      <c r="I2617" s="34"/>
      <c r="J2617" s="30" t="str">
        <f aca="false">IF(F2617="","",G2617-B2617)</f>
        <v/>
      </c>
      <c r="K2617" s="31" t="str">
        <f aca="false">IF(F2617="","",IF(H2617&lt;&gt;"",H2617,MAX('Vade Sapması'!$D$3,G2617)))</f>
        <v/>
      </c>
      <c r="L2617" s="30" t="str">
        <f aca="false">IF(F2617="","",K2617-B2617)</f>
        <v/>
      </c>
      <c r="M2617" s="30" t="str">
        <f aca="false">IF(F2617="","",L2617-J2617)</f>
        <v/>
      </c>
      <c r="N2617" s="32" t="str">
        <f aca="false">IF(F2617="","",IF(H2617&lt;&gt;"","Kapandı",IF('Vade Sapması'!$D$3&gt;G2617,"Açık · vadesi geçti","Açık · vadesi gelmedi")))</f>
        <v/>
      </c>
      <c r="O2617" s="30" t="str">
        <f aca="false">IF(F2617="","",IF(AND(H2617="",'Vade Sapması'!$D$3&gt;G2617),'Vade Sapması'!$D$3-G2617,0))</f>
        <v/>
      </c>
      <c r="P2617" s="33" t="str">
        <f aca="false">IF(F2617="","",F2617*J2617)</f>
        <v/>
      </c>
      <c r="Q2617" s="33" t="str">
        <f aca="false">IF(F2617="","",F2617*L2617)</f>
        <v/>
      </c>
      <c r="R2617" s="33" t="str">
        <f aca="false">IF(F2617="","",IF(H2617="",F2617,0))</f>
        <v/>
      </c>
      <c r="S2617" s="32" t="str">
        <f aca="false">IF(F2617="","",IF(N(O2617)=0,"",IF(O2617&lt;=30,"1-30",IF(O2617&lt;=60,"31-60",IF(O2617&lt;=90,"61-90","90+")))))</f>
        <v/>
      </c>
      <c r="T2617" s="32" t="str">
        <f aca="false">IF(F2617="","",IF(E2617="","Diğer",E2617))</f>
        <v/>
      </c>
      <c r="U2617" s="32" t="str">
        <f aca="false">IF(OR(F2617="",C2617=""),"",IF(COUNTIF($C$2:C2617,C2617)=1,MAX($U$1:U2616)+1,""))</f>
        <v/>
      </c>
    </row>
    <row r="2618" customFormat="false" ht="15" hidden="false" customHeight="false" outlineLevel="0" collapsed="false">
      <c r="A2618" s="34"/>
      <c r="B2618" s="9"/>
      <c r="C2618" s="34"/>
      <c r="D2618" s="34"/>
      <c r="E2618" s="34"/>
      <c r="F2618" s="35"/>
      <c r="G2618" s="9"/>
      <c r="H2618" s="9"/>
      <c r="I2618" s="34"/>
      <c r="J2618" s="30" t="str">
        <f aca="false">IF(F2618="","",G2618-B2618)</f>
        <v/>
      </c>
      <c r="K2618" s="31" t="str">
        <f aca="false">IF(F2618="","",IF(H2618&lt;&gt;"",H2618,MAX('Vade Sapması'!$D$3,G2618)))</f>
        <v/>
      </c>
      <c r="L2618" s="30" t="str">
        <f aca="false">IF(F2618="","",K2618-B2618)</f>
        <v/>
      </c>
      <c r="M2618" s="30" t="str">
        <f aca="false">IF(F2618="","",L2618-J2618)</f>
        <v/>
      </c>
      <c r="N2618" s="32" t="str">
        <f aca="false">IF(F2618="","",IF(H2618&lt;&gt;"","Kapandı",IF('Vade Sapması'!$D$3&gt;G2618,"Açık · vadesi geçti","Açık · vadesi gelmedi")))</f>
        <v/>
      </c>
      <c r="O2618" s="30" t="str">
        <f aca="false">IF(F2618="","",IF(AND(H2618="",'Vade Sapması'!$D$3&gt;G2618),'Vade Sapması'!$D$3-G2618,0))</f>
        <v/>
      </c>
      <c r="P2618" s="33" t="str">
        <f aca="false">IF(F2618="","",F2618*J2618)</f>
        <v/>
      </c>
      <c r="Q2618" s="33" t="str">
        <f aca="false">IF(F2618="","",F2618*L2618)</f>
        <v/>
      </c>
      <c r="R2618" s="33" t="str">
        <f aca="false">IF(F2618="","",IF(H2618="",F2618,0))</f>
        <v/>
      </c>
      <c r="S2618" s="32" t="str">
        <f aca="false">IF(F2618="","",IF(N(O2618)=0,"",IF(O2618&lt;=30,"1-30",IF(O2618&lt;=60,"31-60",IF(O2618&lt;=90,"61-90","90+")))))</f>
        <v/>
      </c>
      <c r="T2618" s="32" t="str">
        <f aca="false">IF(F2618="","",IF(E2618="","Diğer",E2618))</f>
        <v/>
      </c>
      <c r="U2618" s="32" t="str">
        <f aca="false">IF(OR(F2618="",C2618=""),"",IF(COUNTIF($C$2:C2618,C2618)=1,MAX($U$1:U2617)+1,""))</f>
        <v/>
      </c>
    </row>
    <row r="2619" customFormat="false" ht="15" hidden="false" customHeight="false" outlineLevel="0" collapsed="false">
      <c r="A2619" s="34"/>
      <c r="B2619" s="9"/>
      <c r="C2619" s="34"/>
      <c r="D2619" s="34"/>
      <c r="E2619" s="34"/>
      <c r="F2619" s="35"/>
      <c r="G2619" s="9"/>
      <c r="H2619" s="9"/>
      <c r="I2619" s="34"/>
      <c r="J2619" s="30" t="str">
        <f aca="false">IF(F2619="","",G2619-B2619)</f>
        <v/>
      </c>
      <c r="K2619" s="31" t="str">
        <f aca="false">IF(F2619="","",IF(H2619&lt;&gt;"",H2619,MAX('Vade Sapması'!$D$3,G2619)))</f>
        <v/>
      </c>
      <c r="L2619" s="30" t="str">
        <f aca="false">IF(F2619="","",K2619-B2619)</f>
        <v/>
      </c>
      <c r="M2619" s="30" t="str">
        <f aca="false">IF(F2619="","",L2619-J2619)</f>
        <v/>
      </c>
      <c r="N2619" s="32" t="str">
        <f aca="false">IF(F2619="","",IF(H2619&lt;&gt;"","Kapandı",IF('Vade Sapması'!$D$3&gt;G2619,"Açık · vadesi geçti","Açık · vadesi gelmedi")))</f>
        <v/>
      </c>
      <c r="O2619" s="30" t="str">
        <f aca="false">IF(F2619="","",IF(AND(H2619="",'Vade Sapması'!$D$3&gt;G2619),'Vade Sapması'!$D$3-G2619,0))</f>
        <v/>
      </c>
      <c r="P2619" s="33" t="str">
        <f aca="false">IF(F2619="","",F2619*J2619)</f>
        <v/>
      </c>
      <c r="Q2619" s="33" t="str">
        <f aca="false">IF(F2619="","",F2619*L2619)</f>
        <v/>
      </c>
      <c r="R2619" s="33" t="str">
        <f aca="false">IF(F2619="","",IF(H2619="",F2619,0))</f>
        <v/>
      </c>
      <c r="S2619" s="32" t="str">
        <f aca="false">IF(F2619="","",IF(N(O2619)=0,"",IF(O2619&lt;=30,"1-30",IF(O2619&lt;=60,"31-60",IF(O2619&lt;=90,"61-90","90+")))))</f>
        <v/>
      </c>
      <c r="T2619" s="32" t="str">
        <f aca="false">IF(F2619="","",IF(E2619="","Diğer",E2619))</f>
        <v/>
      </c>
      <c r="U2619" s="32" t="str">
        <f aca="false">IF(OR(F2619="",C2619=""),"",IF(COUNTIF($C$2:C2619,C2619)=1,MAX($U$1:U2618)+1,""))</f>
        <v/>
      </c>
    </row>
    <row r="2620" customFormat="false" ht="15" hidden="false" customHeight="false" outlineLevel="0" collapsed="false">
      <c r="A2620" s="34"/>
      <c r="B2620" s="9"/>
      <c r="C2620" s="34"/>
      <c r="D2620" s="34"/>
      <c r="E2620" s="34"/>
      <c r="F2620" s="35"/>
      <c r="G2620" s="9"/>
      <c r="H2620" s="9"/>
      <c r="I2620" s="34"/>
      <c r="J2620" s="30" t="str">
        <f aca="false">IF(F2620="","",G2620-B2620)</f>
        <v/>
      </c>
      <c r="K2620" s="31" t="str">
        <f aca="false">IF(F2620="","",IF(H2620&lt;&gt;"",H2620,MAX('Vade Sapması'!$D$3,G2620)))</f>
        <v/>
      </c>
      <c r="L2620" s="30" t="str">
        <f aca="false">IF(F2620="","",K2620-B2620)</f>
        <v/>
      </c>
      <c r="M2620" s="30" t="str">
        <f aca="false">IF(F2620="","",L2620-J2620)</f>
        <v/>
      </c>
      <c r="N2620" s="32" t="str">
        <f aca="false">IF(F2620="","",IF(H2620&lt;&gt;"","Kapandı",IF('Vade Sapması'!$D$3&gt;G2620,"Açık · vadesi geçti","Açık · vadesi gelmedi")))</f>
        <v/>
      </c>
      <c r="O2620" s="30" t="str">
        <f aca="false">IF(F2620="","",IF(AND(H2620="",'Vade Sapması'!$D$3&gt;G2620),'Vade Sapması'!$D$3-G2620,0))</f>
        <v/>
      </c>
      <c r="P2620" s="33" t="str">
        <f aca="false">IF(F2620="","",F2620*J2620)</f>
        <v/>
      </c>
      <c r="Q2620" s="33" t="str">
        <f aca="false">IF(F2620="","",F2620*L2620)</f>
        <v/>
      </c>
      <c r="R2620" s="33" t="str">
        <f aca="false">IF(F2620="","",IF(H2620="",F2620,0))</f>
        <v/>
      </c>
      <c r="S2620" s="32" t="str">
        <f aca="false">IF(F2620="","",IF(N(O2620)=0,"",IF(O2620&lt;=30,"1-30",IF(O2620&lt;=60,"31-60",IF(O2620&lt;=90,"61-90","90+")))))</f>
        <v/>
      </c>
      <c r="T2620" s="32" t="str">
        <f aca="false">IF(F2620="","",IF(E2620="","Diğer",E2620))</f>
        <v/>
      </c>
      <c r="U2620" s="32" t="str">
        <f aca="false">IF(OR(F2620="",C2620=""),"",IF(COUNTIF($C$2:C2620,C2620)=1,MAX($U$1:U2619)+1,""))</f>
        <v/>
      </c>
    </row>
    <row r="2621" customFormat="false" ht="15" hidden="false" customHeight="false" outlineLevel="0" collapsed="false">
      <c r="A2621" s="34"/>
      <c r="B2621" s="9"/>
      <c r="C2621" s="34"/>
      <c r="D2621" s="34"/>
      <c r="E2621" s="34"/>
      <c r="F2621" s="35"/>
      <c r="G2621" s="9"/>
      <c r="H2621" s="9"/>
      <c r="I2621" s="34"/>
      <c r="J2621" s="30" t="str">
        <f aca="false">IF(F2621="","",G2621-B2621)</f>
        <v/>
      </c>
      <c r="K2621" s="31" t="str">
        <f aca="false">IF(F2621="","",IF(H2621&lt;&gt;"",H2621,MAX('Vade Sapması'!$D$3,G2621)))</f>
        <v/>
      </c>
      <c r="L2621" s="30" t="str">
        <f aca="false">IF(F2621="","",K2621-B2621)</f>
        <v/>
      </c>
      <c r="M2621" s="30" t="str">
        <f aca="false">IF(F2621="","",L2621-J2621)</f>
        <v/>
      </c>
      <c r="N2621" s="32" t="str">
        <f aca="false">IF(F2621="","",IF(H2621&lt;&gt;"","Kapandı",IF('Vade Sapması'!$D$3&gt;G2621,"Açık · vadesi geçti","Açık · vadesi gelmedi")))</f>
        <v/>
      </c>
      <c r="O2621" s="30" t="str">
        <f aca="false">IF(F2621="","",IF(AND(H2621="",'Vade Sapması'!$D$3&gt;G2621),'Vade Sapması'!$D$3-G2621,0))</f>
        <v/>
      </c>
      <c r="P2621" s="33" t="str">
        <f aca="false">IF(F2621="","",F2621*J2621)</f>
        <v/>
      </c>
      <c r="Q2621" s="33" t="str">
        <f aca="false">IF(F2621="","",F2621*L2621)</f>
        <v/>
      </c>
      <c r="R2621" s="33" t="str">
        <f aca="false">IF(F2621="","",IF(H2621="",F2621,0))</f>
        <v/>
      </c>
      <c r="S2621" s="32" t="str">
        <f aca="false">IF(F2621="","",IF(N(O2621)=0,"",IF(O2621&lt;=30,"1-30",IF(O2621&lt;=60,"31-60",IF(O2621&lt;=90,"61-90","90+")))))</f>
        <v/>
      </c>
      <c r="T2621" s="32" t="str">
        <f aca="false">IF(F2621="","",IF(E2621="","Diğer",E2621))</f>
        <v/>
      </c>
      <c r="U2621" s="32" t="str">
        <f aca="false">IF(OR(F2621="",C2621=""),"",IF(COUNTIF($C$2:C2621,C2621)=1,MAX($U$1:U2620)+1,""))</f>
        <v/>
      </c>
    </row>
    <row r="2622" customFormat="false" ht="15" hidden="false" customHeight="false" outlineLevel="0" collapsed="false">
      <c r="A2622" s="34"/>
      <c r="B2622" s="9"/>
      <c r="C2622" s="34"/>
      <c r="D2622" s="34"/>
      <c r="E2622" s="34"/>
      <c r="F2622" s="35"/>
      <c r="G2622" s="9"/>
      <c r="H2622" s="9"/>
      <c r="I2622" s="34"/>
      <c r="J2622" s="30" t="str">
        <f aca="false">IF(F2622="","",G2622-B2622)</f>
        <v/>
      </c>
      <c r="K2622" s="31" t="str">
        <f aca="false">IF(F2622="","",IF(H2622&lt;&gt;"",H2622,MAX('Vade Sapması'!$D$3,G2622)))</f>
        <v/>
      </c>
      <c r="L2622" s="30" t="str">
        <f aca="false">IF(F2622="","",K2622-B2622)</f>
        <v/>
      </c>
      <c r="M2622" s="30" t="str">
        <f aca="false">IF(F2622="","",L2622-J2622)</f>
        <v/>
      </c>
      <c r="N2622" s="32" t="str">
        <f aca="false">IF(F2622="","",IF(H2622&lt;&gt;"","Kapandı",IF('Vade Sapması'!$D$3&gt;G2622,"Açık · vadesi geçti","Açık · vadesi gelmedi")))</f>
        <v/>
      </c>
      <c r="O2622" s="30" t="str">
        <f aca="false">IF(F2622="","",IF(AND(H2622="",'Vade Sapması'!$D$3&gt;G2622),'Vade Sapması'!$D$3-G2622,0))</f>
        <v/>
      </c>
      <c r="P2622" s="33" t="str">
        <f aca="false">IF(F2622="","",F2622*J2622)</f>
        <v/>
      </c>
      <c r="Q2622" s="33" t="str">
        <f aca="false">IF(F2622="","",F2622*L2622)</f>
        <v/>
      </c>
      <c r="R2622" s="33" t="str">
        <f aca="false">IF(F2622="","",IF(H2622="",F2622,0))</f>
        <v/>
      </c>
      <c r="S2622" s="32" t="str">
        <f aca="false">IF(F2622="","",IF(N(O2622)=0,"",IF(O2622&lt;=30,"1-30",IF(O2622&lt;=60,"31-60",IF(O2622&lt;=90,"61-90","90+")))))</f>
        <v/>
      </c>
      <c r="T2622" s="32" t="str">
        <f aca="false">IF(F2622="","",IF(E2622="","Diğer",E2622))</f>
        <v/>
      </c>
      <c r="U2622" s="32" t="str">
        <f aca="false">IF(OR(F2622="",C2622=""),"",IF(COUNTIF($C$2:C2622,C2622)=1,MAX($U$1:U2621)+1,""))</f>
        <v/>
      </c>
    </row>
    <row r="2623" customFormat="false" ht="15" hidden="false" customHeight="false" outlineLevel="0" collapsed="false">
      <c r="A2623" s="34"/>
      <c r="B2623" s="9"/>
      <c r="C2623" s="34"/>
      <c r="D2623" s="34"/>
      <c r="E2623" s="34"/>
      <c r="F2623" s="35"/>
      <c r="G2623" s="9"/>
      <c r="H2623" s="9"/>
      <c r="I2623" s="34"/>
      <c r="J2623" s="30" t="str">
        <f aca="false">IF(F2623="","",G2623-B2623)</f>
        <v/>
      </c>
      <c r="K2623" s="31" t="str">
        <f aca="false">IF(F2623="","",IF(H2623&lt;&gt;"",H2623,MAX('Vade Sapması'!$D$3,G2623)))</f>
        <v/>
      </c>
      <c r="L2623" s="30" t="str">
        <f aca="false">IF(F2623="","",K2623-B2623)</f>
        <v/>
      </c>
      <c r="M2623" s="30" t="str">
        <f aca="false">IF(F2623="","",L2623-J2623)</f>
        <v/>
      </c>
      <c r="N2623" s="32" t="str">
        <f aca="false">IF(F2623="","",IF(H2623&lt;&gt;"","Kapandı",IF('Vade Sapması'!$D$3&gt;G2623,"Açık · vadesi geçti","Açık · vadesi gelmedi")))</f>
        <v/>
      </c>
      <c r="O2623" s="30" t="str">
        <f aca="false">IF(F2623="","",IF(AND(H2623="",'Vade Sapması'!$D$3&gt;G2623),'Vade Sapması'!$D$3-G2623,0))</f>
        <v/>
      </c>
      <c r="P2623" s="33" t="str">
        <f aca="false">IF(F2623="","",F2623*J2623)</f>
        <v/>
      </c>
      <c r="Q2623" s="33" t="str">
        <f aca="false">IF(F2623="","",F2623*L2623)</f>
        <v/>
      </c>
      <c r="R2623" s="33" t="str">
        <f aca="false">IF(F2623="","",IF(H2623="",F2623,0))</f>
        <v/>
      </c>
      <c r="S2623" s="32" t="str">
        <f aca="false">IF(F2623="","",IF(N(O2623)=0,"",IF(O2623&lt;=30,"1-30",IF(O2623&lt;=60,"31-60",IF(O2623&lt;=90,"61-90","90+")))))</f>
        <v/>
      </c>
      <c r="T2623" s="32" t="str">
        <f aca="false">IF(F2623="","",IF(E2623="","Diğer",E2623))</f>
        <v/>
      </c>
      <c r="U2623" s="32" t="str">
        <f aca="false">IF(OR(F2623="",C2623=""),"",IF(COUNTIF($C$2:C2623,C2623)=1,MAX($U$1:U2622)+1,""))</f>
        <v/>
      </c>
    </row>
    <row r="2624" customFormat="false" ht="15" hidden="false" customHeight="false" outlineLevel="0" collapsed="false">
      <c r="A2624" s="34"/>
      <c r="B2624" s="9"/>
      <c r="C2624" s="34"/>
      <c r="D2624" s="34"/>
      <c r="E2624" s="34"/>
      <c r="F2624" s="35"/>
      <c r="G2624" s="9"/>
      <c r="H2624" s="9"/>
      <c r="I2624" s="34"/>
      <c r="J2624" s="30" t="str">
        <f aca="false">IF(F2624="","",G2624-B2624)</f>
        <v/>
      </c>
      <c r="K2624" s="31" t="str">
        <f aca="false">IF(F2624="","",IF(H2624&lt;&gt;"",H2624,MAX('Vade Sapması'!$D$3,G2624)))</f>
        <v/>
      </c>
      <c r="L2624" s="30" t="str">
        <f aca="false">IF(F2624="","",K2624-B2624)</f>
        <v/>
      </c>
      <c r="M2624" s="30" t="str">
        <f aca="false">IF(F2624="","",L2624-J2624)</f>
        <v/>
      </c>
      <c r="N2624" s="32" t="str">
        <f aca="false">IF(F2624="","",IF(H2624&lt;&gt;"","Kapandı",IF('Vade Sapması'!$D$3&gt;G2624,"Açık · vadesi geçti","Açık · vadesi gelmedi")))</f>
        <v/>
      </c>
      <c r="O2624" s="30" t="str">
        <f aca="false">IF(F2624="","",IF(AND(H2624="",'Vade Sapması'!$D$3&gt;G2624),'Vade Sapması'!$D$3-G2624,0))</f>
        <v/>
      </c>
      <c r="P2624" s="33" t="str">
        <f aca="false">IF(F2624="","",F2624*J2624)</f>
        <v/>
      </c>
      <c r="Q2624" s="33" t="str">
        <f aca="false">IF(F2624="","",F2624*L2624)</f>
        <v/>
      </c>
      <c r="R2624" s="33" t="str">
        <f aca="false">IF(F2624="","",IF(H2624="",F2624,0))</f>
        <v/>
      </c>
      <c r="S2624" s="32" t="str">
        <f aca="false">IF(F2624="","",IF(N(O2624)=0,"",IF(O2624&lt;=30,"1-30",IF(O2624&lt;=60,"31-60",IF(O2624&lt;=90,"61-90","90+")))))</f>
        <v/>
      </c>
      <c r="T2624" s="32" t="str">
        <f aca="false">IF(F2624="","",IF(E2624="","Diğer",E2624))</f>
        <v/>
      </c>
      <c r="U2624" s="32" t="str">
        <f aca="false">IF(OR(F2624="",C2624=""),"",IF(COUNTIF($C$2:C2624,C2624)=1,MAX($U$1:U2623)+1,""))</f>
        <v/>
      </c>
    </row>
    <row r="2625" customFormat="false" ht="15" hidden="false" customHeight="false" outlineLevel="0" collapsed="false">
      <c r="A2625" s="34"/>
      <c r="B2625" s="9"/>
      <c r="C2625" s="34"/>
      <c r="D2625" s="34"/>
      <c r="E2625" s="34"/>
      <c r="F2625" s="35"/>
      <c r="G2625" s="9"/>
      <c r="H2625" s="9"/>
      <c r="I2625" s="34"/>
      <c r="J2625" s="30" t="str">
        <f aca="false">IF(F2625="","",G2625-B2625)</f>
        <v/>
      </c>
      <c r="K2625" s="31" t="str">
        <f aca="false">IF(F2625="","",IF(H2625&lt;&gt;"",H2625,MAX('Vade Sapması'!$D$3,G2625)))</f>
        <v/>
      </c>
      <c r="L2625" s="30" t="str">
        <f aca="false">IF(F2625="","",K2625-B2625)</f>
        <v/>
      </c>
      <c r="M2625" s="30" t="str">
        <f aca="false">IF(F2625="","",L2625-J2625)</f>
        <v/>
      </c>
      <c r="N2625" s="32" t="str">
        <f aca="false">IF(F2625="","",IF(H2625&lt;&gt;"","Kapandı",IF('Vade Sapması'!$D$3&gt;G2625,"Açık · vadesi geçti","Açık · vadesi gelmedi")))</f>
        <v/>
      </c>
      <c r="O2625" s="30" t="str">
        <f aca="false">IF(F2625="","",IF(AND(H2625="",'Vade Sapması'!$D$3&gt;G2625),'Vade Sapması'!$D$3-G2625,0))</f>
        <v/>
      </c>
      <c r="P2625" s="33" t="str">
        <f aca="false">IF(F2625="","",F2625*J2625)</f>
        <v/>
      </c>
      <c r="Q2625" s="33" t="str">
        <f aca="false">IF(F2625="","",F2625*L2625)</f>
        <v/>
      </c>
      <c r="R2625" s="33" t="str">
        <f aca="false">IF(F2625="","",IF(H2625="",F2625,0))</f>
        <v/>
      </c>
      <c r="S2625" s="32" t="str">
        <f aca="false">IF(F2625="","",IF(N(O2625)=0,"",IF(O2625&lt;=30,"1-30",IF(O2625&lt;=60,"31-60",IF(O2625&lt;=90,"61-90","90+")))))</f>
        <v/>
      </c>
      <c r="T2625" s="32" t="str">
        <f aca="false">IF(F2625="","",IF(E2625="","Diğer",E2625))</f>
        <v/>
      </c>
      <c r="U2625" s="32" t="str">
        <f aca="false">IF(OR(F2625="",C2625=""),"",IF(COUNTIF($C$2:C2625,C2625)=1,MAX($U$1:U2624)+1,""))</f>
        <v/>
      </c>
    </row>
    <row r="2626" customFormat="false" ht="15" hidden="false" customHeight="false" outlineLevel="0" collapsed="false">
      <c r="A2626" s="34"/>
      <c r="B2626" s="9"/>
      <c r="C2626" s="34"/>
      <c r="D2626" s="34"/>
      <c r="E2626" s="34"/>
      <c r="F2626" s="35"/>
      <c r="G2626" s="9"/>
      <c r="H2626" s="9"/>
      <c r="I2626" s="34"/>
      <c r="J2626" s="30" t="str">
        <f aca="false">IF(F2626="","",G2626-B2626)</f>
        <v/>
      </c>
      <c r="K2626" s="31" t="str">
        <f aca="false">IF(F2626="","",IF(H2626&lt;&gt;"",H2626,MAX('Vade Sapması'!$D$3,G2626)))</f>
        <v/>
      </c>
      <c r="L2626" s="30" t="str">
        <f aca="false">IF(F2626="","",K2626-B2626)</f>
        <v/>
      </c>
      <c r="M2626" s="30" t="str">
        <f aca="false">IF(F2626="","",L2626-J2626)</f>
        <v/>
      </c>
      <c r="N2626" s="32" t="str">
        <f aca="false">IF(F2626="","",IF(H2626&lt;&gt;"","Kapandı",IF('Vade Sapması'!$D$3&gt;G2626,"Açık · vadesi geçti","Açık · vadesi gelmedi")))</f>
        <v/>
      </c>
      <c r="O2626" s="30" t="str">
        <f aca="false">IF(F2626="","",IF(AND(H2626="",'Vade Sapması'!$D$3&gt;G2626),'Vade Sapması'!$D$3-G2626,0))</f>
        <v/>
      </c>
      <c r="P2626" s="33" t="str">
        <f aca="false">IF(F2626="","",F2626*J2626)</f>
        <v/>
      </c>
      <c r="Q2626" s="33" t="str">
        <f aca="false">IF(F2626="","",F2626*L2626)</f>
        <v/>
      </c>
      <c r="R2626" s="33" t="str">
        <f aca="false">IF(F2626="","",IF(H2626="",F2626,0))</f>
        <v/>
      </c>
      <c r="S2626" s="32" t="str">
        <f aca="false">IF(F2626="","",IF(N(O2626)=0,"",IF(O2626&lt;=30,"1-30",IF(O2626&lt;=60,"31-60",IF(O2626&lt;=90,"61-90","90+")))))</f>
        <v/>
      </c>
      <c r="T2626" s="32" t="str">
        <f aca="false">IF(F2626="","",IF(E2626="","Diğer",E2626))</f>
        <v/>
      </c>
      <c r="U2626" s="32" t="str">
        <f aca="false">IF(OR(F2626="",C2626=""),"",IF(COUNTIF($C$2:C2626,C2626)=1,MAX($U$1:U2625)+1,""))</f>
        <v/>
      </c>
    </row>
    <row r="2627" customFormat="false" ht="15" hidden="false" customHeight="false" outlineLevel="0" collapsed="false">
      <c r="A2627" s="34"/>
      <c r="B2627" s="9"/>
      <c r="C2627" s="34"/>
      <c r="D2627" s="34"/>
      <c r="E2627" s="34"/>
      <c r="F2627" s="35"/>
      <c r="G2627" s="9"/>
      <c r="H2627" s="9"/>
      <c r="I2627" s="34"/>
      <c r="J2627" s="30" t="str">
        <f aca="false">IF(F2627="","",G2627-B2627)</f>
        <v/>
      </c>
      <c r="K2627" s="31" t="str">
        <f aca="false">IF(F2627="","",IF(H2627&lt;&gt;"",H2627,MAX('Vade Sapması'!$D$3,G2627)))</f>
        <v/>
      </c>
      <c r="L2627" s="30" t="str">
        <f aca="false">IF(F2627="","",K2627-B2627)</f>
        <v/>
      </c>
      <c r="M2627" s="30" t="str">
        <f aca="false">IF(F2627="","",L2627-J2627)</f>
        <v/>
      </c>
      <c r="N2627" s="32" t="str">
        <f aca="false">IF(F2627="","",IF(H2627&lt;&gt;"","Kapandı",IF('Vade Sapması'!$D$3&gt;G2627,"Açık · vadesi geçti","Açık · vadesi gelmedi")))</f>
        <v/>
      </c>
      <c r="O2627" s="30" t="str">
        <f aca="false">IF(F2627="","",IF(AND(H2627="",'Vade Sapması'!$D$3&gt;G2627),'Vade Sapması'!$D$3-G2627,0))</f>
        <v/>
      </c>
      <c r="P2627" s="33" t="str">
        <f aca="false">IF(F2627="","",F2627*J2627)</f>
        <v/>
      </c>
      <c r="Q2627" s="33" t="str">
        <f aca="false">IF(F2627="","",F2627*L2627)</f>
        <v/>
      </c>
      <c r="R2627" s="33" t="str">
        <f aca="false">IF(F2627="","",IF(H2627="",F2627,0))</f>
        <v/>
      </c>
      <c r="S2627" s="32" t="str">
        <f aca="false">IF(F2627="","",IF(N(O2627)=0,"",IF(O2627&lt;=30,"1-30",IF(O2627&lt;=60,"31-60",IF(O2627&lt;=90,"61-90","90+")))))</f>
        <v/>
      </c>
      <c r="T2627" s="32" t="str">
        <f aca="false">IF(F2627="","",IF(E2627="","Diğer",E2627))</f>
        <v/>
      </c>
      <c r="U2627" s="32" t="str">
        <f aca="false">IF(OR(F2627="",C2627=""),"",IF(COUNTIF($C$2:C2627,C2627)=1,MAX($U$1:U2626)+1,""))</f>
        <v/>
      </c>
    </row>
    <row r="2628" customFormat="false" ht="15" hidden="false" customHeight="false" outlineLevel="0" collapsed="false">
      <c r="A2628" s="34"/>
      <c r="B2628" s="9"/>
      <c r="C2628" s="34"/>
      <c r="D2628" s="34"/>
      <c r="E2628" s="34"/>
      <c r="F2628" s="35"/>
      <c r="G2628" s="9"/>
      <c r="H2628" s="9"/>
      <c r="I2628" s="34"/>
      <c r="J2628" s="30" t="str">
        <f aca="false">IF(F2628="","",G2628-B2628)</f>
        <v/>
      </c>
      <c r="K2628" s="31" t="str">
        <f aca="false">IF(F2628="","",IF(H2628&lt;&gt;"",H2628,MAX('Vade Sapması'!$D$3,G2628)))</f>
        <v/>
      </c>
      <c r="L2628" s="30" t="str">
        <f aca="false">IF(F2628="","",K2628-B2628)</f>
        <v/>
      </c>
      <c r="M2628" s="30" t="str">
        <f aca="false">IF(F2628="","",L2628-J2628)</f>
        <v/>
      </c>
      <c r="N2628" s="32" t="str">
        <f aca="false">IF(F2628="","",IF(H2628&lt;&gt;"","Kapandı",IF('Vade Sapması'!$D$3&gt;G2628,"Açık · vadesi geçti","Açık · vadesi gelmedi")))</f>
        <v/>
      </c>
      <c r="O2628" s="30" t="str">
        <f aca="false">IF(F2628="","",IF(AND(H2628="",'Vade Sapması'!$D$3&gt;G2628),'Vade Sapması'!$D$3-G2628,0))</f>
        <v/>
      </c>
      <c r="P2628" s="33" t="str">
        <f aca="false">IF(F2628="","",F2628*J2628)</f>
        <v/>
      </c>
      <c r="Q2628" s="33" t="str">
        <f aca="false">IF(F2628="","",F2628*L2628)</f>
        <v/>
      </c>
      <c r="R2628" s="33" t="str">
        <f aca="false">IF(F2628="","",IF(H2628="",F2628,0))</f>
        <v/>
      </c>
      <c r="S2628" s="32" t="str">
        <f aca="false">IF(F2628="","",IF(N(O2628)=0,"",IF(O2628&lt;=30,"1-30",IF(O2628&lt;=60,"31-60",IF(O2628&lt;=90,"61-90","90+")))))</f>
        <v/>
      </c>
      <c r="T2628" s="32" t="str">
        <f aca="false">IF(F2628="","",IF(E2628="","Diğer",E2628))</f>
        <v/>
      </c>
      <c r="U2628" s="32" t="str">
        <f aca="false">IF(OR(F2628="",C2628=""),"",IF(COUNTIF($C$2:C2628,C2628)=1,MAX($U$1:U2627)+1,""))</f>
        <v/>
      </c>
    </row>
    <row r="2629" customFormat="false" ht="15" hidden="false" customHeight="false" outlineLevel="0" collapsed="false">
      <c r="A2629" s="34"/>
      <c r="B2629" s="9"/>
      <c r="C2629" s="34"/>
      <c r="D2629" s="34"/>
      <c r="E2629" s="34"/>
      <c r="F2629" s="35"/>
      <c r="G2629" s="9"/>
      <c r="H2629" s="9"/>
      <c r="I2629" s="34"/>
      <c r="J2629" s="30" t="str">
        <f aca="false">IF(F2629="","",G2629-B2629)</f>
        <v/>
      </c>
      <c r="K2629" s="31" t="str">
        <f aca="false">IF(F2629="","",IF(H2629&lt;&gt;"",H2629,MAX('Vade Sapması'!$D$3,G2629)))</f>
        <v/>
      </c>
      <c r="L2629" s="30" t="str">
        <f aca="false">IF(F2629="","",K2629-B2629)</f>
        <v/>
      </c>
      <c r="M2629" s="30" t="str">
        <f aca="false">IF(F2629="","",L2629-J2629)</f>
        <v/>
      </c>
      <c r="N2629" s="32" t="str">
        <f aca="false">IF(F2629="","",IF(H2629&lt;&gt;"","Kapandı",IF('Vade Sapması'!$D$3&gt;G2629,"Açık · vadesi geçti","Açık · vadesi gelmedi")))</f>
        <v/>
      </c>
      <c r="O2629" s="30" t="str">
        <f aca="false">IF(F2629="","",IF(AND(H2629="",'Vade Sapması'!$D$3&gt;G2629),'Vade Sapması'!$D$3-G2629,0))</f>
        <v/>
      </c>
      <c r="P2629" s="33" t="str">
        <f aca="false">IF(F2629="","",F2629*J2629)</f>
        <v/>
      </c>
      <c r="Q2629" s="33" t="str">
        <f aca="false">IF(F2629="","",F2629*L2629)</f>
        <v/>
      </c>
      <c r="R2629" s="33" t="str">
        <f aca="false">IF(F2629="","",IF(H2629="",F2629,0))</f>
        <v/>
      </c>
      <c r="S2629" s="32" t="str">
        <f aca="false">IF(F2629="","",IF(N(O2629)=0,"",IF(O2629&lt;=30,"1-30",IF(O2629&lt;=60,"31-60",IF(O2629&lt;=90,"61-90","90+")))))</f>
        <v/>
      </c>
      <c r="T2629" s="32" t="str">
        <f aca="false">IF(F2629="","",IF(E2629="","Diğer",E2629))</f>
        <v/>
      </c>
      <c r="U2629" s="32" t="str">
        <f aca="false">IF(OR(F2629="",C2629=""),"",IF(COUNTIF($C$2:C2629,C2629)=1,MAX($U$1:U2628)+1,""))</f>
        <v/>
      </c>
    </row>
    <row r="2630" customFormat="false" ht="15" hidden="false" customHeight="false" outlineLevel="0" collapsed="false">
      <c r="A2630" s="34"/>
      <c r="B2630" s="9"/>
      <c r="C2630" s="34"/>
      <c r="D2630" s="34"/>
      <c r="E2630" s="34"/>
      <c r="F2630" s="35"/>
      <c r="G2630" s="9"/>
      <c r="H2630" s="9"/>
      <c r="I2630" s="34"/>
      <c r="J2630" s="30" t="str">
        <f aca="false">IF(F2630="","",G2630-B2630)</f>
        <v/>
      </c>
      <c r="K2630" s="31" t="str">
        <f aca="false">IF(F2630="","",IF(H2630&lt;&gt;"",H2630,MAX('Vade Sapması'!$D$3,G2630)))</f>
        <v/>
      </c>
      <c r="L2630" s="30" t="str">
        <f aca="false">IF(F2630="","",K2630-B2630)</f>
        <v/>
      </c>
      <c r="M2630" s="30" t="str">
        <f aca="false">IF(F2630="","",L2630-J2630)</f>
        <v/>
      </c>
      <c r="N2630" s="32" t="str">
        <f aca="false">IF(F2630="","",IF(H2630&lt;&gt;"","Kapandı",IF('Vade Sapması'!$D$3&gt;G2630,"Açık · vadesi geçti","Açık · vadesi gelmedi")))</f>
        <v/>
      </c>
      <c r="O2630" s="30" t="str">
        <f aca="false">IF(F2630="","",IF(AND(H2630="",'Vade Sapması'!$D$3&gt;G2630),'Vade Sapması'!$D$3-G2630,0))</f>
        <v/>
      </c>
      <c r="P2630" s="33" t="str">
        <f aca="false">IF(F2630="","",F2630*J2630)</f>
        <v/>
      </c>
      <c r="Q2630" s="33" t="str">
        <f aca="false">IF(F2630="","",F2630*L2630)</f>
        <v/>
      </c>
      <c r="R2630" s="33" t="str">
        <f aca="false">IF(F2630="","",IF(H2630="",F2630,0))</f>
        <v/>
      </c>
      <c r="S2630" s="32" t="str">
        <f aca="false">IF(F2630="","",IF(N(O2630)=0,"",IF(O2630&lt;=30,"1-30",IF(O2630&lt;=60,"31-60",IF(O2630&lt;=90,"61-90","90+")))))</f>
        <v/>
      </c>
      <c r="T2630" s="32" t="str">
        <f aca="false">IF(F2630="","",IF(E2630="","Diğer",E2630))</f>
        <v/>
      </c>
      <c r="U2630" s="32" t="str">
        <f aca="false">IF(OR(F2630="",C2630=""),"",IF(COUNTIF($C$2:C2630,C2630)=1,MAX($U$1:U2629)+1,""))</f>
        <v/>
      </c>
    </row>
    <row r="2631" customFormat="false" ht="15" hidden="false" customHeight="false" outlineLevel="0" collapsed="false">
      <c r="A2631" s="34"/>
      <c r="B2631" s="9"/>
      <c r="C2631" s="34"/>
      <c r="D2631" s="34"/>
      <c r="E2631" s="34"/>
      <c r="F2631" s="35"/>
      <c r="G2631" s="9"/>
      <c r="H2631" s="9"/>
      <c r="I2631" s="34"/>
      <c r="J2631" s="30" t="str">
        <f aca="false">IF(F2631="","",G2631-B2631)</f>
        <v/>
      </c>
      <c r="K2631" s="31" t="str">
        <f aca="false">IF(F2631="","",IF(H2631&lt;&gt;"",H2631,MAX('Vade Sapması'!$D$3,G2631)))</f>
        <v/>
      </c>
      <c r="L2631" s="30" t="str">
        <f aca="false">IF(F2631="","",K2631-B2631)</f>
        <v/>
      </c>
      <c r="M2631" s="30" t="str">
        <f aca="false">IF(F2631="","",L2631-J2631)</f>
        <v/>
      </c>
      <c r="N2631" s="32" t="str">
        <f aca="false">IF(F2631="","",IF(H2631&lt;&gt;"","Kapandı",IF('Vade Sapması'!$D$3&gt;G2631,"Açık · vadesi geçti","Açık · vadesi gelmedi")))</f>
        <v/>
      </c>
      <c r="O2631" s="30" t="str">
        <f aca="false">IF(F2631="","",IF(AND(H2631="",'Vade Sapması'!$D$3&gt;G2631),'Vade Sapması'!$D$3-G2631,0))</f>
        <v/>
      </c>
      <c r="P2631" s="33" t="str">
        <f aca="false">IF(F2631="","",F2631*J2631)</f>
        <v/>
      </c>
      <c r="Q2631" s="33" t="str">
        <f aca="false">IF(F2631="","",F2631*L2631)</f>
        <v/>
      </c>
      <c r="R2631" s="33" t="str">
        <f aca="false">IF(F2631="","",IF(H2631="",F2631,0))</f>
        <v/>
      </c>
      <c r="S2631" s="32" t="str">
        <f aca="false">IF(F2631="","",IF(N(O2631)=0,"",IF(O2631&lt;=30,"1-30",IF(O2631&lt;=60,"31-60",IF(O2631&lt;=90,"61-90","90+")))))</f>
        <v/>
      </c>
      <c r="T2631" s="32" t="str">
        <f aca="false">IF(F2631="","",IF(E2631="","Diğer",E2631))</f>
        <v/>
      </c>
      <c r="U2631" s="32" t="str">
        <f aca="false">IF(OR(F2631="",C2631=""),"",IF(COUNTIF($C$2:C2631,C2631)=1,MAX($U$1:U2630)+1,""))</f>
        <v/>
      </c>
    </row>
    <row r="2632" customFormat="false" ht="15" hidden="false" customHeight="false" outlineLevel="0" collapsed="false">
      <c r="A2632" s="34"/>
      <c r="B2632" s="9"/>
      <c r="C2632" s="34"/>
      <c r="D2632" s="34"/>
      <c r="E2632" s="34"/>
      <c r="F2632" s="35"/>
      <c r="G2632" s="9"/>
      <c r="H2632" s="9"/>
      <c r="I2632" s="34"/>
      <c r="J2632" s="30" t="str">
        <f aca="false">IF(F2632="","",G2632-B2632)</f>
        <v/>
      </c>
      <c r="K2632" s="31" t="str">
        <f aca="false">IF(F2632="","",IF(H2632&lt;&gt;"",H2632,MAX('Vade Sapması'!$D$3,G2632)))</f>
        <v/>
      </c>
      <c r="L2632" s="30" t="str">
        <f aca="false">IF(F2632="","",K2632-B2632)</f>
        <v/>
      </c>
      <c r="M2632" s="30" t="str">
        <f aca="false">IF(F2632="","",L2632-J2632)</f>
        <v/>
      </c>
      <c r="N2632" s="32" t="str">
        <f aca="false">IF(F2632="","",IF(H2632&lt;&gt;"","Kapandı",IF('Vade Sapması'!$D$3&gt;G2632,"Açık · vadesi geçti","Açık · vadesi gelmedi")))</f>
        <v/>
      </c>
      <c r="O2632" s="30" t="str">
        <f aca="false">IF(F2632="","",IF(AND(H2632="",'Vade Sapması'!$D$3&gt;G2632),'Vade Sapması'!$D$3-G2632,0))</f>
        <v/>
      </c>
      <c r="P2632" s="33" t="str">
        <f aca="false">IF(F2632="","",F2632*J2632)</f>
        <v/>
      </c>
      <c r="Q2632" s="33" t="str">
        <f aca="false">IF(F2632="","",F2632*L2632)</f>
        <v/>
      </c>
      <c r="R2632" s="33" t="str">
        <f aca="false">IF(F2632="","",IF(H2632="",F2632,0))</f>
        <v/>
      </c>
      <c r="S2632" s="32" t="str">
        <f aca="false">IF(F2632="","",IF(N(O2632)=0,"",IF(O2632&lt;=30,"1-30",IF(O2632&lt;=60,"31-60",IF(O2632&lt;=90,"61-90","90+")))))</f>
        <v/>
      </c>
      <c r="T2632" s="32" t="str">
        <f aca="false">IF(F2632="","",IF(E2632="","Diğer",E2632))</f>
        <v/>
      </c>
      <c r="U2632" s="32" t="str">
        <f aca="false">IF(OR(F2632="",C2632=""),"",IF(COUNTIF($C$2:C2632,C2632)=1,MAX($U$1:U2631)+1,""))</f>
        <v/>
      </c>
    </row>
    <row r="2633" customFormat="false" ht="15" hidden="false" customHeight="false" outlineLevel="0" collapsed="false">
      <c r="A2633" s="34"/>
      <c r="B2633" s="9"/>
      <c r="C2633" s="34"/>
      <c r="D2633" s="34"/>
      <c r="E2633" s="34"/>
      <c r="F2633" s="35"/>
      <c r="G2633" s="9"/>
      <c r="H2633" s="9"/>
      <c r="I2633" s="34"/>
      <c r="J2633" s="30" t="str">
        <f aca="false">IF(F2633="","",G2633-B2633)</f>
        <v/>
      </c>
      <c r="K2633" s="31" t="str">
        <f aca="false">IF(F2633="","",IF(H2633&lt;&gt;"",H2633,MAX('Vade Sapması'!$D$3,G2633)))</f>
        <v/>
      </c>
      <c r="L2633" s="30" t="str">
        <f aca="false">IF(F2633="","",K2633-B2633)</f>
        <v/>
      </c>
      <c r="M2633" s="30" t="str">
        <f aca="false">IF(F2633="","",L2633-J2633)</f>
        <v/>
      </c>
      <c r="N2633" s="32" t="str">
        <f aca="false">IF(F2633="","",IF(H2633&lt;&gt;"","Kapandı",IF('Vade Sapması'!$D$3&gt;G2633,"Açık · vadesi geçti","Açık · vadesi gelmedi")))</f>
        <v/>
      </c>
      <c r="O2633" s="30" t="str">
        <f aca="false">IF(F2633="","",IF(AND(H2633="",'Vade Sapması'!$D$3&gt;G2633),'Vade Sapması'!$D$3-G2633,0))</f>
        <v/>
      </c>
      <c r="P2633" s="33" t="str">
        <f aca="false">IF(F2633="","",F2633*J2633)</f>
        <v/>
      </c>
      <c r="Q2633" s="33" t="str">
        <f aca="false">IF(F2633="","",F2633*L2633)</f>
        <v/>
      </c>
      <c r="R2633" s="33" t="str">
        <f aca="false">IF(F2633="","",IF(H2633="",F2633,0))</f>
        <v/>
      </c>
      <c r="S2633" s="32" t="str">
        <f aca="false">IF(F2633="","",IF(N(O2633)=0,"",IF(O2633&lt;=30,"1-30",IF(O2633&lt;=60,"31-60",IF(O2633&lt;=90,"61-90","90+")))))</f>
        <v/>
      </c>
      <c r="T2633" s="32" t="str">
        <f aca="false">IF(F2633="","",IF(E2633="","Diğer",E2633))</f>
        <v/>
      </c>
      <c r="U2633" s="32" t="str">
        <f aca="false">IF(OR(F2633="",C2633=""),"",IF(COUNTIF($C$2:C2633,C2633)=1,MAX($U$1:U2632)+1,""))</f>
        <v/>
      </c>
    </row>
    <row r="2634" customFormat="false" ht="15" hidden="false" customHeight="false" outlineLevel="0" collapsed="false">
      <c r="A2634" s="34"/>
      <c r="B2634" s="9"/>
      <c r="C2634" s="34"/>
      <c r="D2634" s="34"/>
      <c r="E2634" s="34"/>
      <c r="F2634" s="35"/>
      <c r="G2634" s="9"/>
      <c r="H2634" s="9"/>
      <c r="I2634" s="34"/>
      <c r="J2634" s="30" t="str">
        <f aca="false">IF(F2634="","",G2634-B2634)</f>
        <v/>
      </c>
      <c r="K2634" s="31" t="str">
        <f aca="false">IF(F2634="","",IF(H2634&lt;&gt;"",H2634,MAX('Vade Sapması'!$D$3,G2634)))</f>
        <v/>
      </c>
      <c r="L2634" s="30" t="str">
        <f aca="false">IF(F2634="","",K2634-B2634)</f>
        <v/>
      </c>
      <c r="M2634" s="30" t="str">
        <f aca="false">IF(F2634="","",L2634-J2634)</f>
        <v/>
      </c>
      <c r="N2634" s="32" t="str">
        <f aca="false">IF(F2634="","",IF(H2634&lt;&gt;"","Kapandı",IF('Vade Sapması'!$D$3&gt;G2634,"Açık · vadesi geçti","Açık · vadesi gelmedi")))</f>
        <v/>
      </c>
      <c r="O2634" s="30" t="str">
        <f aca="false">IF(F2634="","",IF(AND(H2634="",'Vade Sapması'!$D$3&gt;G2634),'Vade Sapması'!$D$3-G2634,0))</f>
        <v/>
      </c>
      <c r="P2634" s="33" t="str">
        <f aca="false">IF(F2634="","",F2634*J2634)</f>
        <v/>
      </c>
      <c r="Q2634" s="33" t="str">
        <f aca="false">IF(F2634="","",F2634*L2634)</f>
        <v/>
      </c>
      <c r="R2634" s="33" t="str">
        <f aca="false">IF(F2634="","",IF(H2634="",F2634,0))</f>
        <v/>
      </c>
      <c r="S2634" s="32" t="str">
        <f aca="false">IF(F2634="","",IF(N(O2634)=0,"",IF(O2634&lt;=30,"1-30",IF(O2634&lt;=60,"31-60",IF(O2634&lt;=90,"61-90","90+")))))</f>
        <v/>
      </c>
      <c r="T2634" s="32" t="str">
        <f aca="false">IF(F2634="","",IF(E2634="","Diğer",E2634))</f>
        <v/>
      </c>
      <c r="U2634" s="32" t="str">
        <f aca="false">IF(OR(F2634="",C2634=""),"",IF(COUNTIF($C$2:C2634,C2634)=1,MAX($U$1:U2633)+1,""))</f>
        <v/>
      </c>
    </row>
    <row r="2635" customFormat="false" ht="15" hidden="false" customHeight="false" outlineLevel="0" collapsed="false">
      <c r="A2635" s="34"/>
      <c r="B2635" s="9"/>
      <c r="C2635" s="34"/>
      <c r="D2635" s="34"/>
      <c r="E2635" s="34"/>
      <c r="F2635" s="35"/>
      <c r="G2635" s="9"/>
      <c r="H2635" s="9"/>
      <c r="I2635" s="34"/>
      <c r="J2635" s="30" t="str">
        <f aca="false">IF(F2635="","",G2635-B2635)</f>
        <v/>
      </c>
      <c r="K2635" s="31" t="str">
        <f aca="false">IF(F2635="","",IF(H2635&lt;&gt;"",H2635,MAX('Vade Sapması'!$D$3,G2635)))</f>
        <v/>
      </c>
      <c r="L2635" s="30" t="str">
        <f aca="false">IF(F2635="","",K2635-B2635)</f>
        <v/>
      </c>
      <c r="M2635" s="30" t="str">
        <f aca="false">IF(F2635="","",L2635-J2635)</f>
        <v/>
      </c>
      <c r="N2635" s="32" t="str">
        <f aca="false">IF(F2635="","",IF(H2635&lt;&gt;"","Kapandı",IF('Vade Sapması'!$D$3&gt;G2635,"Açık · vadesi geçti","Açık · vadesi gelmedi")))</f>
        <v/>
      </c>
      <c r="O2635" s="30" t="str">
        <f aca="false">IF(F2635="","",IF(AND(H2635="",'Vade Sapması'!$D$3&gt;G2635),'Vade Sapması'!$D$3-G2635,0))</f>
        <v/>
      </c>
      <c r="P2635" s="33" t="str">
        <f aca="false">IF(F2635="","",F2635*J2635)</f>
        <v/>
      </c>
      <c r="Q2635" s="33" t="str">
        <f aca="false">IF(F2635="","",F2635*L2635)</f>
        <v/>
      </c>
      <c r="R2635" s="33" t="str">
        <f aca="false">IF(F2635="","",IF(H2635="",F2635,0))</f>
        <v/>
      </c>
      <c r="S2635" s="32" t="str">
        <f aca="false">IF(F2635="","",IF(N(O2635)=0,"",IF(O2635&lt;=30,"1-30",IF(O2635&lt;=60,"31-60",IF(O2635&lt;=90,"61-90","90+")))))</f>
        <v/>
      </c>
      <c r="T2635" s="32" t="str">
        <f aca="false">IF(F2635="","",IF(E2635="","Diğer",E2635))</f>
        <v/>
      </c>
      <c r="U2635" s="32" t="str">
        <f aca="false">IF(OR(F2635="",C2635=""),"",IF(COUNTIF($C$2:C2635,C2635)=1,MAX($U$1:U2634)+1,""))</f>
        <v/>
      </c>
    </row>
    <row r="2636" customFormat="false" ht="15" hidden="false" customHeight="false" outlineLevel="0" collapsed="false">
      <c r="A2636" s="34"/>
      <c r="B2636" s="9"/>
      <c r="C2636" s="34"/>
      <c r="D2636" s="34"/>
      <c r="E2636" s="34"/>
      <c r="F2636" s="35"/>
      <c r="G2636" s="9"/>
      <c r="H2636" s="9"/>
      <c r="I2636" s="34"/>
      <c r="J2636" s="30" t="str">
        <f aca="false">IF(F2636="","",G2636-B2636)</f>
        <v/>
      </c>
      <c r="K2636" s="31" t="str">
        <f aca="false">IF(F2636="","",IF(H2636&lt;&gt;"",H2636,MAX('Vade Sapması'!$D$3,G2636)))</f>
        <v/>
      </c>
      <c r="L2636" s="30" t="str">
        <f aca="false">IF(F2636="","",K2636-B2636)</f>
        <v/>
      </c>
      <c r="M2636" s="30" t="str">
        <f aca="false">IF(F2636="","",L2636-J2636)</f>
        <v/>
      </c>
      <c r="N2636" s="32" t="str">
        <f aca="false">IF(F2636="","",IF(H2636&lt;&gt;"","Kapandı",IF('Vade Sapması'!$D$3&gt;G2636,"Açık · vadesi geçti","Açık · vadesi gelmedi")))</f>
        <v/>
      </c>
      <c r="O2636" s="30" t="str">
        <f aca="false">IF(F2636="","",IF(AND(H2636="",'Vade Sapması'!$D$3&gt;G2636),'Vade Sapması'!$D$3-G2636,0))</f>
        <v/>
      </c>
      <c r="P2636" s="33" t="str">
        <f aca="false">IF(F2636="","",F2636*J2636)</f>
        <v/>
      </c>
      <c r="Q2636" s="33" t="str">
        <f aca="false">IF(F2636="","",F2636*L2636)</f>
        <v/>
      </c>
      <c r="R2636" s="33" t="str">
        <f aca="false">IF(F2636="","",IF(H2636="",F2636,0))</f>
        <v/>
      </c>
      <c r="S2636" s="32" t="str">
        <f aca="false">IF(F2636="","",IF(N(O2636)=0,"",IF(O2636&lt;=30,"1-30",IF(O2636&lt;=60,"31-60",IF(O2636&lt;=90,"61-90","90+")))))</f>
        <v/>
      </c>
      <c r="T2636" s="32" t="str">
        <f aca="false">IF(F2636="","",IF(E2636="","Diğer",E2636))</f>
        <v/>
      </c>
      <c r="U2636" s="32" t="str">
        <f aca="false">IF(OR(F2636="",C2636=""),"",IF(COUNTIF($C$2:C2636,C2636)=1,MAX($U$1:U2635)+1,""))</f>
        <v/>
      </c>
    </row>
    <row r="2637" customFormat="false" ht="15" hidden="false" customHeight="false" outlineLevel="0" collapsed="false">
      <c r="A2637" s="34"/>
      <c r="B2637" s="9"/>
      <c r="C2637" s="34"/>
      <c r="D2637" s="34"/>
      <c r="E2637" s="34"/>
      <c r="F2637" s="35"/>
      <c r="G2637" s="9"/>
      <c r="H2637" s="9"/>
      <c r="I2637" s="34"/>
      <c r="J2637" s="30" t="str">
        <f aca="false">IF(F2637="","",G2637-B2637)</f>
        <v/>
      </c>
      <c r="K2637" s="31" t="str">
        <f aca="false">IF(F2637="","",IF(H2637&lt;&gt;"",H2637,MAX('Vade Sapması'!$D$3,G2637)))</f>
        <v/>
      </c>
      <c r="L2637" s="30" t="str">
        <f aca="false">IF(F2637="","",K2637-B2637)</f>
        <v/>
      </c>
      <c r="M2637" s="30" t="str">
        <f aca="false">IF(F2637="","",L2637-J2637)</f>
        <v/>
      </c>
      <c r="N2637" s="32" t="str">
        <f aca="false">IF(F2637="","",IF(H2637&lt;&gt;"","Kapandı",IF('Vade Sapması'!$D$3&gt;G2637,"Açık · vadesi geçti","Açık · vadesi gelmedi")))</f>
        <v/>
      </c>
      <c r="O2637" s="30" t="str">
        <f aca="false">IF(F2637="","",IF(AND(H2637="",'Vade Sapması'!$D$3&gt;G2637),'Vade Sapması'!$D$3-G2637,0))</f>
        <v/>
      </c>
      <c r="P2637" s="33" t="str">
        <f aca="false">IF(F2637="","",F2637*J2637)</f>
        <v/>
      </c>
      <c r="Q2637" s="33" t="str">
        <f aca="false">IF(F2637="","",F2637*L2637)</f>
        <v/>
      </c>
      <c r="R2637" s="33" t="str">
        <f aca="false">IF(F2637="","",IF(H2637="",F2637,0))</f>
        <v/>
      </c>
      <c r="S2637" s="32" t="str">
        <f aca="false">IF(F2637="","",IF(N(O2637)=0,"",IF(O2637&lt;=30,"1-30",IF(O2637&lt;=60,"31-60",IF(O2637&lt;=90,"61-90","90+")))))</f>
        <v/>
      </c>
      <c r="T2637" s="32" t="str">
        <f aca="false">IF(F2637="","",IF(E2637="","Diğer",E2637))</f>
        <v/>
      </c>
      <c r="U2637" s="32" t="str">
        <f aca="false">IF(OR(F2637="",C2637=""),"",IF(COUNTIF($C$2:C2637,C2637)=1,MAX($U$1:U2636)+1,""))</f>
        <v/>
      </c>
    </row>
    <row r="2638" customFormat="false" ht="15" hidden="false" customHeight="false" outlineLevel="0" collapsed="false">
      <c r="A2638" s="34"/>
      <c r="B2638" s="9"/>
      <c r="C2638" s="34"/>
      <c r="D2638" s="34"/>
      <c r="E2638" s="34"/>
      <c r="F2638" s="35"/>
      <c r="G2638" s="9"/>
      <c r="H2638" s="9"/>
      <c r="I2638" s="34"/>
      <c r="J2638" s="30" t="str">
        <f aca="false">IF(F2638="","",G2638-B2638)</f>
        <v/>
      </c>
      <c r="K2638" s="31" t="str">
        <f aca="false">IF(F2638="","",IF(H2638&lt;&gt;"",H2638,MAX('Vade Sapması'!$D$3,G2638)))</f>
        <v/>
      </c>
      <c r="L2638" s="30" t="str">
        <f aca="false">IF(F2638="","",K2638-B2638)</f>
        <v/>
      </c>
      <c r="M2638" s="30" t="str">
        <f aca="false">IF(F2638="","",L2638-J2638)</f>
        <v/>
      </c>
      <c r="N2638" s="32" t="str">
        <f aca="false">IF(F2638="","",IF(H2638&lt;&gt;"","Kapandı",IF('Vade Sapması'!$D$3&gt;G2638,"Açık · vadesi geçti","Açık · vadesi gelmedi")))</f>
        <v/>
      </c>
      <c r="O2638" s="30" t="str">
        <f aca="false">IF(F2638="","",IF(AND(H2638="",'Vade Sapması'!$D$3&gt;G2638),'Vade Sapması'!$D$3-G2638,0))</f>
        <v/>
      </c>
      <c r="P2638" s="33" t="str">
        <f aca="false">IF(F2638="","",F2638*J2638)</f>
        <v/>
      </c>
      <c r="Q2638" s="33" t="str">
        <f aca="false">IF(F2638="","",F2638*L2638)</f>
        <v/>
      </c>
      <c r="R2638" s="33" t="str">
        <f aca="false">IF(F2638="","",IF(H2638="",F2638,0))</f>
        <v/>
      </c>
      <c r="S2638" s="32" t="str">
        <f aca="false">IF(F2638="","",IF(N(O2638)=0,"",IF(O2638&lt;=30,"1-30",IF(O2638&lt;=60,"31-60",IF(O2638&lt;=90,"61-90","90+")))))</f>
        <v/>
      </c>
      <c r="T2638" s="32" t="str">
        <f aca="false">IF(F2638="","",IF(E2638="","Diğer",E2638))</f>
        <v/>
      </c>
      <c r="U2638" s="32" t="str">
        <f aca="false">IF(OR(F2638="",C2638=""),"",IF(COUNTIF($C$2:C2638,C2638)=1,MAX($U$1:U2637)+1,""))</f>
        <v/>
      </c>
    </row>
    <row r="2639" customFormat="false" ht="15" hidden="false" customHeight="false" outlineLevel="0" collapsed="false">
      <c r="A2639" s="34"/>
      <c r="B2639" s="9"/>
      <c r="C2639" s="34"/>
      <c r="D2639" s="34"/>
      <c r="E2639" s="34"/>
      <c r="F2639" s="35"/>
      <c r="G2639" s="9"/>
      <c r="H2639" s="9"/>
      <c r="I2639" s="34"/>
      <c r="J2639" s="30" t="str">
        <f aca="false">IF(F2639="","",G2639-B2639)</f>
        <v/>
      </c>
      <c r="K2639" s="31" t="str">
        <f aca="false">IF(F2639="","",IF(H2639&lt;&gt;"",H2639,MAX('Vade Sapması'!$D$3,G2639)))</f>
        <v/>
      </c>
      <c r="L2639" s="30" t="str">
        <f aca="false">IF(F2639="","",K2639-B2639)</f>
        <v/>
      </c>
      <c r="M2639" s="30" t="str">
        <f aca="false">IF(F2639="","",L2639-J2639)</f>
        <v/>
      </c>
      <c r="N2639" s="32" t="str">
        <f aca="false">IF(F2639="","",IF(H2639&lt;&gt;"","Kapandı",IF('Vade Sapması'!$D$3&gt;G2639,"Açık · vadesi geçti","Açık · vadesi gelmedi")))</f>
        <v/>
      </c>
      <c r="O2639" s="30" t="str">
        <f aca="false">IF(F2639="","",IF(AND(H2639="",'Vade Sapması'!$D$3&gt;G2639),'Vade Sapması'!$D$3-G2639,0))</f>
        <v/>
      </c>
      <c r="P2639" s="33" t="str">
        <f aca="false">IF(F2639="","",F2639*J2639)</f>
        <v/>
      </c>
      <c r="Q2639" s="33" t="str">
        <f aca="false">IF(F2639="","",F2639*L2639)</f>
        <v/>
      </c>
      <c r="R2639" s="33" t="str">
        <f aca="false">IF(F2639="","",IF(H2639="",F2639,0))</f>
        <v/>
      </c>
      <c r="S2639" s="32" t="str">
        <f aca="false">IF(F2639="","",IF(N(O2639)=0,"",IF(O2639&lt;=30,"1-30",IF(O2639&lt;=60,"31-60",IF(O2639&lt;=90,"61-90","90+")))))</f>
        <v/>
      </c>
      <c r="T2639" s="32" t="str">
        <f aca="false">IF(F2639="","",IF(E2639="","Diğer",E2639))</f>
        <v/>
      </c>
      <c r="U2639" s="32" t="str">
        <f aca="false">IF(OR(F2639="",C2639=""),"",IF(COUNTIF($C$2:C2639,C2639)=1,MAX($U$1:U2638)+1,""))</f>
        <v/>
      </c>
    </row>
    <row r="2640" customFormat="false" ht="15" hidden="false" customHeight="false" outlineLevel="0" collapsed="false">
      <c r="A2640" s="34"/>
      <c r="B2640" s="9"/>
      <c r="C2640" s="34"/>
      <c r="D2640" s="34"/>
      <c r="E2640" s="34"/>
      <c r="F2640" s="35"/>
      <c r="G2640" s="9"/>
      <c r="H2640" s="9"/>
      <c r="I2640" s="34"/>
      <c r="J2640" s="30" t="str">
        <f aca="false">IF(F2640="","",G2640-B2640)</f>
        <v/>
      </c>
      <c r="K2640" s="31" t="str">
        <f aca="false">IF(F2640="","",IF(H2640&lt;&gt;"",H2640,MAX('Vade Sapması'!$D$3,G2640)))</f>
        <v/>
      </c>
      <c r="L2640" s="30" t="str">
        <f aca="false">IF(F2640="","",K2640-B2640)</f>
        <v/>
      </c>
      <c r="M2640" s="30" t="str">
        <f aca="false">IF(F2640="","",L2640-J2640)</f>
        <v/>
      </c>
      <c r="N2640" s="32" t="str">
        <f aca="false">IF(F2640="","",IF(H2640&lt;&gt;"","Kapandı",IF('Vade Sapması'!$D$3&gt;G2640,"Açık · vadesi geçti","Açık · vadesi gelmedi")))</f>
        <v/>
      </c>
      <c r="O2640" s="30" t="str">
        <f aca="false">IF(F2640="","",IF(AND(H2640="",'Vade Sapması'!$D$3&gt;G2640),'Vade Sapması'!$D$3-G2640,0))</f>
        <v/>
      </c>
      <c r="P2640" s="33" t="str">
        <f aca="false">IF(F2640="","",F2640*J2640)</f>
        <v/>
      </c>
      <c r="Q2640" s="33" t="str">
        <f aca="false">IF(F2640="","",F2640*L2640)</f>
        <v/>
      </c>
      <c r="R2640" s="33" t="str">
        <f aca="false">IF(F2640="","",IF(H2640="",F2640,0))</f>
        <v/>
      </c>
      <c r="S2640" s="32" t="str">
        <f aca="false">IF(F2640="","",IF(N(O2640)=0,"",IF(O2640&lt;=30,"1-30",IF(O2640&lt;=60,"31-60",IF(O2640&lt;=90,"61-90","90+")))))</f>
        <v/>
      </c>
      <c r="T2640" s="32" t="str">
        <f aca="false">IF(F2640="","",IF(E2640="","Diğer",E2640))</f>
        <v/>
      </c>
      <c r="U2640" s="32" t="str">
        <f aca="false">IF(OR(F2640="",C2640=""),"",IF(COUNTIF($C$2:C2640,C2640)=1,MAX($U$1:U2639)+1,""))</f>
        <v/>
      </c>
    </row>
    <row r="2641" customFormat="false" ht="15" hidden="false" customHeight="false" outlineLevel="0" collapsed="false">
      <c r="A2641" s="34"/>
      <c r="B2641" s="9"/>
      <c r="C2641" s="34"/>
      <c r="D2641" s="34"/>
      <c r="E2641" s="34"/>
      <c r="F2641" s="35"/>
      <c r="G2641" s="9"/>
      <c r="H2641" s="9"/>
      <c r="I2641" s="34"/>
      <c r="J2641" s="30" t="str">
        <f aca="false">IF(F2641="","",G2641-B2641)</f>
        <v/>
      </c>
      <c r="K2641" s="31" t="str">
        <f aca="false">IF(F2641="","",IF(H2641&lt;&gt;"",H2641,MAX('Vade Sapması'!$D$3,G2641)))</f>
        <v/>
      </c>
      <c r="L2641" s="30" t="str">
        <f aca="false">IF(F2641="","",K2641-B2641)</f>
        <v/>
      </c>
      <c r="M2641" s="30" t="str">
        <f aca="false">IF(F2641="","",L2641-J2641)</f>
        <v/>
      </c>
      <c r="N2641" s="32" t="str">
        <f aca="false">IF(F2641="","",IF(H2641&lt;&gt;"","Kapandı",IF('Vade Sapması'!$D$3&gt;G2641,"Açık · vadesi geçti","Açık · vadesi gelmedi")))</f>
        <v/>
      </c>
      <c r="O2641" s="30" t="str">
        <f aca="false">IF(F2641="","",IF(AND(H2641="",'Vade Sapması'!$D$3&gt;G2641),'Vade Sapması'!$D$3-G2641,0))</f>
        <v/>
      </c>
      <c r="P2641" s="33" t="str">
        <f aca="false">IF(F2641="","",F2641*J2641)</f>
        <v/>
      </c>
      <c r="Q2641" s="33" t="str">
        <f aca="false">IF(F2641="","",F2641*L2641)</f>
        <v/>
      </c>
      <c r="R2641" s="33" t="str">
        <f aca="false">IF(F2641="","",IF(H2641="",F2641,0))</f>
        <v/>
      </c>
      <c r="S2641" s="32" t="str">
        <f aca="false">IF(F2641="","",IF(N(O2641)=0,"",IF(O2641&lt;=30,"1-30",IF(O2641&lt;=60,"31-60",IF(O2641&lt;=90,"61-90","90+")))))</f>
        <v/>
      </c>
      <c r="T2641" s="32" t="str">
        <f aca="false">IF(F2641="","",IF(E2641="","Diğer",E2641))</f>
        <v/>
      </c>
      <c r="U2641" s="32" t="str">
        <f aca="false">IF(OR(F2641="",C2641=""),"",IF(COUNTIF($C$2:C2641,C2641)=1,MAX($U$1:U2640)+1,""))</f>
        <v/>
      </c>
    </row>
    <row r="2642" customFormat="false" ht="15" hidden="false" customHeight="false" outlineLevel="0" collapsed="false">
      <c r="A2642" s="34"/>
      <c r="B2642" s="9"/>
      <c r="C2642" s="34"/>
      <c r="D2642" s="34"/>
      <c r="E2642" s="34"/>
      <c r="F2642" s="35"/>
      <c r="G2642" s="9"/>
      <c r="H2642" s="9"/>
      <c r="I2642" s="34"/>
      <c r="J2642" s="30" t="str">
        <f aca="false">IF(F2642="","",G2642-B2642)</f>
        <v/>
      </c>
      <c r="K2642" s="31" t="str">
        <f aca="false">IF(F2642="","",IF(H2642&lt;&gt;"",H2642,MAX('Vade Sapması'!$D$3,G2642)))</f>
        <v/>
      </c>
      <c r="L2642" s="30" t="str">
        <f aca="false">IF(F2642="","",K2642-B2642)</f>
        <v/>
      </c>
      <c r="M2642" s="30" t="str">
        <f aca="false">IF(F2642="","",L2642-J2642)</f>
        <v/>
      </c>
      <c r="N2642" s="32" t="str">
        <f aca="false">IF(F2642="","",IF(H2642&lt;&gt;"","Kapandı",IF('Vade Sapması'!$D$3&gt;G2642,"Açık · vadesi geçti","Açık · vadesi gelmedi")))</f>
        <v/>
      </c>
      <c r="O2642" s="30" t="str">
        <f aca="false">IF(F2642="","",IF(AND(H2642="",'Vade Sapması'!$D$3&gt;G2642),'Vade Sapması'!$D$3-G2642,0))</f>
        <v/>
      </c>
      <c r="P2642" s="33" t="str">
        <f aca="false">IF(F2642="","",F2642*J2642)</f>
        <v/>
      </c>
      <c r="Q2642" s="33" t="str">
        <f aca="false">IF(F2642="","",F2642*L2642)</f>
        <v/>
      </c>
      <c r="R2642" s="33" t="str">
        <f aca="false">IF(F2642="","",IF(H2642="",F2642,0))</f>
        <v/>
      </c>
      <c r="S2642" s="32" t="str">
        <f aca="false">IF(F2642="","",IF(N(O2642)=0,"",IF(O2642&lt;=30,"1-30",IF(O2642&lt;=60,"31-60",IF(O2642&lt;=90,"61-90","90+")))))</f>
        <v/>
      </c>
      <c r="T2642" s="32" t="str">
        <f aca="false">IF(F2642="","",IF(E2642="","Diğer",E2642))</f>
        <v/>
      </c>
      <c r="U2642" s="32" t="str">
        <f aca="false">IF(OR(F2642="",C2642=""),"",IF(COUNTIF($C$2:C2642,C2642)=1,MAX($U$1:U2641)+1,""))</f>
        <v/>
      </c>
    </row>
    <row r="2643" customFormat="false" ht="15" hidden="false" customHeight="false" outlineLevel="0" collapsed="false">
      <c r="A2643" s="34"/>
      <c r="B2643" s="9"/>
      <c r="C2643" s="34"/>
      <c r="D2643" s="34"/>
      <c r="E2643" s="34"/>
      <c r="F2643" s="35"/>
      <c r="G2643" s="9"/>
      <c r="H2643" s="9"/>
      <c r="I2643" s="34"/>
      <c r="J2643" s="30" t="str">
        <f aca="false">IF(F2643="","",G2643-B2643)</f>
        <v/>
      </c>
      <c r="K2643" s="31" t="str">
        <f aca="false">IF(F2643="","",IF(H2643&lt;&gt;"",H2643,MAX('Vade Sapması'!$D$3,G2643)))</f>
        <v/>
      </c>
      <c r="L2643" s="30" t="str">
        <f aca="false">IF(F2643="","",K2643-B2643)</f>
        <v/>
      </c>
      <c r="M2643" s="30" t="str">
        <f aca="false">IF(F2643="","",L2643-J2643)</f>
        <v/>
      </c>
      <c r="N2643" s="32" t="str">
        <f aca="false">IF(F2643="","",IF(H2643&lt;&gt;"","Kapandı",IF('Vade Sapması'!$D$3&gt;G2643,"Açık · vadesi geçti","Açık · vadesi gelmedi")))</f>
        <v/>
      </c>
      <c r="O2643" s="30" t="str">
        <f aca="false">IF(F2643="","",IF(AND(H2643="",'Vade Sapması'!$D$3&gt;G2643),'Vade Sapması'!$D$3-G2643,0))</f>
        <v/>
      </c>
      <c r="P2643" s="33" t="str">
        <f aca="false">IF(F2643="","",F2643*J2643)</f>
        <v/>
      </c>
      <c r="Q2643" s="33" t="str">
        <f aca="false">IF(F2643="","",F2643*L2643)</f>
        <v/>
      </c>
      <c r="R2643" s="33" t="str">
        <f aca="false">IF(F2643="","",IF(H2643="",F2643,0))</f>
        <v/>
      </c>
      <c r="S2643" s="32" t="str">
        <f aca="false">IF(F2643="","",IF(N(O2643)=0,"",IF(O2643&lt;=30,"1-30",IF(O2643&lt;=60,"31-60",IF(O2643&lt;=90,"61-90","90+")))))</f>
        <v/>
      </c>
      <c r="T2643" s="32" t="str">
        <f aca="false">IF(F2643="","",IF(E2643="","Diğer",E2643))</f>
        <v/>
      </c>
      <c r="U2643" s="32" t="str">
        <f aca="false">IF(OR(F2643="",C2643=""),"",IF(COUNTIF($C$2:C2643,C2643)=1,MAX($U$1:U2642)+1,""))</f>
        <v/>
      </c>
    </row>
    <row r="2644" customFormat="false" ht="15" hidden="false" customHeight="false" outlineLevel="0" collapsed="false">
      <c r="A2644" s="34"/>
      <c r="B2644" s="9"/>
      <c r="C2644" s="34"/>
      <c r="D2644" s="34"/>
      <c r="E2644" s="34"/>
      <c r="F2644" s="35"/>
      <c r="G2644" s="9"/>
      <c r="H2644" s="9"/>
      <c r="I2644" s="34"/>
      <c r="J2644" s="30" t="str">
        <f aca="false">IF(F2644="","",G2644-B2644)</f>
        <v/>
      </c>
      <c r="K2644" s="31" t="str">
        <f aca="false">IF(F2644="","",IF(H2644&lt;&gt;"",H2644,MAX('Vade Sapması'!$D$3,G2644)))</f>
        <v/>
      </c>
      <c r="L2644" s="30" t="str">
        <f aca="false">IF(F2644="","",K2644-B2644)</f>
        <v/>
      </c>
      <c r="M2644" s="30" t="str">
        <f aca="false">IF(F2644="","",L2644-J2644)</f>
        <v/>
      </c>
      <c r="N2644" s="32" t="str">
        <f aca="false">IF(F2644="","",IF(H2644&lt;&gt;"","Kapandı",IF('Vade Sapması'!$D$3&gt;G2644,"Açık · vadesi geçti","Açık · vadesi gelmedi")))</f>
        <v/>
      </c>
      <c r="O2644" s="30" t="str">
        <f aca="false">IF(F2644="","",IF(AND(H2644="",'Vade Sapması'!$D$3&gt;G2644),'Vade Sapması'!$D$3-G2644,0))</f>
        <v/>
      </c>
      <c r="P2644" s="33" t="str">
        <f aca="false">IF(F2644="","",F2644*J2644)</f>
        <v/>
      </c>
      <c r="Q2644" s="33" t="str">
        <f aca="false">IF(F2644="","",F2644*L2644)</f>
        <v/>
      </c>
      <c r="R2644" s="33" t="str">
        <f aca="false">IF(F2644="","",IF(H2644="",F2644,0))</f>
        <v/>
      </c>
      <c r="S2644" s="32" t="str">
        <f aca="false">IF(F2644="","",IF(N(O2644)=0,"",IF(O2644&lt;=30,"1-30",IF(O2644&lt;=60,"31-60",IF(O2644&lt;=90,"61-90","90+")))))</f>
        <v/>
      </c>
      <c r="T2644" s="32" t="str">
        <f aca="false">IF(F2644="","",IF(E2644="","Diğer",E2644))</f>
        <v/>
      </c>
      <c r="U2644" s="32" t="str">
        <f aca="false">IF(OR(F2644="",C2644=""),"",IF(COUNTIF($C$2:C2644,C2644)=1,MAX($U$1:U2643)+1,""))</f>
        <v/>
      </c>
    </row>
    <row r="2645" customFormat="false" ht="15" hidden="false" customHeight="false" outlineLevel="0" collapsed="false">
      <c r="A2645" s="34"/>
      <c r="B2645" s="9"/>
      <c r="C2645" s="34"/>
      <c r="D2645" s="34"/>
      <c r="E2645" s="34"/>
      <c r="F2645" s="35"/>
      <c r="G2645" s="9"/>
      <c r="H2645" s="9"/>
      <c r="I2645" s="34"/>
      <c r="J2645" s="30" t="str">
        <f aca="false">IF(F2645="","",G2645-B2645)</f>
        <v/>
      </c>
      <c r="K2645" s="31" t="str">
        <f aca="false">IF(F2645="","",IF(H2645&lt;&gt;"",H2645,MAX('Vade Sapması'!$D$3,G2645)))</f>
        <v/>
      </c>
      <c r="L2645" s="30" t="str">
        <f aca="false">IF(F2645="","",K2645-B2645)</f>
        <v/>
      </c>
      <c r="M2645" s="30" t="str">
        <f aca="false">IF(F2645="","",L2645-J2645)</f>
        <v/>
      </c>
      <c r="N2645" s="32" t="str">
        <f aca="false">IF(F2645="","",IF(H2645&lt;&gt;"","Kapandı",IF('Vade Sapması'!$D$3&gt;G2645,"Açık · vadesi geçti","Açık · vadesi gelmedi")))</f>
        <v/>
      </c>
      <c r="O2645" s="30" t="str">
        <f aca="false">IF(F2645="","",IF(AND(H2645="",'Vade Sapması'!$D$3&gt;G2645),'Vade Sapması'!$D$3-G2645,0))</f>
        <v/>
      </c>
      <c r="P2645" s="33" t="str">
        <f aca="false">IF(F2645="","",F2645*J2645)</f>
        <v/>
      </c>
      <c r="Q2645" s="33" t="str">
        <f aca="false">IF(F2645="","",F2645*L2645)</f>
        <v/>
      </c>
      <c r="R2645" s="33" t="str">
        <f aca="false">IF(F2645="","",IF(H2645="",F2645,0))</f>
        <v/>
      </c>
      <c r="S2645" s="32" t="str">
        <f aca="false">IF(F2645="","",IF(N(O2645)=0,"",IF(O2645&lt;=30,"1-30",IF(O2645&lt;=60,"31-60",IF(O2645&lt;=90,"61-90","90+")))))</f>
        <v/>
      </c>
      <c r="T2645" s="32" t="str">
        <f aca="false">IF(F2645="","",IF(E2645="","Diğer",E2645))</f>
        <v/>
      </c>
      <c r="U2645" s="32" t="str">
        <f aca="false">IF(OR(F2645="",C2645=""),"",IF(COUNTIF($C$2:C2645,C2645)=1,MAX($U$1:U2644)+1,""))</f>
        <v/>
      </c>
    </row>
    <row r="2646" customFormat="false" ht="15" hidden="false" customHeight="false" outlineLevel="0" collapsed="false">
      <c r="A2646" s="34"/>
      <c r="B2646" s="9"/>
      <c r="C2646" s="34"/>
      <c r="D2646" s="34"/>
      <c r="E2646" s="34"/>
      <c r="F2646" s="35"/>
      <c r="G2646" s="9"/>
      <c r="H2646" s="9"/>
      <c r="I2646" s="34"/>
      <c r="J2646" s="30" t="str">
        <f aca="false">IF(F2646="","",G2646-B2646)</f>
        <v/>
      </c>
      <c r="K2646" s="31" t="str">
        <f aca="false">IF(F2646="","",IF(H2646&lt;&gt;"",H2646,MAX('Vade Sapması'!$D$3,G2646)))</f>
        <v/>
      </c>
      <c r="L2646" s="30" t="str">
        <f aca="false">IF(F2646="","",K2646-B2646)</f>
        <v/>
      </c>
      <c r="M2646" s="30" t="str">
        <f aca="false">IF(F2646="","",L2646-J2646)</f>
        <v/>
      </c>
      <c r="N2646" s="32" t="str">
        <f aca="false">IF(F2646="","",IF(H2646&lt;&gt;"","Kapandı",IF('Vade Sapması'!$D$3&gt;G2646,"Açık · vadesi geçti","Açık · vadesi gelmedi")))</f>
        <v/>
      </c>
      <c r="O2646" s="30" t="str">
        <f aca="false">IF(F2646="","",IF(AND(H2646="",'Vade Sapması'!$D$3&gt;G2646),'Vade Sapması'!$D$3-G2646,0))</f>
        <v/>
      </c>
      <c r="P2646" s="33" t="str">
        <f aca="false">IF(F2646="","",F2646*J2646)</f>
        <v/>
      </c>
      <c r="Q2646" s="33" t="str">
        <f aca="false">IF(F2646="","",F2646*L2646)</f>
        <v/>
      </c>
      <c r="R2646" s="33" t="str">
        <f aca="false">IF(F2646="","",IF(H2646="",F2646,0))</f>
        <v/>
      </c>
      <c r="S2646" s="32" t="str">
        <f aca="false">IF(F2646="","",IF(N(O2646)=0,"",IF(O2646&lt;=30,"1-30",IF(O2646&lt;=60,"31-60",IF(O2646&lt;=90,"61-90","90+")))))</f>
        <v/>
      </c>
      <c r="T2646" s="32" t="str">
        <f aca="false">IF(F2646="","",IF(E2646="","Diğer",E2646))</f>
        <v/>
      </c>
      <c r="U2646" s="32" t="str">
        <f aca="false">IF(OR(F2646="",C2646=""),"",IF(COUNTIF($C$2:C2646,C2646)=1,MAX($U$1:U2645)+1,""))</f>
        <v/>
      </c>
    </row>
    <row r="2647" customFormat="false" ht="15" hidden="false" customHeight="false" outlineLevel="0" collapsed="false">
      <c r="A2647" s="34"/>
      <c r="B2647" s="9"/>
      <c r="C2647" s="34"/>
      <c r="D2647" s="34"/>
      <c r="E2647" s="34"/>
      <c r="F2647" s="35"/>
      <c r="G2647" s="9"/>
      <c r="H2647" s="9"/>
      <c r="I2647" s="34"/>
      <c r="J2647" s="30" t="str">
        <f aca="false">IF(F2647="","",G2647-B2647)</f>
        <v/>
      </c>
      <c r="K2647" s="31" t="str">
        <f aca="false">IF(F2647="","",IF(H2647&lt;&gt;"",H2647,MAX('Vade Sapması'!$D$3,G2647)))</f>
        <v/>
      </c>
      <c r="L2647" s="30" t="str">
        <f aca="false">IF(F2647="","",K2647-B2647)</f>
        <v/>
      </c>
      <c r="M2647" s="30" t="str">
        <f aca="false">IF(F2647="","",L2647-J2647)</f>
        <v/>
      </c>
      <c r="N2647" s="32" t="str">
        <f aca="false">IF(F2647="","",IF(H2647&lt;&gt;"","Kapandı",IF('Vade Sapması'!$D$3&gt;G2647,"Açık · vadesi geçti","Açık · vadesi gelmedi")))</f>
        <v/>
      </c>
      <c r="O2647" s="30" t="str">
        <f aca="false">IF(F2647="","",IF(AND(H2647="",'Vade Sapması'!$D$3&gt;G2647),'Vade Sapması'!$D$3-G2647,0))</f>
        <v/>
      </c>
      <c r="P2647" s="33" t="str">
        <f aca="false">IF(F2647="","",F2647*J2647)</f>
        <v/>
      </c>
      <c r="Q2647" s="33" t="str">
        <f aca="false">IF(F2647="","",F2647*L2647)</f>
        <v/>
      </c>
      <c r="R2647" s="33" t="str">
        <f aca="false">IF(F2647="","",IF(H2647="",F2647,0))</f>
        <v/>
      </c>
      <c r="S2647" s="32" t="str">
        <f aca="false">IF(F2647="","",IF(N(O2647)=0,"",IF(O2647&lt;=30,"1-30",IF(O2647&lt;=60,"31-60",IF(O2647&lt;=90,"61-90","90+")))))</f>
        <v/>
      </c>
      <c r="T2647" s="32" t="str">
        <f aca="false">IF(F2647="","",IF(E2647="","Diğer",E2647))</f>
        <v/>
      </c>
      <c r="U2647" s="32" t="str">
        <f aca="false">IF(OR(F2647="",C2647=""),"",IF(COUNTIF($C$2:C2647,C2647)=1,MAX($U$1:U2646)+1,""))</f>
        <v/>
      </c>
    </row>
    <row r="2648" customFormat="false" ht="15" hidden="false" customHeight="false" outlineLevel="0" collapsed="false">
      <c r="A2648" s="34"/>
      <c r="B2648" s="9"/>
      <c r="C2648" s="34"/>
      <c r="D2648" s="34"/>
      <c r="E2648" s="34"/>
      <c r="F2648" s="35"/>
      <c r="G2648" s="9"/>
      <c r="H2648" s="9"/>
      <c r="I2648" s="34"/>
      <c r="J2648" s="30" t="str">
        <f aca="false">IF(F2648="","",G2648-B2648)</f>
        <v/>
      </c>
      <c r="K2648" s="31" t="str">
        <f aca="false">IF(F2648="","",IF(H2648&lt;&gt;"",H2648,MAX('Vade Sapması'!$D$3,G2648)))</f>
        <v/>
      </c>
      <c r="L2648" s="30" t="str">
        <f aca="false">IF(F2648="","",K2648-B2648)</f>
        <v/>
      </c>
      <c r="M2648" s="30" t="str">
        <f aca="false">IF(F2648="","",L2648-J2648)</f>
        <v/>
      </c>
      <c r="N2648" s="32" t="str">
        <f aca="false">IF(F2648="","",IF(H2648&lt;&gt;"","Kapandı",IF('Vade Sapması'!$D$3&gt;G2648,"Açık · vadesi geçti","Açık · vadesi gelmedi")))</f>
        <v/>
      </c>
      <c r="O2648" s="30" t="str">
        <f aca="false">IF(F2648="","",IF(AND(H2648="",'Vade Sapması'!$D$3&gt;G2648),'Vade Sapması'!$D$3-G2648,0))</f>
        <v/>
      </c>
      <c r="P2648" s="33" t="str">
        <f aca="false">IF(F2648="","",F2648*J2648)</f>
        <v/>
      </c>
      <c r="Q2648" s="33" t="str">
        <f aca="false">IF(F2648="","",F2648*L2648)</f>
        <v/>
      </c>
      <c r="R2648" s="33" t="str">
        <f aca="false">IF(F2648="","",IF(H2648="",F2648,0))</f>
        <v/>
      </c>
      <c r="S2648" s="32" t="str">
        <f aca="false">IF(F2648="","",IF(N(O2648)=0,"",IF(O2648&lt;=30,"1-30",IF(O2648&lt;=60,"31-60",IF(O2648&lt;=90,"61-90","90+")))))</f>
        <v/>
      </c>
      <c r="T2648" s="32" t="str">
        <f aca="false">IF(F2648="","",IF(E2648="","Diğer",E2648))</f>
        <v/>
      </c>
      <c r="U2648" s="32" t="str">
        <f aca="false">IF(OR(F2648="",C2648=""),"",IF(COUNTIF($C$2:C2648,C2648)=1,MAX($U$1:U2647)+1,""))</f>
        <v/>
      </c>
    </row>
    <row r="2649" customFormat="false" ht="15" hidden="false" customHeight="false" outlineLevel="0" collapsed="false">
      <c r="A2649" s="34"/>
      <c r="B2649" s="9"/>
      <c r="C2649" s="34"/>
      <c r="D2649" s="34"/>
      <c r="E2649" s="34"/>
      <c r="F2649" s="35"/>
      <c r="G2649" s="9"/>
      <c r="H2649" s="9"/>
      <c r="I2649" s="34"/>
      <c r="J2649" s="30" t="str">
        <f aca="false">IF(F2649="","",G2649-B2649)</f>
        <v/>
      </c>
      <c r="K2649" s="31" t="str">
        <f aca="false">IF(F2649="","",IF(H2649&lt;&gt;"",H2649,MAX('Vade Sapması'!$D$3,G2649)))</f>
        <v/>
      </c>
      <c r="L2649" s="30" t="str">
        <f aca="false">IF(F2649="","",K2649-B2649)</f>
        <v/>
      </c>
      <c r="M2649" s="30" t="str">
        <f aca="false">IF(F2649="","",L2649-J2649)</f>
        <v/>
      </c>
      <c r="N2649" s="32" t="str">
        <f aca="false">IF(F2649="","",IF(H2649&lt;&gt;"","Kapandı",IF('Vade Sapması'!$D$3&gt;G2649,"Açık · vadesi geçti","Açık · vadesi gelmedi")))</f>
        <v/>
      </c>
      <c r="O2649" s="30" t="str">
        <f aca="false">IF(F2649="","",IF(AND(H2649="",'Vade Sapması'!$D$3&gt;G2649),'Vade Sapması'!$D$3-G2649,0))</f>
        <v/>
      </c>
      <c r="P2649" s="33" t="str">
        <f aca="false">IF(F2649="","",F2649*J2649)</f>
        <v/>
      </c>
      <c r="Q2649" s="33" t="str">
        <f aca="false">IF(F2649="","",F2649*L2649)</f>
        <v/>
      </c>
      <c r="R2649" s="33" t="str">
        <f aca="false">IF(F2649="","",IF(H2649="",F2649,0))</f>
        <v/>
      </c>
      <c r="S2649" s="32" t="str">
        <f aca="false">IF(F2649="","",IF(N(O2649)=0,"",IF(O2649&lt;=30,"1-30",IF(O2649&lt;=60,"31-60",IF(O2649&lt;=90,"61-90","90+")))))</f>
        <v/>
      </c>
      <c r="T2649" s="32" t="str">
        <f aca="false">IF(F2649="","",IF(E2649="","Diğer",E2649))</f>
        <v/>
      </c>
      <c r="U2649" s="32" t="str">
        <f aca="false">IF(OR(F2649="",C2649=""),"",IF(COUNTIF($C$2:C2649,C2649)=1,MAX($U$1:U2648)+1,""))</f>
        <v/>
      </c>
    </row>
    <row r="2650" customFormat="false" ht="15" hidden="false" customHeight="false" outlineLevel="0" collapsed="false">
      <c r="A2650" s="34"/>
      <c r="B2650" s="9"/>
      <c r="C2650" s="34"/>
      <c r="D2650" s="34"/>
      <c r="E2650" s="34"/>
      <c r="F2650" s="35"/>
      <c r="G2650" s="9"/>
      <c r="H2650" s="9"/>
      <c r="I2650" s="34"/>
      <c r="J2650" s="30" t="str">
        <f aca="false">IF(F2650="","",G2650-B2650)</f>
        <v/>
      </c>
      <c r="K2650" s="31" t="str">
        <f aca="false">IF(F2650="","",IF(H2650&lt;&gt;"",H2650,MAX('Vade Sapması'!$D$3,G2650)))</f>
        <v/>
      </c>
      <c r="L2650" s="30" t="str">
        <f aca="false">IF(F2650="","",K2650-B2650)</f>
        <v/>
      </c>
      <c r="M2650" s="30" t="str">
        <f aca="false">IF(F2650="","",L2650-J2650)</f>
        <v/>
      </c>
      <c r="N2650" s="32" t="str">
        <f aca="false">IF(F2650="","",IF(H2650&lt;&gt;"","Kapandı",IF('Vade Sapması'!$D$3&gt;G2650,"Açık · vadesi geçti","Açık · vadesi gelmedi")))</f>
        <v/>
      </c>
      <c r="O2650" s="30" t="str">
        <f aca="false">IF(F2650="","",IF(AND(H2650="",'Vade Sapması'!$D$3&gt;G2650),'Vade Sapması'!$D$3-G2650,0))</f>
        <v/>
      </c>
      <c r="P2650" s="33" t="str">
        <f aca="false">IF(F2650="","",F2650*J2650)</f>
        <v/>
      </c>
      <c r="Q2650" s="33" t="str">
        <f aca="false">IF(F2650="","",F2650*L2650)</f>
        <v/>
      </c>
      <c r="R2650" s="33" t="str">
        <f aca="false">IF(F2650="","",IF(H2650="",F2650,0))</f>
        <v/>
      </c>
      <c r="S2650" s="32" t="str">
        <f aca="false">IF(F2650="","",IF(N(O2650)=0,"",IF(O2650&lt;=30,"1-30",IF(O2650&lt;=60,"31-60",IF(O2650&lt;=90,"61-90","90+")))))</f>
        <v/>
      </c>
      <c r="T2650" s="32" t="str">
        <f aca="false">IF(F2650="","",IF(E2650="","Diğer",E2650))</f>
        <v/>
      </c>
      <c r="U2650" s="32" t="str">
        <f aca="false">IF(OR(F2650="",C2650=""),"",IF(COUNTIF($C$2:C2650,C2650)=1,MAX($U$1:U2649)+1,""))</f>
        <v/>
      </c>
    </row>
    <row r="2651" customFormat="false" ht="15" hidden="false" customHeight="false" outlineLevel="0" collapsed="false">
      <c r="A2651" s="34"/>
      <c r="B2651" s="9"/>
      <c r="C2651" s="34"/>
      <c r="D2651" s="34"/>
      <c r="E2651" s="34"/>
      <c r="F2651" s="35"/>
      <c r="G2651" s="9"/>
      <c r="H2651" s="9"/>
      <c r="I2651" s="34"/>
      <c r="J2651" s="30" t="str">
        <f aca="false">IF(F2651="","",G2651-B2651)</f>
        <v/>
      </c>
      <c r="K2651" s="31" t="str">
        <f aca="false">IF(F2651="","",IF(H2651&lt;&gt;"",H2651,MAX('Vade Sapması'!$D$3,G2651)))</f>
        <v/>
      </c>
      <c r="L2651" s="30" t="str">
        <f aca="false">IF(F2651="","",K2651-B2651)</f>
        <v/>
      </c>
      <c r="M2651" s="30" t="str">
        <f aca="false">IF(F2651="","",L2651-J2651)</f>
        <v/>
      </c>
      <c r="N2651" s="32" t="str">
        <f aca="false">IF(F2651="","",IF(H2651&lt;&gt;"","Kapandı",IF('Vade Sapması'!$D$3&gt;G2651,"Açık · vadesi geçti","Açık · vadesi gelmedi")))</f>
        <v/>
      </c>
      <c r="O2651" s="30" t="str">
        <f aca="false">IF(F2651="","",IF(AND(H2651="",'Vade Sapması'!$D$3&gt;G2651),'Vade Sapması'!$D$3-G2651,0))</f>
        <v/>
      </c>
      <c r="P2651" s="33" t="str">
        <f aca="false">IF(F2651="","",F2651*J2651)</f>
        <v/>
      </c>
      <c r="Q2651" s="33" t="str">
        <f aca="false">IF(F2651="","",F2651*L2651)</f>
        <v/>
      </c>
      <c r="R2651" s="33" t="str">
        <f aca="false">IF(F2651="","",IF(H2651="",F2651,0))</f>
        <v/>
      </c>
      <c r="S2651" s="32" t="str">
        <f aca="false">IF(F2651="","",IF(N(O2651)=0,"",IF(O2651&lt;=30,"1-30",IF(O2651&lt;=60,"31-60",IF(O2651&lt;=90,"61-90","90+")))))</f>
        <v/>
      </c>
      <c r="T2651" s="32" t="str">
        <f aca="false">IF(F2651="","",IF(E2651="","Diğer",E2651))</f>
        <v/>
      </c>
      <c r="U2651" s="32" t="str">
        <f aca="false">IF(OR(F2651="",C2651=""),"",IF(COUNTIF($C$2:C2651,C2651)=1,MAX($U$1:U2650)+1,""))</f>
        <v/>
      </c>
    </row>
    <row r="2652" customFormat="false" ht="15" hidden="false" customHeight="false" outlineLevel="0" collapsed="false">
      <c r="A2652" s="34"/>
      <c r="B2652" s="9"/>
      <c r="C2652" s="34"/>
      <c r="D2652" s="34"/>
      <c r="E2652" s="34"/>
      <c r="F2652" s="35"/>
      <c r="G2652" s="9"/>
      <c r="H2652" s="9"/>
      <c r="I2652" s="34"/>
      <c r="J2652" s="30" t="str">
        <f aca="false">IF(F2652="","",G2652-B2652)</f>
        <v/>
      </c>
      <c r="K2652" s="31" t="str">
        <f aca="false">IF(F2652="","",IF(H2652&lt;&gt;"",H2652,MAX('Vade Sapması'!$D$3,G2652)))</f>
        <v/>
      </c>
      <c r="L2652" s="30" t="str">
        <f aca="false">IF(F2652="","",K2652-B2652)</f>
        <v/>
      </c>
      <c r="M2652" s="30" t="str">
        <f aca="false">IF(F2652="","",L2652-J2652)</f>
        <v/>
      </c>
      <c r="N2652" s="32" t="str">
        <f aca="false">IF(F2652="","",IF(H2652&lt;&gt;"","Kapandı",IF('Vade Sapması'!$D$3&gt;G2652,"Açık · vadesi geçti","Açık · vadesi gelmedi")))</f>
        <v/>
      </c>
      <c r="O2652" s="30" t="str">
        <f aca="false">IF(F2652="","",IF(AND(H2652="",'Vade Sapması'!$D$3&gt;G2652),'Vade Sapması'!$D$3-G2652,0))</f>
        <v/>
      </c>
      <c r="P2652" s="33" t="str">
        <f aca="false">IF(F2652="","",F2652*J2652)</f>
        <v/>
      </c>
      <c r="Q2652" s="33" t="str">
        <f aca="false">IF(F2652="","",F2652*L2652)</f>
        <v/>
      </c>
      <c r="R2652" s="33" t="str">
        <f aca="false">IF(F2652="","",IF(H2652="",F2652,0))</f>
        <v/>
      </c>
      <c r="S2652" s="32" t="str">
        <f aca="false">IF(F2652="","",IF(N(O2652)=0,"",IF(O2652&lt;=30,"1-30",IF(O2652&lt;=60,"31-60",IF(O2652&lt;=90,"61-90","90+")))))</f>
        <v/>
      </c>
      <c r="T2652" s="32" t="str">
        <f aca="false">IF(F2652="","",IF(E2652="","Diğer",E2652))</f>
        <v/>
      </c>
      <c r="U2652" s="32" t="str">
        <f aca="false">IF(OR(F2652="",C2652=""),"",IF(COUNTIF($C$2:C2652,C2652)=1,MAX($U$1:U2651)+1,""))</f>
        <v/>
      </c>
    </row>
    <row r="2653" customFormat="false" ht="15" hidden="false" customHeight="false" outlineLevel="0" collapsed="false">
      <c r="A2653" s="34"/>
      <c r="B2653" s="9"/>
      <c r="C2653" s="34"/>
      <c r="D2653" s="34"/>
      <c r="E2653" s="34"/>
      <c r="F2653" s="35"/>
      <c r="G2653" s="9"/>
      <c r="H2653" s="9"/>
      <c r="I2653" s="34"/>
      <c r="J2653" s="30" t="str">
        <f aca="false">IF(F2653="","",G2653-B2653)</f>
        <v/>
      </c>
      <c r="K2653" s="31" t="str">
        <f aca="false">IF(F2653="","",IF(H2653&lt;&gt;"",H2653,MAX('Vade Sapması'!$D$3,G2653)))</f>
        <v/>
      </c>
      <c r="L2653" s="30" t="str">
        <f aca="false">IF(F2653="","",K2653-B2653)</f>
        <v/>
      </c>
      <c r="M2653" s="30" t="str">
        <f aca="false">IF(F2653="","",L2653-J2653)</f>
        <v/>
      </c>
      <c r="N2653" s="32" t="str">
        <f aca="false">IF(F2653="","",IF(H2653&lt;&gt;"","Kapandı",IF('Vade Sapması'!$D$3&gt;G2653,"Açık · vadesi geçti","Açık · vadesi gelmedi")))</f>
        <v/>
      </c>
      <c r="O2653" s="30" t="str">
        <f aca="false">IF(F2653="","",IF(AND(H2653="",'Vade Sapması'!$D$3&gt;G2653),'Vade Sapması'!$D$3-G2653,0))</f>
        <v/>
      </c>
      <c r="P2653" s="33" t="str">
        <f aca="false">IF(F2653="","",F2653*J2653)</f>
        <v/>
      </c>
      <c r="Q2653" s="33" t="str">
        <f aca="false">IF(F2653="","",F2653*L2653)</f>
        <v/>
      </c>
      <c r="R2653" s="33" t="str">
        <f aca="false">IF(F2653="","",IF(H2653="",F2653,0))</f>
        <v/>
      </c>
      <c r="S2653" s="32" t="str">
        <f aca="false">IF(F2653="","",IF(N(O2653)=0,"",IF(O2653&lt;=30,"1-30",IF(O2653&lt;=60,"31-60",IF(O2653&lt;=90,"61-90","90+")))))</f>
        <v/>
      </c>
      <c r="T2653" s="32" t="str">
        <f aca="false">IF(F2653="","",IF(E2653="","Diğer",E2653))</f>
        <v/>
      </c>
      <c r="U2653" s="32" t="str">
        <f aca="false">IF(OR(F2653="",C2653=""),"",IF(COUNTIF($C$2:C2653,C2653)=1,MAX($U$1:U2652)+1,""))</f>
        <v/>
      </c>
    </row>
    <row r="2654" customFormat="false" ht="15" hidden="false" customHeight="false" outlineLevel="0" collapsed="false">
      <c r="A2654" s="34"/>
      <c r="B2654" s="9"/>
      <c r="C2654" s="34"/>
      <c r="D2654" s="34"/>
      <c r="E2654" s="34"/>
      <c r="F2654" s="35"/>
      <c r="G2654" s="9"/>
      <c r="H2654" s="9"/>
      <c r="I2654" s="34"/>
      <c r="J2654" s="30" t="str">
        <f aca="false">IF(F2654="","",G2654-B2654)</f>
        <v/>
      </c>
      <c r="K2654" s="31" t="str">
        <f aca="false">IF(F2654="","",IF(H2654&lt;&gt;"",H2654,MAX('Vade Sapması'!$D$3,G2654)))</f>
        <v/>
      </c>
      <c r="L2654" s="30" t="str">
        <f aca="false">IF(F2654="","",K2654-B2654)</f>
        <v/>
      </c>
      <c r="M2654" s="30" t="str">
        <f aca="false">IF(F2654="","",L2654-J2654)</f>
        <v/>
      </c>
      <c r="N2654" s="32" t="str">
        <f aca="false">IF(F2654="","",IF(H2654&lt;&gt;"","Kapandı",IF('Vade Sapması'!$D$3&gt;G2654,"Açık · vadesi geçti","Açık · vadesi gelmedi")))</f>
        <v/>
      </c>
      <c r="O2654" s="30" t="str">
        <f aca="false">IF(F2654="","",IF(AND(H2654="",'Vade Sapması'!$D$3&gt;G2654),'Vade Sapması'!$D$3-G2654,0))</f>
        <v/>
      </c>
      <c r="P2654" s="33" t="str">
        <f aca="false">IF(F2654="","",F2654*J2654)</f>
        <v/>
      </c>
      <c r="Q2654" s="33" t="str">
        <f aca="false">IF(F2654="","",F2654*L2654)</f>
        <v/>
      </c>
      <c r="R2654" s="33" t="str">
        <f aca="false">IF(F2654="","",IF(H2654="",F2654,0))</f>
        <v/>
      </c>
      <c r="S2654" s="32" t="str">
        <f aca="false">IF(F2654="","",IF(N(O2654)=0,"",IF(O2654&lt;=30,"1-30",IF(O2654&lt;=60,"31-60",IF(O2654&lt;=90,"61-90","90+")))))</f>
        <v/>
      </c>
      <c r="T2654" s="32" t="str">
        <f aca="false">IF(F2654="","",IF(E2654="","Diğer",E2654))</f>
        <v/>
      </c>
      <c r="U2654" s="32" t="str">
        <f aca="false">IF(OR(F2654="",C2654=""),"",IF(COUNTIF($C$2:C2654,C2654)=1,MAX($U$1:U2653)+1,""))</f>
        <v/>
      </c>
    </row>
    <row r="2655" customFormat="false" ht="15" hidden="false" customHeight="false" outlineLevel="0" collapsed="false">
      <c r="A2655" s="34"/>
      <c r="B2655" s="9"/>
      <c r="C2655" s="34"/>
      <c r="D2655" s="34"/>
      <c r="E2655" s="34"/>
      <c r="F2655" s="35"/>
      <c r="G2655" s="9"/>
      <c r="H2655" s="9"/>
      <c r="I2655" s="34"/>
      <c r="J2655" s="30" t="str">
        <f aca="false">IF(F2655="","",G2655-B2655)</f>
        <v/>
      </c>
      <c r="K2655" s="31" t="str">
        <f aca="false">IF(F2655="","",IF(H2655&lt;&gt;"",H2655,MAX('Vade Sapması'!$D$3,G2655)))</f>
        <v/>
      </c>
      <c r="L2655" s="30" t="str">
        <f aca="false">IF(F2655="","",K2655-B2655)</f>
        <v/>
      </c>
      <c r="M2655" s="30" t="str">
        <f aca="false">IF(F2655="","",L2655-J2655)</f>
        <v/>
      </c>
      <c r="N2655" s="32" t="str">
        <f aca="false">IF(F2655="","",IF(H2655&lt;&gt;"","Kapandı",IF('Vade Sapması'!$D$3&gt;G2655,"Açık · vadesi geçti","Açık · vadesi gelmedi")))</f>
        <v/>
      </c>
      <c r="O2655" s="30" t="str">
        <f aca="false">IF(F2655="","",IF(AND(H2655="",'Vade Sapması'!$D$3&gt;G2655),'Vade Sapması'!$D$3-G2655,0))</f>
        <v/>
      </c>
      <c r="P2655" s="33" t="str">
        <f aca="false">IF(F2655="","",F2655*J2655)</f>
        <v/>
      </c>
      <c r="Q2655" s="33" t="str">
        <f aca="false">IF(F2655="","",F2655*L2655)</f>
        <v/>
      </c>
      <c r="R2655" s="33" t="str">
        <f aca="false">IF(F2655="","",IF(H2655="",F2655,0))</f>
        <v/>
      </c>
      <c r="S2655" s="32" t="str">
        <f aca="false">IF(F2655="","",IF(N(O2655)=0,"",IF(O2655&lt;=30,"1-30",IF(O2655&lt;=60,"31-60",IF(O2655&lt;=90,"61-90","90+")))))</f>
        <v/>
      </c>
      <c r="T2655" s="32" t="str">
        <f aca="false">IF(F2655="","",IF(E2655="","Diğer",E2655))</f>
        <v/>
      </c>
      <c r="U2655" s="32" t="str">
        <f aca="false">IF(OR(F2655="",C2655=""),"",IF(COUNTIF($C$2:C2655,C2655)=1,MAX($U$1:U2654)+1,""))</f>
        <v/>
      </c>
    </row>
    <row r="2656" customFormat="false" ht="15" hidden="false" customHeight="false" outlineLevel="0" collapsed="false">
      <c r="A2656" s="34"/>
      <c r="B2656" s="9"/>
      <c r="C2656" s="34"/>
      <c r="D2656" s="34"/>
      <c r="E2656" s="34"/>
      <c r="F2656" s="35"/>
      <c r="G2656" s="9"/>
      <c r="H2656" s="9"/>
      <c r="I2656" s="34"/>
      <c r="J2656" s="30" t="str">
        <f aca="false">IF(F2656="","",G2656-B2656)</f>
        <v/>
      </c>
      <c r="K2656" s="31" t="str">
        <f aca="false">IF(F2656="","",IF(H2656&lt;&gt;"",H2656,MAX('Vade Sapması'!$D$3,G2656)))</f>
        <v/>
      </c>
      <c r="L2656" s="30" t="str">
        <f aca="false">IF(F2656="","",K2656-B2656)</f>
        <v/>
      </c>
      <c r="M2656" s="30" t="str">
        <f aca="false">IF(F2656="","",L2656-J2656)</f>
        <v/>
      </c>
      <c r="N2656" s="32" t="str">
        <f aca="false">IF(F2656="","",IF(H2656&lt;&gt;"","Kapandı",IF('Vade Sapması'!$D$3&gt;G2656,"Açık · vadesi geçti","Açık · vadesi gelmedi")))</f>
        <v/>
      </c>
      <c r="O2656" s="30" t="str">
        <f aca="false">IF(F2656="","",IF(AND(H2656="",'Vade Sapması'!$D$3&gt;G2656),'Vade Sapması'!$D$3-G2656,0))</f>
        <v/>
      </c>
      <c r="P2656" s="33" t="str">
        <f aca="false">IF(F2656="","",F2656*J2656)</f>
        <v/>
      </c>
      <c r="Q2656" s="33" t="str">
        <f aca="false">IF(F2656="","",F2656*L2656)</f>
        <v/>
      </c>
      <c r="R2656" s="33" t="str">
        <f aca="false">IF(F2656="","",IF(H2656="",F2656,0))</f>
        <v/>
      </c>
      <c r="S2656" s="32" t="str">
        <f aca="false">IF(F2656="","",IF(N(O2656)=0,"",IF(O2656&lt;=30,"1-30",IF(O2656&lt;=60,"31-60",IF(O2656&lt;=90,"61-90","90+")))))</f>
        <v/>
      </c>
      <c r="T2656" s="32" t="str">
        <f aca="false">IF(F2656="","",IF(E2656="","Diğer",E2656))</f>
        <v/>
      </c>
      <c r="U2656" s="32" t="str">
        <f aca="false">IF(OR(F2656="",C2656=""),"",IF(COUNTIF($C$2:C2656,C2656)=1,MAX($U$1:U2655)+1,""))</f>
        <v/>
      </c>
    </row>
    <row r="2657" customFormat="false" ht="15" hidden="false" customHeight="false" outlineLevel="0" collapsed="false">
      <c r="A2657" s="34"/>
      <c r="B2657" s="9"/>
      <c r="C2657" s="34"/>
      <c r="D2657" s="34"/>
      <c r="E2657" s="34"/>
      <c r="F2657" s="35"/>
      <c r="G2657" s="9"/>
      <c r="H2657" s="9"/>
      <c r="I2657" s="34"/>
      <c r="J2657" s="30" t="str">
        <f aca="false">IF(F2657="","",G2657-B2657)</f>
        <v/>
      </c>
      <c r="K2657" s="31" t="str">
        <f aca="false">IF(F2657="","",IF(H2657&lt;&gt;"",H2657,MAX('Vade Sapması'!$D$3,G2657)))</f>
        <v/>
      </c>
      <c r="L2657" s="30" t="str">
        <f aca="false">IF(F2657="","",K2657-B2657)</f>
        <v/>
      </c>
      <c r="M2657" s="30" t="str">
        <f aca="false">IF(F2657="","",L2657-J2657)</f>
        <v/>
      </c>
      <c r="N2657" s="32" t="str">
        <f aca="false">IF(F2657="","",IF(H2657&lt;&gt;"","Kapandı",IF('Vade Sapması'!$D$3&gt;G2657,"Açık · vadesi geçti","Açık · vadesi gelmedi")))</f>
        <v/>
      </c>
      <c r="O2657" s="30" t="str">
        <f aca="false">IF(F2657="","",IF(AND(H2657="",'Vade Sapması'!$D$3&gt;G2657),'Vade Sapması'!$D$3-G2657,0))</f>
        <v/>
      </c>
      <c r="P2657" s="33" t="str">
        <f aca="false">IF(F2657="","",F2657*J2657)</f>
        <v/>
      </c>
      <c r="Q2657" s="33" t="str">
        <f aca="false">IF(F2657="","",F2657*L2657)</f>
        <v/>
      </c>
      <c r="R2657" s="33" t="str">
        <f aca="false">IF(F2657="","",IF(H2657="",F2657,0))</f>
        <v/>
      </c>
      <c r="S2657" s="32" t="str">
        <f aca="false">IF(F2657="","",IF(N(O2657)=0,"",IF(O2657&lt;=30,"1-30",IF(O2657&lt;=60,"31-60",IF(O2657&lt;=90,"61-90","90+")))))</f>
        <v/>
      </c>
      <c r="T2657" s="32" t="str">
        <f aca="false">IF(F2657="","",IF(E2657="","Diğer",E2657))</f>
        <v/>
      </c>
      <c r="U2657" s="32" t="str">
        <f aca="false">IF(OR(F2657="",C2657=""),"",IF(COUNTIF($C$2:C2657,C2657)=1,MAX($U$1:U2656)+1,""))</f>
        <v/>
      </c>
    </row>
    <row r="2658" customFormat="false" ht="15" hidden="false" customHeight="false" outlineLevel="0" collapsed="false">
      <c r="A2658" s="34"/>
      <c r="B2658" s="9"/>
      <c r="C2658" s="34"/>
      <c r="D2658" s="34"/>
      <c r="E2658" s="34"/>
      <c r="F2658" s="35"/>
      <c r="G2658" s="9"/>
      <c r="H2658" s="9"/>
      <c r="I2658" s="34"/>
      <c r="J2658" s="30" t="str">
        <f aca="false">IF(F2658="","",G2658-B2658)</f>
        <v/>
      </c>
      <c r="K2658" s="31" t="str">
        <f aca="false">IF(F2658="","",IF(H2658&lt;&gt;"",H2658,MAX('Vade Sapması'!$D$3,G2658)))</f>
        <v/>
      </c>
      <c r="L2658" s="30" t="str">
        <f aca="false">IF(F2658="","",K2658-B2658)</f>
        <v/>
      </c>
      <c r="M2658" s="30" t="str">
        <f aca="false">IF(F2658="","",L2658-J2658)</f>
        <v/>
      </c>
      <c r="N2658" s="32" t="str">
        <f aca="false">IF(F2658="","",IF(H2658&lt;&gt;"","Kapandı",IF('Vade Sapması'!$D$3&gt;G2658,"Açık · vadesi geçti","Açık · vadesi gelmedi")))</f>
        <v/>
      </c>
      <c r="O2658" s="30" t="str">
        <f aca="false">IF(F2658="","",IF(AND(H2658="",'Vade Sapması'!$D$3&gt;G2658),'Vade Sapması'!$D$3-G2658,0))</f>
        <v/>
      </c>
      <c r="P2658" s="33" t="str">
        <f aca="false">IF(F2658="","",F2658*J2658)</f>
        <v/>
      </c>
      <c r="Q2658" s="33" t="str">
        <f aca="false">IF(F2658="","",F2658*L2658)</f>
        <v/>
      </c>
      <c r="R2658" s="33" t="str">
        <f aca="false">IF(F2658="","",IF(H2658="",F2658,0))</f>
        <v/>
      </c>
      <c r="S2658" s="32" t="str">
        <f aca="false">IF(F2658="","",IF(N(O2658)=0,"",IF(O2658&lt;=30,"1-30",IF(O2658&lt;=60,"31-60",IF(O2658&lt;=90,"61-90","90+")))))</f>
        <v/>
      </c>
      <c r="T2658" s="32" t="str">
        <f aca="false">IF(F2658="","",IF(E2658="","Diğer",E2658))</f>
        <v/>
      </c>
      <c r="U2658" s="32" t="str">
        <f aca="false">IF(OR(F2658="",C2658=""),"",IF(COUNTIF($C$2:C2658,C2658)=1,MAX($U$1:U2657)+1,""))</f>
        <v/>
      </c>
    </row>
    <row r="2659" customFormat="false" ht="15" hidden="false" customHeight="false" outlineLevel="0" collapsed="false">
      <c r="A2659" s="34"/>
      <c r="B2659" s="9"/>
      <c r="C2659" s="34"/>
      <c r="D2659" s="34"/>
      <c r="E2659" s="34"/>
      <c r="F2659" s="35"/>
      <c r="G2659" s="9"/>
      <c r="H2659" s="9"/>
      <c r="I2659" s="34"/>
      <c r="J2659" s="30" t="str">
        <f aca="false">IF(F2659="","",G2659-B2659)</f>
        <v/>
      </c>
      <c r="K2659" s="31" t="str">
        <f aca="false">IF(F2659="","",IF(H2659&lt;&gt;"",H2659,MAX('Vade Sapması'!$D$3,G2659)))</f>
        <v/>
      </c>
      <c r="L2659" s="30" t="str">
        <f aca="false">IF(F2659="","",K2659-B2659)</f>
        <v/>
      </c>
      <c r="M2659" s="30" t="str">
        <f aca="false">IF(F2659="","",L2659-J2659)</f>
        <v/>
      </c>
      <c r="N2659" s="32" t="str">
        <f aca="false">IF(F2659="","",IF(H2659&lt;&gt;"","Kapandı",IF('Vade Sapması'!$D$3&gt;G2659,"Açık · vadesi geçti","Açık · vadesi gelmedi")))</f>
        <v/>
      </c>
      <c r="O2659" s="30" t="str">
        <f aca="false">IF(F2659="","",IF(AND(H2659="",'Vade Sapması'!$D$3&gt;G2659),'Vade Sapması'!$D$3-G2659,0))</f>
        <v/>
      </c>
      <c r="P2659" s="33" t="str">
        <f aca="false">IF(F2659="","",F2659*J2659)</f>
        <v/>
      </c>
      <c r="Q2659" s="33" t="str">
        <f aca="false">IF(F2659="","",F2659*L2659)</f>
        <v/>
      </c>
      <c r="R2659" s="33" t="str">
        <f aca="false">IF(F2659="","",IF(H2659="",F2659,0))</f>
        <v/>
      </c>
      <c r="S2659" s="32" t="str">
        <f aca="false">IF(F2659="","",IF(N(O2659)=0,"",IF(O2659&lt;=30,"1-30",IF(O2659&lt;=60,"31-60",IF(O2659&lt;=90,"61-90","90+")))))</f>
        <v/>
      </c>
      <c r="T2659" s="32" t="str">
        <f aca="false">IF(F2659="","",IF(E2659="","Diğer",E2659))</f>
        <v/>
      </c>
      <c r="U2659" s="32" t="str">
        <f aca="false">IF(OR(F2659="",C2659=""),"",IF(COUNTIF($C$2:C2659,C2659)=1,MAX($U$1:U2658)+1,""))</f>
        <v/>
      </c>
    </row>
    <row r="2660" customFormat="false" ht="15" hidden="false" customHeight="false" outlineLevel="0" collapsed="false">
      <c r="A2660" s="34"/>
      <c r="B2660" s="9"/>
      <c r="C2660" s="34"/>
      <c r="D2660" s="34"/>
      <c r="E2660" s="34"/>
      <c r="F2660" s="35"/>
      <c r="G2660" s="9"/>
      <c r="H2660" s="9"/>
      <c r="I2660" s="34"/>
      <c r="J2660" s="30" t="str">
        <f aca="false">IF(F2660="","",G2660-B2660)</f>
        <v/>
      </c>
      <c r="K2660" s="31" t="str">
        <f aca="false">IF(F2660="","",IF(H2660&lt;&gt;"",H2660,MAX('Vade Sapması'!$D$3,G2660)))</f>
        <v/>
      </c>
      <c r="L2660" s="30" t="str">
        <f aca="false">IF(F2660="","",K2660-B2660)</f>
        <v/>
      </c>
      <c r="M2660" s="30" t="str">
        <f aca="false">IF(F2660="","",L2660-J2660)</f>
        <v/>
      </c>
      <c r="N2660" s="32" t="str">
        <f aca="false">IF(F2660="","",IF(H2660&lt;&gt;"","Kapandı",IF('Vade Sapması'!$D$3&gt;G2660,"Açık · vadesi geçti","Açık · vadesi gelmedi")))</f>
        <v/>
      </c>
      <c r="O2660" s="30" t="str">
        <f aca="false">IF(F2660="","",IF(AND(H2660="",'Vade Sapması'!$D$3&gt;G2660),'Vade Sapması'!$D$3-G2660,0))</f>
        <v/>
      </c>
      <c r="P2660" s="33" t="str">
        <f aca="false">IF(F2660="","",F2660*J2660)</f>
        <v/>
      </c>
      <c r="Q2660" s="33" t="str">
        <f aca="false">IF(F2660="","",F2660*L2660)</f>
        <v/>
      </c>
      <c r="R2660" s="33" t="str">
        <f aca="false">IF(F2660="","",IF(H2660="",F2660,0))</f>
        <v/>
      </c>
      <c r="S2660" s="32" t="str">
        <f aca="false">IF(F2660="","",IF(N(O2660)=0,"",IF(O2660&lt;=30,"1-30",IF(O2660&lt;=60,"31-60",IF(O2660&lt;=90,"61-90","90+")))))</f>
        <v/>
      </c>
      <c r="T2660" s="32" t="str">
        <f aca="false">IF(F2660="","",IF(E2660="","Diğer",E2660))</f>
        <v/>
      </c>
      <c r="U2660" s="32" t="str">
        <f aca="false">IF(OR(F2660="",C2660=""),"",IF(COUNTIF($C$2:C2660,C2660)=1,MAX($U$1:U2659)+1,""))</f>
        <v/>
      </c>
    </row>
    <row r="2661" customFormat="false" ht="15" hidden="false" customHeight="false" outlineLevel="0" collapsed="false">
      <c r="A2661" s="34"/>
      <c r="B2661" s="9"/>
      <c r="C2661" s="34"/>
      <c r="D2661" s="34"/>
      <c r="E2661" s="34"/>
      <c r="F2661" s="35"/>
      <c r="G2661" s="9"/>
      <c r="H2661" s="9"/>
      <c r="I2661" s="34"/>
      <c r="J2661" s="30" t="str">
        <f aca="false">IF(F2661="","",G2661-B2661)</f>
        <v/>
      </c>
      <c r="K2661" s="31" t="str">
        <f aca="false">IF(F2661="","",IF(H2661&lt;&gt;"",H2661,MAX('Vade Sapması'!$D$3,G2661)))</f>
        <v/>
      </c>
      <c r="L2661" s="30" t="str">
        <f aca="false">IF(F2661="","",K2661-B2661)</f>
        <v/>
      </c>
      <c r="M2661" s="30" t="str">
        <f aca="false">IF(F2661="","",L2661-J2661)</f>
        <v/>
      </c>
      <c r="N2661" s="32" t="str">
        <f aca="false">IF(F2661="","",IF(H2661&lt;&gt;"","Kapandı",IF('Vade Sapması'!$D$3&gt;G2661,"Açık · vadesi geçti","Açık · vadesi gelmedi")))</f>
        <v/>
      </c>
      <c r="O2661" s="30" t="str">
        <f aca="false">IF(F2661="","",IF(AND(H2661="",'Vade Sapması'!$D$3&gt;G2661),'Vade Sapması'!$D$3-G2661,0))</f>
        <v/>
      </c>
      <c r="P2661" s="33" t="str">
        <f aca="false">IF(F2661="","",F2661*J2661)</f>
        <v/>
      </c>
      <c r="Q2661" s="33" t="str">
        <f aca="false">IF(F2661="","",F2661*L2661)</f>
        <v/>
      </c>
      <c r="R2661" s="33" t="str">
        <f aca="false">IF(F2661="","",IF(H2661="",F2661,0))</f>
        <v/>
      </c>
      <c r="S2661" s="32" t="str">
        <f aca="false">IF(F2661="","",IF(N(O2661)=0,"",IF(O2661&lt;=30,"1-30",IF(O2661&lt;=60,"31-60",IF(O2661&lt;=90,"61-90","90+")))))</f>
        <v/>
      </c>
      <c r="T2661" s="32" t="str">
        <f aca="false">IF(F2661="","",IF(E2661="","Diğer",E2661))</f>
        <v/>
      </c>
      <c r="U2661" s="32" t="str">
        <f aca="false">IF(OR(F2661="",C2661=""),"",IF(COUNTIF($C$2:C2661,C2661)=1,MAX($U$1:U2660)+1,""))</f>
        <v/>
      </c>
    </row>
    <row r="2662" customFormat="false" ht="15" hidden="false" customHeight="false" outlineLevel="0" collapsed="false">
      <c r="A2662" s="34"/>
      <c r="B2662" s="9"/>
      <c r="C2662" s="34"/>
      <c r="D2662" s="34"/>
      <c r="E2662" s="34"/>
      <c r="F2662" s="35"/>
      <c r="G2662" s="9"/>
      <c r="H2662" s="9"/>
      <c r="I2662" s="34"/>
      <c r="J2662" s="30" t="str">
        <f aca="false">IF(F2662="","",G2662-B2662)</f>
        <v/>
      </c>
      <c r="K2662" s="31" t="str">
        <f aca="false">IF(F2662="","",IF(H2662&lt;&gt;"",H2662,MAX('Vade Sapması'!$D$3,G2662)))</f>
        <v/>
      </c>
      <c r="L2662" s="30" t="str">
        <f aca="false">IF(F2662="","",K2662-B2662)</f>
        <v/>
      </c>
      <c r="M2662" s="30" t="str">
        <f aca="false">IF(F2662="","",L2662-J2662)</f>
        <v/>
      </c>
      <c r="N2662" s="32" t="str">
        <f aca="false">IF(F2662="","",IF(H2662&lt;&gt;"","Kapandı",IF('Vade Sapması'!$D$3&gt;G2662,"Açık · vadesi geçti","Açık · vadesi gelmedi")))</f>
        <v/>
      </c>
      <c r="O2662" s="30" t="str">
        <f aca="false">IF(F2662="","",IF(AND(H2662="",'Vade Sapması'!$D$3&gt;G2662),'Vade Sapması'!$D$3-G2662,0))</f>
        <v/>
      </c>
      <c r="P2662" s="33" t="str">
        <f aca="false">IF(F2662="","",F2662*J2662)</f>
        <v/>
      </c>
      <c r="Q2662" s="33" t="str">
        <f aca="false">IF(F2662="","",F2662*L2662)</f>
        <v/>
      </c>
      <c r="R2662" s="33" t="str">
        <f aca="false">IF(F2662="","",IF(H2662="",F2662,0))</f>
        <v/>
      </c>
      <c r="S2662" s="32" t="str">
        <f aca="false">IF(F2662="","",IF(N(O2662)=0,"",IF(O2662&lt;=30,"1-30",IF(O2662&lt;=60,"31-60",IF(O2662&lt;=90,"61-90","90+")))))</f>
        <v/>
      </c>
      <c r="T2662" s="32" t="str">
        <f aca="false">IF(F2662="","",IF(E2662="","Diğer",E2662))</f>
        <v/>
      </c>
      <c r="U2662" s="32" t="str">
        <f aca="false">IF(OR(F2662="",C2662=""),"",IF(COUNTIF($C$2:C2662,C2662)=1,MAX($U$1:U2661)+1,""))</f>
        <v/>
      </c>
    </row>
    <row r="2663" customFormat="false" ht="15" hidden="false" customHeight="false" outlineLevel="0" collapsed="false">
      <c r="A2663" s="34"/>
      <c r="B2663" s="9"/>
      <c r="C2663" s="34"/>
      <c r="D2663" s="34"/>
      <c r="E2663" s="34"/>
      <c r="F2663" s="35"/>
      <c r="G2663" s="9"/>
      <c r="H2663" s="9"/>
      <c r="I2663" s="34"/>
      <c r="J2663" s="30" t="str">
        <f aca="false">IF(F2663="","",G2663-B2663)</f>
        <v/>
      </c>
      <c r="K2663" s="31" t="str">
        <f aca="false">IF(F2663="","",IF(H2663&lt;&gt;"",H2663,MAX('Vade Sapması'!$D$3,G2663)))</f>
        <v/>
      </c>
      <c r="L2663" s="30" t="str">
        <f aca="false">IF(F2663="","",K2663-B2663)</f>
        <v/>
      </c>
      <c r="M2663" s="30" t="str">
        <f aca="false">IF(F2663="","",L2663-J2663)</f>
        <v/>
      </c>
      <c r="N2663" s="32" t="str">
        <f aca="false">IF(F2663="","",IF(H2663&lt;&gt;"","Kapandı",IF('Vade Sapması'!$D$3&gt;G2663,"Açık · vadesi geçti","Açık · vadesi gelmedi")))</f>
        <v/>
      </c>
      <c r="O2663" s="30" t="str">
        <f aca="false">IF(F2663="","",IF(AND(H2663="",'Vade Sapması'!$D$3&gt;G2663),'Vade Sapması'!$D$3-G2663,0))</f>
        <v/>
      </c>
      <c r="P2663" s="33" t="str">
        <f aca="false">IF(F2663="","",F2663*J2663)</f>
        <v/>
      </c>
      <c r="Q2663" s="33" t="str">
        <f aca="false">IF(F2663="","",F2663*L2663)</f>
        <v/>
      </c>
      <c r="R2663" s="33" t="str">
        <f aca="false">IF(F2663="","",IF(H2663="",F2663,0))</f>
        <v/>
      </c>
      <c r="S2663" s="32" t="str">
        <f aca="false">IF(F2663="","",IF(N(O2663)=0,"",IF(O2663&lt;=30,"1-30",IF(O2663&lt;=60,"31-60",IF(O2663&lt;=90,"61-90","90+")))))</f>
        <v/>
      </c>
      <c r="T2663" s="32" t="str">
        <f aca="false">IF(F2663="","",IF(E2663="","Diğer",E2663))</f>
        <v/>
      </c>
      <c r="U2663" s="32" t="str">
        <f aca="false">IF(OR(F2663="",C2663=""),"",IF(COUNTIF($C$2:C2663,C2663)=1,MAX($U$1:U2662)+1,""))</f>
        <v/>
      </c>
    </row>
    <row r="2664" customFormat="false" ht="15" hidden="false" customHeight="false" outlineLevel="0" collapsed="false">
      <c r="A2664" s="34"/>
      <c r="B2664" s="9"/>
      <c r="C2664" s="34"/>
      <c r="D2664" s="34"/>
      <c r="E2664" s="34"/>
      <c r="F2664" s="35"/>
      <c r="G2664" s="9"/>
      <c r="H2664" s="9"/>
      <c r="I2664" s="34"/>
      <c r="J2664" s="30" t="str">
        <f aca="false">IF(F2664="","",G2664-B2664)</f>
        <v/>
      </c>
      <c r="K2664" s="31" t="str">
        <f aca="false">IF(F2664="","",IF(H2664&lt;&gt;"",H2664,MAX('Vade Sapması'!$D$3,G2664)))</f>
        <v/>
      </c>
      <c r="L2664" s="30" t="str">
        <f aca="false">IF(F2664="","",K2664-B2664)</f>
        <v/>
      </c>
      <c r="M2664" s="30" t="str">
        <f aca="false">IF(F2664="","",L2664-J2664)</f>
        <v/>
      </c>
      <c r="N2664" s="32" t="str">
        <f aca="false">IF(F2664="","",IF(H2664&lt;&gt;"","Kapandı",IF('Vade Sapması'!$D$3&gt;G2664,"Açık · vadesi geçti","Açık · vadesi gelmedi")))</f>
        <v/>
      </c>
      <c r="O2664" s="30" t="str">
        <f aca="false">IF(F2664="","",IF(AND(H2664="",'Vade Sapması'!$D$3&gt;G2664),'Vade Sapması'!$D$3-G2664,0))</f>
        <v/>
      </c>
      <c r="P2664" s="33" t="str">
        <f aca="false">IF(F2664="","",F2664*J2664)</f>
        <v/>
      </c>
      <c r="Q2664" s="33" t="str">
        <f aca="false">IF(F2664="","",F2664*L2664)</f>
        <v/>
      </c>
      <c r="R2664" s="33" t="str">
        <f aca="false">IF(F2664="","",IF(H2664="",F2664,0))</f>
        <v/>
      </c>
      <c r="S2664" s="32" t="str">
        <f aca="false">IF(F2664="","",IF(N(O2664)=0,"",IF(O2664&lt;=30,"1-30",IF(O2664&lt;=60,"31-60",IF(O2664&lt;=90,"61-90","90+")))))</f>
        <v/>
      </c>
      <c r="T2664" s="32" t="str">
        <f aca="false">IF(F2664="","",IF(E2664="","Diğer",E2664))</f>
        <v/>
      </c>
      <c r="U2664" s="32" t="str">
        <f aca="false">IF(OR(F2664="",C2664=""),"",IF(COUNTIF($C$2:C2664,C2664)=1,MAX($U$1:U2663)+1,""))</f>
        <v/>
      </c>
    </row>
    <row r="2665" customFormat="false" ht="15" hidden="false" customHeight="false" outlineLevel="0" collapsed="false">
      <c r="A2665" s="34"/>
      <c r="B2665" s="9"/>
      <c r="C2665" s="34"/>
      <c r="D2665" s="34"/>
      <c r="E2665" s="34"/>
      <c r="F2665" s="35"/>
      <c r="G2665" s="9"/>
      <c r="H2665" s="9"/>
      <c r="I2665" s="34"/>
      <c r="J2665" s="30" t="str">
        <f aca="false">IF(F2665="","",G2665-B2665)</f>
        <v/>
      </c>
      <c r="K2665" s="31" t="str">
        <f aca="false">IF(F2665="","",IF(H2665&lt;&gt;"",H2665,MAX('Vade Sapması'!$D$3,G2665)))</f>
        <v/>
      </c>
      <c r="L2665" s="30" t="str">
        <f aca="false">IF(F2665="","",K2665-B2665)</f>
        <v/>
      </c>
      <c r="M2665" s="30" t="str">
        <f aca="false">IF(F2665="","",L2665-J2665)</f>
        <v/>
      </c>
      <c r="N2665" s="32" t="str">
        <f aca="false">IF(F2665="","",IF(H2665&lt;&gt;"","Kapandı",IF('Vade Sapması'!$D$3&gt;G2665,"Açık · vadesi geçti","Açık · vadesi gelmedi")))</f>
        <v/>
      </c>
      <c r="O2665" s="30" t="str">
        <f aca="false">IF(F2665="","",IF(AND(H2665="",'Vade Sapması'!$D$3&gt;G2665),'Vade Sapması'!$D$3-G2665,0))</f>
        <v/>
      </c>
      <c r="P2665" s="33" t="str">
        <f aca="false">IF(F2665="","",F2665*J2665)</f>
        <v/>
      </c>
      <c r="Q2665" s="33" t="str">
        <f aca="false">IF(F2665="","",F2665*L2665)</f>
        <v/>
      </c>
      <c r="R2665" s="33" t="str">
        <f aca="false">IF(F2665="","",IF(H2665="",F2665,0))</f>
        <v/>
      </c>
      <c r="S2665" s="32" t="str">
        <f aca="false">IF(F2665="","",IF(N(O2665)=0,"",IF(O2665&lt;=30,"1-30",IF(O2665&lt;=60,"31-60",IF(O2665&lt;=90,"61-90","90+")))))</f>
        <v/>
      </c>
      <c r="T2665" s="32" t="str">
        <f aca="false">IF(F2665="","",IF(E2665="","Diğer",E2665))</f>
        <v/>
      </c>
      <c r="U2665" s="32" t="str">
        <f aca="false">IF(OR(F2665="",C2665=""),"",IF(COUNTIF($C$2:C2665,C2665)=1,MAX($U$1:U2664)+1,""))</f>
        <v/>
      </c>
    </row>
    <row r="2666" customFormat="false" ht="15" hidden="false" customHeight="false" outlineLevel="0" collapsed="false">
      <c r="A2666" s="34"/>
      <c r="B2666" s="9"/>
      <c r="C2666" s="34"/>
      <c r="D2666" s="34"/>
      <c r="E2666" s="34"/>
      <c r="F2666" s="35"/>
      <c r="G2666" s="9"/>
      <c r="H2666" s="9"/>
      <c r="I2666" s="34"/>
      <c r="J2666" s="30" t="str">
        <f aca="false">IF(F2666="","",G2666-B2666)</f>
        <v/>
      </c>
      <c r="K2666" s="31" t="str">
        <f aca="false">IF(F2666="","",IF(H2666&lt;&gt;"",H2666,MAX('Vade Sapması'!$D$3,G2666)))</f>
        <v/>
      </c>
      <c r="L2666" s="30" t="str">
        <f aca="false">IF(F2666="","",K2666-B2666)</f>
        <v/>
      </c>
      <c r="M2666" s="30" t="str">
        <f aca="false">IF(F2666="","",L2666-J2666)</f>
        <v/>
      </c>
      <c r="N2666" s="32" t="str">
        <f aca="false">IF(F2666="","",IF(H2666&lt;&gt;"","Kapandı",IF('Vade Sapması'!$D$3&gt;G2666,"Açık · vadesi geçti","Açık · vadesi gelmedi")))</f>
        <v/>
      </c>
      <c r="O2666" s="30" t="str">
        <f aca="false">IF(F2666="","",IF(AND(H2666="",'Vade Sapması'!$D$3&gt;G2666),'Vade Sapması'!$D$3-G2666,0))</f>
        <v/>
      </c>
      <c r="P2666" s="33" t="str">
        <f aca="false">IF(F2666="","",F2666*J2666)</f>
        <v/>
      </c>
      <c r="Q2666" s="33" t="str">
        <f aca="false">IF(F2666="","",F2666*L2666)</f>
        <v/>
      </c>
      <c r="R2666" s="33" t="str">
        <f aca="false">IF(F2666="","",IF(H2666="",F2666,0))</f>
        <v/>
      </c>
      <c r="S2666" s="32" t="str">
        <f aca="false">IF(F2666="","",IF(N(O2666)=0,"",IF(O2666&lt;=30,"1-30",IF(O2666&lt;=60,"31-60",IF(O2666&lt;=90,"61-90","90+")))))</f>
        <v/>
      </c>
      <c r="T2666" s="32" t="str">
        <f aca="false">IF(F2666="","",IF(E2666="","Diğer",E2666))</f>
        <v/>
      </c>
      <c r="U2666" s="32" t="str">
        <f aca="false">IF(OR(F2666="",C2666=""),"",IF(COUNTIF($C$2:C2666,C2666)=1,MAX($U$1:U2665)+1,""))</f>
        <v/>
      </c>
    </row>
    <row r="2667" customFormat="false" ht="15" hidden="false" customHeight="false" outlineLevel="0" collapsed="false">
      <c r="A2667" s="34"/>
      <c r="B2667" s="9"/>
      <c r="C2667" s="34"/>
      <c r="D2667" s="34"/>
      <c r="E2667" s="34"/>
      <c r="F2667" s="35"/>
      <c r="G2667" s="9"/>
      <c r="H2667" s="9"/>
      <c r="I2667" s="34"/>
      <c r="J2667" s="30" t="str">
        <f aca="false">IF(F2667="","",G2667-B2667)</f>
        <v/>
      </c>
      <c r="K2667" s="31" t="str">
        <f aca="false">IF(F2667="","",IF(H2667&lt;&gt;"",H2667,MAX('Vade Sapması'!$D$3,G2667)))</f>
        <v/>
      </c>
      <c r="L2667" s="30" t="str">
        <f aca="false">IF(F2667="","",K2667-B2667)</f>
        <v/>
      </c>
      <c r="M2667" s="30" t="str">
        <f aca="false">IF(F2667="","",L2667-J2667)</f>
        <v/>
      </c>
      <c r="N2667" s="32" t="str">
        <f aca="false">IF(F2667="","",IF(H2667&lt;&gt;"","Kapandı",IF('Vade Sapması'!$D$3&gt;G2667,"Açık · vadesi geçti","Açık · vadesi gelmedi")))</f>
        <v/>
      </c>
      <c r="O2667" s="30" t="str">
        <f aca="false">IF(F2667="","",IF(AND(H2667="",'Vade Sapması'!$D$3&gt;G2667),'Vade Sapması'!$D$3-G2667,0))</f>
        <v/>
      </c>
      <c r="P2667" s="33" t="str">
        <f aca="false">IF(F2667="","",F2667*J2667)</f>
        <v/>
      </c>
      <c r="Q2667" s="33" t="str">
        <f aca="false">IF(F2667="","",F2667*L2667)</f>
        <v/>
      </c>
      <c r="R2667" s="33" t="str">
        <f aca="false">IF(F2667="","",IF(H2667="",F2667,0))</f>
        <v/>
      </c>
      <c r="S2667" s="32" t="str">
        <f aca="false">IF(F2667="","",IF(N(O2667)=0,"",IF(O2667&lt;=30,"1-30",IF(O2667&lt;=60,"31-60",IF(O2667&lt;=90,"61-90","90+")))))</f>
        <v/>
      </c>
      <c r="T2667" s="32" t="str">
        <f aca="false">IF(F2667="","",IF(E2667="","Diğer",E2667))</f>
        <v/>
      </c>
      <c r="U2667" s="32" t="str">
        <f aca="false">IF(OR(F2667="",C2667=""),"",IF(COUNTIF($C$2:C2667,C2667)=1,MAX($U$1:U2666)+1,""))</f>
        <v/>
      </c>
    </row>
    <row r="2668" customFormat="false" ht="15" hidden="false" customHeight="false" outlineLevel="0" collapsed="false">
      <c r="A2668" s="34"/>
      <c r="B2668" s="9"/>
      <c r="C2668" s="34"/>
      <c r="D2668" s="34"/>
      <c r="E2668" s="34"/>
      <c r="F2668" s="35"/>
      <c r="G2668" s="9"/>
      <c r="H2668" s="9"/>
      <c r="I2668" s="34"/>
      <c r="J2668" s="30" t="str">
        <f aca="false">IF(F2668="","",G2668-B2668)</f>
        <v/>
      </c>
      <c r="K2668" s="31" t="str">
        <f aca="false">IF(F2668="","",IF(H2668&lt;&gt;"",H2668,MAX('Vade Sapması'!$D$3,G2668)))</f>
        <v/>
      </c>
      <c r="L2668" s="30" t="str">
        <f aca="false">IF(F2668="","",K2668-B2668)</f>
        <v/>
      </c>
      <c r="M2668" s="30" t="str">
        <f aca="false">IF(F2668="","",L2668-J2668)</f>
        <v/>
      </c>
      <c r="N2668" s="32" t="str">
        <f aca="false">IF(F2668="","",IF(H2668&lt;&gt;"","Kapandı",IF('Vade Sapması'!$D$3&gt;G2668,"Açık · vadesi geçti","Açık · vadesi gelmedi")))</f>
        <v/>
      </c>
      <c r="O2668" s="30" t="str">
        <f aca="false">IF(F2668="","",IF(AND(H2668="",'Vade Sapması'!$D$3&gt;G2668),'Vade Sapması'!$D$3-G2668,0))</f>
        <v/>
      </c>
      <c r="P2668" s="33" t="str">
        <f aca="false">IF(F2668="","",F2668*J2668)</f>
        <v/>
      </c>
      <c r="Q2668" s="33" t="str">
        <f aca="false">IF(F2668="","",F2668*L2668)</f>
        <v/>
      </c>
      <c r="R2668" s="33" t="str">
        <f aca="false">IF(F2668="","",IF(H2668="",F2668,0))</f>
        <v/>
      </c>
      <c r="S2668" s="32" t="str">
        <f aca="false">IF(F2668="","",IF(N(O2668)=0,"",IF(O2668&lt;=30,"1-30",IF(O2668&lt;=60,"31-60",IF(O2668&lt;=90,"61-90","90+")))))</f>
        <v/>
      </c>
      <c r="T2668" s="32" t="str">
        <f aca="false">IF(F2668="","",IF(E2668="","Diğer",E2668))</f>
        <v/>
      </c>
      <c r="U2668" s="32" t="str">
        <f aca="false">IF(OR(F2668="",C2668=""),"",IF(COUNTIF($C$2:C2668,C2668)=1,MAX($U$1:U2667)+1,""))</f>
        <v/>
      </c>
    </row>
    <row r="2669" customFormat="false" ht="15" hidden="false" customHeight="false" outlineLevel="0" collapsed="false">
      <c r="A2669" s="34"/>
      <c r="B2669" s="9"/>
      <c r="C2669" s="34"/>
      <c r="D2669" s="34"/>
      <c r="E2669" s="34"/>
      <c r="F2669" s="35"/>
      <c r="G2669" s="9"/>
      <c r="H2669" s="9"/>
      <c r="I2669" s="34"/>
      <c r="J2669" s="30" t="str">
        <f aca="false">IF(F2669="","",G2669-B2669)</f>
        <v/>
      </c>
      <c r="K2669" s="31" t="str">
        <f aca="false">IF(F2669="","",IF(H2669&lt;&gt;"",H2669,MAX('Vade Sapması'!$D$3,G2669)))</f>
        <v/>
      </c>
      <c r="L2669" s="30" t="str">
        <f aca="false">IF(F2669="","",K2669-B2669)</f>
        <v/>
      </c>
      <c r="M2669" s="30" t="str">
        <f aca="false">IF(F2669="","",L2669-J2669)</f>
        <v/>
      </c>
      <c r="N2669" s="32" t="str">
        <f aca="false">IF(F2669="","",IF(H2669&lt;&gt;"","Kapandı",IF('Vade Sapması'!$D$3&gt;G2669,"Açık · vadesi geçti","Açık · vadesi gelmedi")))</f>
        <v/>
      </c>
      <c r="O2669" s="30" t="str">
        <f aca="false">IF(F2669="","",IF(AND(H2669="",'Vade Sapması'!$D$3&gt;G2669),'Vade Sapması'!$D$3-G2669,0))</f>
        <v/>
      </c>
      <c r="P2669" s="33" t="str">
        <f aca="false">IF(F2669="","",F2669*J2669)</f>
        <v/>
      </c>
      <c r="Q2669" s="33" t="str">
        <f aca="false">IF(F2669="","",F2669*L2669)</f>
        <v/>
      </c>
      <c r="R2669" s="33" t="str">
        <f aca="false">IF(F2669="","",IF(H2669="",F2669,0))</f>
        <v/>
      </c>
      <c r="S2669" s="32" t="str">
        <f aca="false">IF(F2669="","",IF(N(O2669)=0,"",IF(O2669&lt;=30,"1-30",IF(O2669&lt;=60,"31-60",IF(O2669&lt;=90,"61-90","90+")))))</f>
        <v/>
      </c>
      <c r="T2669" s="32" t="str">
        <f aca="false">IF(F2669="","",IF(E2669="","Diğer",E2669))</f>
        <v/>
      </c>
      <c r="U2669" s="32" t="str">
        <f aca="false">IF(OR(F2669="",C2669=""),"",IF(COUNTIF($C$2:C2669,C2669)=1,MAX($U$1:U2668)+1,""))</f>
        <v/>
      </c>
    </row>
    <row r="2670" customFormat="false" ht="15" hidden="false" customHeight="false" outlineLevel="0" collapsed="false">
      <c r="A2670" s="34"/>
      <c r="B2670" s="9"/>
      <c r="C2670" s="34"/>
      <c r="D2670" s="34"/>
      <c r="E2670" s="34"/>
      <c r="F2670" s="35"/>
      <c r="G2670" s="9"/>
      <c r="H2670" s="9"/>
      <c r="I2670" s="34"/>
      <c r="J2670" s="30" t="str">
        <f aca="false">IF(F2670="","",G2670-B2670)</f>
        <v/>
      </c>
      <c r="K2670" s="31" t="str">
        <f aca="false">IF(F2670="","",IF(H2670&lt;&gt;"",H2670,MAX('Vade Sapması'!$D$3,G2670)))</f>
        <v/>
      </c>
      <c r="L2670" s="30" t="str">
        <f aca="false">IF(F2670="","",K2670-B2670)</f>
        <v/>
      </c>
      <c r="M2670" s="30" t="str">
        <f aca="false">IF(F2670="","",L2670-J2670)</f>
        <v/>
      </c>
      <c r="N2670" s="32" t="str">
        <f aca="false">IF(F2670="","",IF(H2670&lt;&gt;"","Kapandı",IF('Vade Sapması'!$D$3&gt;G2670,"Açık · vadesi geçti","Açık · vadesi gelmedi")))</f>
        <v/>
      </c>
      <c r="O2670" s="30" t="str">
        <f aca="false">IF(F2670="","",IF(AND(H2670="",'Vade Sapması'!$D$3&gt;G2670),'Vade Sapması'!$D$3-G2670,0))</f>
        <v/>
      </c>
      <c r="P2670" s="33" t="str">
        <f aca="false">IF(F2670="","",F2670*J2670)</f>
        <v/>
      </c>
      <c r="Q2670" s="33" t="str">
        <f aca="false">IF(F2670="","",F2670*L2670)</f>
        <v/>
      </c>
      <c r="R2670" s="33" t="str">
        <f aca="false">IF(F2670="","",IF(H2670="",F2670,0))</f>
        <v/>
      </c>
      <c r="S2670" s="32" t="str">
        <f aca="false">IF(F2670="","",IF(N(O2670)=0,"",IF(O2670&lt;=30,"1-30",IF(O2670&lt;=60,"31-60",IF(O2670&lt;=90,"61-90","90+")))))</f>
        <v/>
      </c>
      <c r="T2670" s="32" t="str">
        <f aca="false">IF(F2670="","",IF(E2670="","Diğer",E2670))</f>
        <v/>
      </c>
      <c r="U2670" s="32" t="str">
        <f aca="false">IF(OR(F2670="",C2670=""),"",IF(COUNTIF($C$2:C2670,C2670)=1,MAX($U$1:U2669)+1,""))</f>
        <v/>
      </c>
    </row>
    <row r="2671" customFormat="false" ht="15" hidden="false" customHeight="false" outlineLevel="0" collapsed="false">
      <c r="A2671" s="34"/>
      <c r="B2671" s="9"/>
      <c r="C2671" s="34"/>
      <c r="D2671" s="34"/>
      <c r="E2671" s="34"/>
      <c r="F2671" s="35"/>
      <c r="G2671" s="9"/>
      <c r="H2671" s="9"/>
      <c r="I2671" s="34"/>
      <c r="J2671" s="30" t="str">
        <f aca="false">IF(F2671="","",G2671-B2671)</f>
        <v/>
      </c>
      <c r="K2671" s="31" t="str">
        <f aca="false">IF(F2671="","",IF(H2671&lt;&gt;"",H2671,MAX('Vade Sapması'!$D$3,G2671)))</f>
        <v/>
      </c>
      <c r="L2671" s="30" t="str">
        <f aca="false">IF(F2671="","",K2671-B2671)</f>
        <v/>
      </c>
      <c r="M2671" s="30" t="str">
        <f aca="false">IF(F2671="","",L2671-J2671)</f>
        <v/>
      </c>
      <c r="N2671" s="32" t="str">
        <f aca="false">IF(F2671="","",IF(H2671&lt;&gt;"","Kapandı",IF('Vade Sapması'!$D$3&gt;G2671,"Açık · vadesi geçti","Açık · vadesi gelmedi")))</f>
        <v/>
      </c>
      <c r="O2671" s="30" t="str">
        <f aca="false">IF(F2671="","",IF(AND(H2671="",'Vade Sapması'!$D$3&gt;G2671),'Vade Sapması'!$D$3-G2671,0))</f>
        <v/>
      </c>
      <c r="P2671" s="33" t="str">
        <f aca="false">IF(F2671="","",F2671*J2671)</f>
        <v/>
      </c>
      <c r="Q2671" s="33" t="str">
        <f aca="false">IF(F2671="","",F2671*L2671)</f>
        <v/>
      </c>
      <c r="R2671" s="33" t="str">
        <f aca="false">IF(F2671="","",IF(H2671="",F2671,0))</f>
        <v/>
      </c>
      <c r="S2671" s="32" t="str">
        <f aca="false">IF(F2671="","",IF(N(O2671)=0,"",IF(O2671&lt;=30,"1-30",IF(O2671&lt;=60,"31-60",IF(O2671&lt;=90,"61-90","90+")))))</f>
        <v/>
      </c>
      <c r="T2671" s="32" t="str">
        <f aca="false">IF(F2671="","",IF(E2671="","Diğer",E2671))</f>
        <v/>
      </c>
      <c r="U2671" s="32" t="str">
        <f aca="false">IF(OR(F2671="",C2671=""),"",IF(COUNTIF($C$2:C2671,C2671)=1,MAX($U$1:U2670)+1,""))</f>
        <v/>
      </c>
    </row>
    <row r="2672" customFormat="false" ht="15" hidden="false" customHeight="false" outlineLevel="0" collapsed="false">
      <c r="A2672" s="34"/>
      <c r="B2672" s="9"/>
      <c r="C2672" s="34"/>
      <c r="D2672" s="34"/>
      <c r="E2672" s="34"/>
      <c r="F2672" s="35"/>
      <c r="G2672" s="9"/>
      <c r="H2672" s="9"/>
      <c r="I2672" s="34"/>
      <c r="J2672" s="30" t="str">
        <f aca="false">IF(F2672="","",G2672-B2672)</f>
        <v/>
      </c>
      <c r="K2672" s="31" t="str">
        <f aca="false">IF(F2672="","",IF(H2672&lt;&gt;"",H2672,MAX('Vade Sapması'!$D$3,G2672)))</f>
        <v/>
      </c>
      <c r="L2672" s="30" t="str">
        <f aca="false">IF(F2672="","",K2672-B2672)</f>
        <v/>
      </c>
      <c r="M2672" s="30" t="str">
        <f aca="false">IF(F2672="","",L2672-J2672)</f>
        <v/>
      </c>
      <c r="N2672" s="32" t="str">
        <f aca="false">IF(F2672="","",IF(H2672&lt;&gt;"","Kapandı",IF('Vade Sapması'!$D$3&gt;G2672,"Açık · vadesi geçti","Açık · vadesi gelmedi")))</f>
        <v/>
      </c>
      <c r="O2672" s="30" t="str">
        <f aca="false">IF(F2672="","",IF(AND(H2672="",'Vade Sapması'!$D$3&gt;G2672),'Vade Sapması'!$D$3-G2672,0))</f>
        <v/>
      </c>
      <c r="P2672" s="33" t="str">
        <f aca="false">IF(F2672="","",F2672*J2672)</f>
        <v/>
      </c>
      <c r="Q2672" s="33" t="str">
        <f aca="false">IF(F2672="","",F2672*L2672)</f>
        <v/>
      </c>
      <c r="R2672" s="33" t="str">
        <f aca="false">IF(F2672="","",IF(H2672="",F2672,0))</f>
        <v/>
      </c>
      <c r="S2672" s="32" t="str">
        <f aca="false">IF(F2672="","",IF(N(O2672)=0,"",IF(O2672&lt;=30,"1-30",IF(O2672&lt;=60,"31-60",IF(O2672&lt;=90,"61-90","90+")))))</f>
        <v/>
      </c>
      <c r="T2672" s="32" t="str">
        <f aca="false">IF(F2672="","",IF(E2672="","Diğer",E2672))</f>
        <v/>
      </c>
      <c r="U2672" s="32" t="str">
        <f aca="false">IF(OR(F2672="",C2672=""),"",IF(COUNTIF($C$2:C2672,C2672)=1,MAX($U$1:U2671)+1,""))</f>
        <v/>
      </c>
    </row>
    <row r="2673" customFormat="false" ht="15" hidden="false" customHeight="false" outlineLevel="0" collapsed="false">
      <c r="A2673" s="34"/>
      <c r="B2673" s="9"/>
      <c r="C2673" s="34"/>
      <c r="D2673" s="34"/>
      <c r="E2673" s="34"/>
      <c r="F2673" s="35"/>
      <c r="G2673" s="9"/>
      <c r="H2673" s="9"/>
      <c r="I2673" s="34"/>
      <c r="J2673" s="30" t="str">
        <f aca="false">IF(F2673="","",G2673-B2673)</f>
        <v/>
      </c>
      <c r="K2673" s="31" t="str">
        <f aca="false">IF(F2673="","",IF(H2673&lt;&gt;"",H2673,MAX('Vade Sapması'!$D$3,G2673)))</f>
        <v/>
      </c>
      <c r="L2673" s="30" t="str">
        <f aca="false">IF(F2673="","",K2673-B2673)</f>
        <v/>
      </c>
      <c r="M2673" s="30" t="str">
        <f aca="false">IF(F2673="","",L2673-J2673)</f>
        <v/>
      </c>
      <c r="N2673" s="32" t="str">
        <f aca="false">IF(F2673="","",IF(H2673&lt;&gt;"","Kapandı",IF('Vade Sapması'!$D$3&gt;G2673,"Açık · vadesi geçti","Açık · vadesi gelmedi")))</f>
        <v/>
      </c>
      <c r="O2673" s="30" t="str">
        <f aca="false">IF(F2673="","",IF(AND(H2673="",'Vade Sapması'!$D$3&gt;G2673),'Vade Sapması'!$D$3-G2673,0))</f>
        <v/>
      </c>
      <c r="P2673" s="33" t="str">
        <f aca="false">IF(F2673="","",F2673*J2673)</f>
        <v/>
      </c>
      <c r="Q2673" s="33" t="str">
        <f aca="false">IF(F2673="","",F2673*L2673)</f>
        <v/>
      </c>
      <c r="R2673" s="33" t="str">
        <f aca="false">IF(F2673="","",IF(H2673="",F2673,0))</f>
        <v/>
      </c>
      <c r="S2673" s="32" t="str">
        <f aca="false">IF(F2673="","",IF(N(O2673)=0,"",IF(O2673&lt;=30,"1-30",IF(O2673&lt;=60,"31-60",IF(O2673&lt;=90,"61-90","90+")))))</f>
        <v/>
      </c>
      <c r="T2673" s="32" t="str">
        <f aca="false">IF(F2673="","",IF(E2673="","Diğer",E2673))</f>
        <v/>
      </c>
      <c r="U2673" s="32" t="str">
        <f aca="false">IF(OR(F2673="",C2673=""),"",IF(COUNTIF($C$2:C2673,C2673)=1,MAX($U$1:U2672)+1,""))</f>
        <v/>
      </c>
    </row>
    <row r="2674" customFormat="false" ht="15" hidden="false" customHeight="false" outlineLevel="0" collapsed="false">
      <c r="A2674" s="34"/>
      <c r="B2674" s="9"/>
      <c r="C2674" s="34"/>
      <c r="D2674" s="34"/>
      <c r="E2674" s="34"/>
      <c r="F2674" s="35"/>
      <c r="G2674" s="9"/>
      <c r="H2674" s="9"/>
      <c r="I2674" s="34"/>
      <c r="J2674" s="30" t="str">
        <f aca="false">IF(F2674="","",G2674-B2674)</f>
        <v/>
      </c>
      <c r="K2674" s="31" t="str">
        <f aca="false">IF(F2674="","",IF(H2674&lt;&gt;"",H2674,MAX('Vade Sapması'!$D$3,G2674)))</f>
        <v/>
      </c>
      <c r="L2674" s="30" t="str">
        <f aca="false">IF(F2674="","",K2674-B2674)</f>
        <v/>
      </c>
      <c r="M2674" s="30" t="str">
        <f aca="false">IF(F2674="","",L2674-J2674)</f>
        <v/>
      </c>
      <c r="N2674" s="32" t="str">
        <f aca="false">IF(F2674="","",IF(H2674&lt;&gt;"","Kapandı",IF('Vade Sapması'!$D$3&gt;G2674,"Açık · vadesi geçti","Açık · vadesi gelmedi")))</f>
        <v/>
      </c>
      <c r="O2674" s="30" t="str">
        <f aca="false">IF(F2674="","",IF(AND(H2674="",'Vade Sapması'!$D$3&gt;G2674),'Vade Sapması'!$D$3-G2674,0))</f>
        <v/>
      </c>
      <c r="P2674" s="33" t="str">
        <f aca="false">IF(F2674="","",F2674*J2674)</f>
        <v/>
      </c>
      <c r="Q2674" s="33" t="str">
        <f aca="false">IF(F2674="","",F2674*L2674)</f>
        <v/>
      </c>
      <c r="R2674" s="33" t="str">
        <f aca="false">IF(F2674="","",IF(H2674="",F2674,0))</f>
        <v/>
      </c>
      <c r="S2674" s="32" t="str">
        <f aca="false">IF(F2674="","",IF(N(O2674)=0,"",IF(O2674&lt;=30,"1-30",IF(O2674&lt;=60,"31-60",IF(O2674&lt;=90,"61-90","90+")))))</f>
        <v/>
      </c>
      <c r="T2674" s="32" t="str">
        <f aca="false">IF(F2674="","",IF(E2674="","Diğer",E2674))</f>
        <v/>
      </c>
      <c r="U2674" s="32" t="str">
        <f aca="false">IF(OR(F2674="",C2674=""),"",IF(COUNTIF($C$2:C2674,C2674)=1,MAX($U$1:U2673)+1,""))</f>
        <v/>
      </c>
    </row>
    <row r="2675" customFormat="false" ht="15" hidden="false" customHeight="false" outlineLevel="0" collapsed="false">
      <c r="A2675" s="34"/>
      <c r="B2675" s="9"/>
      <c r="C2675" s="34"/>
      <c r="D2675" s="34"/>
      <c r="E2675" s="34"/>
      <c r="F2675" s="35"/>
      <c r="G2675" s="9"/>
      <c r="H2675" s="9"/>
      <c r="I2675" s="34"/>
      <c r="J2675" s="30" t="str">
        <f aca="false">IF(F2675="","",G2675-B2675)</f>
        <v/>
      </c>
      <c r="K2675" s="31" t="str">
        <f aca="false">IF(F2675="","",IF(H2675&lt;&gt;"",H2675,MAX('Vade Sapması'!$D$3,G2675)))</f>
        <v/>
      </c>
      <c r="L2675" s="30" t="str">
        <f aca="false">IF(F2675="","",K2675-B2675)</f>
        <v/>
      </c>
      <c r="M2675" s="30" t="str">
        <f aca="false">IF(F2675="","",L2675-J2675)</f>
        <v/>
      </c>
      <c r="N2675" s="32" t="str">
        <f aca="false">IF(F2675="","",IF(H2675&lt;&gt;"","Kapandı",IF('Vade Sapması'!$D$3&gt;G2675,"Açık · vadesi geçti","Açık · vadesi gelmedi")))</f>
        <v/>
      </c>
      <c r="O2675" s="30" t="str">
        <f aca="false">IF(F2675="","",IF(AND(H2675="",'Vade Sapması'!$D$3&gt;G2675),'Vade Sapması'!$D$3-G2675,0))</f>
        <v/>
      </c>
      <c r="P2675" s="33" t="str">
        <f aca="false">IF(F2675="","",F2675*J2675)</f>
        <v/>
      </c>
      <c r="Q2675" s="33" t="str">
        <f aca="false">IF(F2675="","",F2675*L2675)</f>
        <v/>
      </c>
      <c r="R2675" s="33" t="str">
        <f aca="false">IF(F2675="","",IF(H2675="",F2675,0))</f>
        <v/>
      </c>
      <c r="S2675" s="32" t="str">
        <f aca="false">IF(F2675="","",IF(N(O2675)=0,"",IF(O2675&lt;=30,"1-30",IF(O2675&lt;=60,"31-60",IF(O2675&lt;=90,"61-90","90+")))))</f>
        <v/>
      </c>
      <c r="T2675" s="32" t="str">
        <f aca="false">IF(F2675="","",IF(E2675="","Diğer",E2675))</f>
        <v/>
      </c>
      <c r="U2675" s="32" t="str">
        <f aca="false">IF(OR(F2675="",C2675=""),"",IF(COUNTIF($C$2:C2675,C2675)=1,MAX($U$1:U2674)+1,""))</f>
        <v/>
      </c>
    </row>
    <row r="2676" customFormat="false" ht="15" hidden="false" customHeight="false" outlineLevel="0" collapsed="false">
      <c r="A2676" s="34"/>
      <c r="B2676" s="9"/>
      <c r="C2676" s="34"/>
      <c r="D2676" s="34"/>
      <c r="E2676" s="34"/>
      <c r="F2676" s="35"/>
      <c r="G2676" s="9"/>
      <c r="H2676" s="9"/>
      <c r="I2676" s="34"/>
      <c r="J2676" s="30" t="str">
        <f aca="false">IF(F2676="","",G2676-B2676)</f>
        <v/>
      </c>
      <c r="K2676" s="31" t="str">
        <f aca="false">IF(F2676="","",IF(H2676&lt;&gt;"",H2676,MAX('Vade Sapması'!$D$3,G2676)))</f>
        <v/>
      </c>
      <c r="L2676" s="30" t="str">
        <f aca="false">IF(F2676="","",K2676-B2676)</f>
        <v/>
      </c>
      <c r="M2676" s="30" t="str">
        <f aca="false">IF(F2676="","",L2676-J2676)</f>
        <v/>
      </c>
      <c r="N2676" s="32" t="str">
        <f aca="false">IF(F2676="","",IF(H2676&lt;&gt;"","Kapandı",IF('Vade Sapması'!$D$3&gt;G2676,"Açık · vadesi geçti","Açık · vadesi gelmedi")))</f>
        <v/>
      </c>
      <c r="O2676" s="30" t="str">
        <f aca="false">IF(F2676="","",IF(AND(H2676="",'Vade Sapması'!$D$3&gt;G2676),'Vade Sapması'!$D$3-G2676,0))</f>
        <v/>
      </c>
      <c r="P2676" s="33" t="str">
        <f aca="false">IF(F2676="","",F2676*J2676)</f>
        <v/>
      </c>
      <c r="Q2676" s="33" t="str">
        <f aca="false">IF(F2676="","",F2676*L2676)</f>
        <v/>
      </c>
      <c r="R2676" s="33" t="str">
        <f aca="false">IF(F2676="","",IF(H2676="",F2676,0))</f>
        <v/>
      </c>
      <c r="S2676" s="32" t="str">
        <f aca="false">IF(F2676="","",IF(N(O2676)=0,"",IF(O2676&lt;=30,"1-30",IF(O2676&lt;=60,"31-60",IF(O2676&lt;=90,"61-90","90+")))))</f>
        <v/>
      </c>
      <c r="T2676" s="32" t="str">
        <f aca="false">IF(F2676="","",IF(E2676="","Diğer",E2676))</f>
        <v/>
      </c>
      <c r="U2676" s="32" t="str">
        <f aca="false">IF(OR(F2676="",C2676=""),"",IF(COUNTIF($C$2:C2676,C2676)=1,MAX($U$1:U2675)+1,""))</f>
        <v/>
      </c>
    </row>
    <row r="2677" customFormat="false" ht="15" hidden="false" customHeight="false" outlineLevel="0" collapsed="false">
      <c r="A2677" s="34"/>
      <c r="B2677" s="9"/>
      <c r="C2677" s="34"/>
      <c r="D2677" s="34"/>
      <c r="E2677" s="34"/>
      <c r="F2677" s="35"/>
      <c r="G2677" s="9"/>
      <c r="H2677" s="9"/>
      <c r="I2677" s="34"/>
      <c r="J2677" s="30" t="str">
        <f aca="false">IF(F2677="","",G2677-B2677)</f>
        <v/>
      </c>
      <c r="K2677" s="31" t="str">
        <f aca="false">IF(F2677="","",IF(H2677&lt;&gt;"",H2677,MAX('Vade Sapması'!$D$3,G2677)))</f>
        <v/>
      </c>
      <c r="L2677" s="30" t="str">
        <f aca="false">IF(F2677="","",K2677-B2677)</f>
        <v/>
      </c>
      <c r="M2677" s="30" t="str">
        <f aca="false">IF(F2677="","",L2677-J2677)</f>
        <v/>
      </c>
      <c r="N2677" s="32" t="str">
        <f aca="false">IF(F2677="","",IF(H2677&lt;&gt;"","Kapandı",IF('Vade Sapması'!$D$3&gt;G2677,"Açık · vadesi geçti","Açık · vadesi gelmedi")))</f>
        <v/>
      </c>
      <c r="O2677" s="30" t="str">
        <f aca="false">IF(F2677="","",IF(AND(H2677="",'Vade Sapması'!$D$3&gt;G2677),'Vade Sapması'!$D$3-G2677,0))</f>
        <v/>
      </c>
      <c r="P2677" s="33" t="str">
        <f aca="false">IF(F2677="","",F2677*J2677)</f>
        <v/>
      </c>
      <c r="Q2677" s="33" t="str">
        <f aca="false">IF(F2677="","",F2677*L2677)</f>
        <v/>
      </c>
      <c r="R2677" s="33" t="str">
        <f aca="false">IF(F2677="","",IF(H2677="",F2677,0))</f>
        <v/>
      </c>
      <c r="S2677" s="32" t="str">
        <f aca="false">IF(F2677="","",IF(N(O2677)=0,"",IF(O2677&lt;=30,"1-30",IF(O2677&lt;=60,"31-60",IF(O2677&lt;=90,"61-90","90+")))))</f>
        <v/>
      </c>
      <c r="T2677" s="32" t="str">
        <f aca="false">IF(F2677="","",IF(E2677="","Diğer",E2677))</f>
        <v/>
      </c>
      <c r="U2677" s="32" t="str">
        <f aca="false">IF(OR(F2677="",C2677=""),"",IF(COUNTIF($C$2:C2677,C2677)=1,MAX($U$1:U2676)+1,""))</f>
        <v/>
      </c>
    </row>
    <row r="2678" customFormat="false" ht="15" hidden="false" customHeight="false" outlineLevel="0" collapsed="false">
      <c r="A2678" s="34"/>
      <c r="B2678" s="9"/>
      <c r="C2678" s="34"/>
      <c r="D2678" s="34"/>
      <c r="E2678" s="34"/>
      <c r="F2678" s="35"/>
      <c r="G2678" s="9"/>
      <c r="H2678" s="9"/>
      <c r="I2678" s="34"/>
      <c r="J2678" s="30" t="str">
        <f aca="false">IF(F2678="","",G2678-B2678)</f>
        <v/>
      </c>
      <c r="K2678" s="31" t="str">
        <f aca="false">IF(F2678="","",IF(H2678&lt;&gt;"",H2678,MAX('Vade Sapması'!$D$3,G2678)))</f>
        <v/>
      </c>
      <c r="L2678" s="30" t="str">
        <f aca="false">IF(F2678="","",K2678-B2678)</f>
        <v/>
      </c>
      <c r="M2678" s="30" t="str">
        <f aca="false">IF(F2678="","",L2678-J2678)</f>
        <v/>
      </c>
      <c r="N2678" s="32" t="str">
        <f aca="false">IF(F2678="","",IF(H2678&lt;&gt;"","Kapandı",IF('Vade Sapması'!$D$3&gt;G2678,"Açık · vadesi geçti","Açık · vadesi gelmedi")))</f>
        <v/>
      </c>
      <c r="O2678" s="30" t="str">
        <f aca="false">IF(F2678="","",IF(AND(H2678="",'Vade Sapması'!$D$3&gt;G2678),'Vade Sapması'!$D$3-G2678,0))</f>
        <v/>
      </c>
      <c r="P2678" s="33" t="str">
        <f aca="false">IF(F2678="","",F2678*J2678)</f>
        <v/>
      </c>
      <c r="Q2678" s="33" t="str">
        <f aca="false">IF(F2678="","",F2678*L2678)</f>
        <v/>
      </c>
      <c r="R2678" s="33" t="str">
        <f aca="false">IF(F2678="","",IF(H2678="",F2678,0))</f>
        <v/>
      </c>
      <c r="S2678" s="32" t="str">
        <f aca="false">IF(F2678="","",IF(N(O2678)=0,"",IF(O2678&lt;=30,"1-30",IF(O2678&lt;=60,"31-60",IF(O2678&lt;=90,"61-90","90+")))))</f>
        <v/>
      </c>
      <c r="T2678" s="32" t="str">
        <f aca="false">IF(F2678="","",IF(E2678="","Diğer",E2678))</f>
        <v/>
      </c>
      <c r="U2678" s="32" t="str">
        <f aca="false">IF(OR(F2678="",C2678=""),"",IF(COUNTIF($C$2:C2678,C2678)=1,MAX($U$1:U2677)+1,""))</f>
        <v/>
      </c>
    </row>
    <row r="2679" customFormat="false" ht="15" hidden="false" customHeight="false" outlineLevel="0" collapsed="false">
      <c r="A2679" s="34"/>
      <c r="B2679" s="9"/>
      <c r="C2679" s="34"/>
      <c r="D2679" s="34"/>
      <c r="E2679" s="34"/>
      <c r="F2679" s="35"/>
      <c r="G2679" s="9"/>
      <c r="H2679" s="9"/>
      <c r="I2679" s="34"/>
      <c r="J2679" s="30" t="str">
        <f aca="false">IF(F2679="","",G2679-B2679)</f>
        <v/>
      </c>
      <c r="K2679" s="31" t="str">
        <f aca="false">IF(F2679="","",IF(H2679&lt;&gt;"",H2679,MAX('Vade Sapması'!$D$3,G2679)))</f>
        <v/>
      </c>
      <c r="L2679" s="30" t="str">
        <f aca="false">IF(F2679="","",K2679-B2679)</f>
        <v/>
      </c>
      <c r="M2679" s="30" t="str">
        <f aca="false">IF(F2679="","",L2679-J2679)</f>
        <v/>
      </c>
      <c r="N2679" s="32" t="str">
        <f aca="false">IF(F2679="","",IF(H2679&lt;&gt;"","Kapandı",IF('Vade Sapması'!$D$3&gt;G2679,"Açık · vadesi geçti","Açık · vadesi gelmedi")))</f>
        <v/>
      </c>
      <c r="O2679" s="30" t="str">
        <f aca="false">IF(F2679="","",IF(AND(H2679="",'Vade Sapması'!$D$3&gt;G2679),'Vade Sapması'!$D$3-G2679,0))</f>
        <v/>
      </c>
      <c r="P2679" s="33" t="str">
        <f aca="false">IF(F2679="","",F2679*J2679)</f>
        <v/>
      </c>
      <c r="Q2679" s="33" t="str">
        <f aca="false">IF(F2679="","",F2679*L2679)</f>
        <v/>
      </c>
      <c r="R2679" s="33" t="str">
        <f aca="false">IF(F2679="","",IF(H2679="",F2679,0))</f>
        <v/>
      </c>
      <c r="S2679" s="32" t="str">
        <f aca="false">IF(F2679="","",IF(N(O2679)=0,"",IF(O2679&lt;=30,"1-30",IF(O2679&lt;=60,"31-60",IF(O2679&lt;=90,"61-90","90+")))))</f>
        <v/>
      </c>
      <c r="T2679" s="32" t="str">
        <f aca="false">IF(F2679="","",IF(E2679="","Diğer",E2679))</f>
        <v/>
      </c>
      <c r="U2679" s="32" t="str">
        <f aca="false">IF(OR(F2679="",C2679=""),"",IF(COUNTIF($C$2:C2679,C2679)=1,MAX($U$1:U2678)+1,""))</f>
        <v/>
      </c>
    </row>
    <row r="2680" customFormat="false" ht="15" hidden="false" customHeight="false" outlineLevel="0" collapsed="false">
      <c r="A2680" s="34"/>
      <c r="B2680" s="9"/>
      <c r="C2680" s="34"/>
      <c r="D2680" s="34"/>
      <c r="E2680" s="34"/>
      <c r="F2680" s="35"/>
      <c r="G2680" s="9"/>
      <c r="H2680" s="9"/>
      <c r="I2680" s="34"/>
      <c r="J2680" s="30" t="str">
        <f aca="false">IF(F2680="","",G2680-B2680)</f>
        <v/>
      </c>
      <c r="K2680" s="31" t="str">
        <f aca="false">IF(F2680="","",IF(H2680&lt;&gt;"",H2680,MAX('Vade Sapması'!$D$3,G2680)))</f>
        <v/>
      </c>
      <c r="L2680" s="30" t="str">
        <f aca="false">IF(F2680="","",K2680-B2680)</f>
        <v/>
      </c>
      <c r="M2680" s="30" t="str">
        <f aca="false">IF(F2680="","",L2680-J2680)</f>
        <v/>
      </c>
      <c r="N2680" s="32" t="str">
        <f aca="false">IF(F2680="","",IF(H2680&lt;&gt;"","Kapandı",IF('Vade Sapması'!$D$3&gt;G2680,"Açık · vadesi geçti","Açık · vadesi gelmedi")))</f>
        <v/>
      </c>
      <c r="O2680" s="30" t="str">
        <f aca="false">IF(F2680="","",IF(AND(H2680="",'Vade Sapması'!$D$3&gt;G2680),'Vade Sapması'!$D$3-G2680,0))</f>
        <v/>
      </c>
      <c r="P2680" s="33" t="str">
        <f aca="false">IF(F2680="","",F2680*J2680)</f>
        <v/>
      </c>
      <c r="Q2680" s="33" t="str">
        <f aca="false">IF(F2680="","",F2680*L2680)</f>
        <v/>
      </c>
      <c r="R2680" s="33" t="str">
        <f aca="false">IF(F2680="","",IF(H2680="",F2680,0))</f>
        <v/>
      </c>
      <c r="S2680" s="32" t="str">
        <f aca="false">IF(F2680="","",IF(N(O2680)=0,"",IF(O2680&lt;=30,"1-30",IF(O2680&lt;=60,"31-60",IF(O2680&lt;=90,"61-90","90+")))))</f>
        <v/>
      </c>
      <c r="T2680" s="32" t="str">
        <f aca="false">IF(F2680="","",IF(E2680="","Diğer",E2680))</f>
        <v/>
      </c>
      <c r="U2680" s="32" t="str">
        <f aca="false">IF(OR(F2680="",C2680=""),"",IF(COUNTIF($C$2:C2680,C2680)=1,MAX($U$1:U2679)+1,""))</f>
        <v/>
      </c>
    </row>
    <row r="2681" customFormat="false" ht="15" hidden="false" customHeight="false" outlineLevel="0" collapsed="false">
      <c r="A2681" s="34"/>
      <c r="B2681" s="9"/>
      <c r="C2681" s="34"/>
      <c r="D2681" s="34"/>
      <c r="E2681" s="34"/>
      <c r="F2681" s="35"/>
      <c r="G2681" s="9"/>
      <c r="H2681" s="9"/>
      <c r="I2681" s="34"/>
      <c r="J2681" s="30" t="str">
        <f aca="false">IF(F2681="","",G2681-B2681)</f>
        <v/>
      </c>
      <c r="K2681" s="31" t="str">
        <f aca="false">IF(F2681="","",IF(H2681&lt;&gt;"",H2681,MAX('Vade Sapması'!$D$3,G2681)))</f>
        <v/>
      </c>
      <c r="L2681" s="30" t="str">
        <f aca="false">IF(F2681="","",K2681-B2681)</f>
        <v/>
      </c>
      <c r="M2681" s="30" t="str">
        <f aca="false">IF(F2681="","",L2681-J2681)</f>
        <v/>
      </c>
      <c r="N2681" s="32" t="str">
        <f aca="false">IF(F2681="","",IF(H2681&lt;&gt;"","Kapandı",IF('Vade Sapması'!$D$3&gt;G2681,"Açık · vadesi geçti","Açık · vadesi gelmedi")))</f>
        <v/>
      </c>
      <c r="O2681" s="30" t="str">
        <f aca="false">IF(F2681="","",IF(AND(H2681="",'Vade Sapması'!$D$3&gt;G2681),'Vade Sapması'!$D$3-G2681,0))</f>
        <v/>
      </c>
      <c r="P2681" s="33" t="str">
        <f aca="false">IF(F2681="","",F2681*J2681)</f>
        <v/>
      </c>
      <c r="Q2681" s="33" t="str">
        <f aca="false">IF(F2681="","",F2681*L2681)</f>
        <v/>
      </c>
      <c r="R2681" s="33" t="str">
        <f aca="false">IF(F2681="","",IF(H2681="",F2681,0))</f>
        <v/>
      </c>
      <c r="S2681" s="32" t="str">
        <f aca="false">IF(F2681="","",IF(N(O2681)=0,"",IF(O2681&lt;=30,"1-30",IF(O2681&lt;=60,"31-60",IF(O2681&lt;=90,"61-90","90+")))))</f>
        <v/>
      </c>
      <c r="T2681" s="32" t="str">
        <f aca="false">IF(F2681="","",IF(E2681="","Diğer",E2681))</f>
        <v/>
      </c>
      <c r="U2681" s="32" t="str">
        <f aca="false">IF(OR(F2681="",C2681=""),"",IF(COUNTIF($C$2:C2681,C2681)=1,MAX($U$1:U2680)+1,""))</f>
        <v/>
      </c>
    </row>
    <row r="2682" customFormat="false" ht="15" hidden="false" customHeight="false" outlineLevel="0" collapsed="false">
      <c r="A2682" s="34"/>
      <c r="B2682" s="9"/>
      <c r="C2682" s="34"/>
      <c r="D2682" s="34"/>
      <c r="E2682" s="34"/>
      <c r="F2682" s="35"/>
      <c r="G2682" s="9"/>
      <c r="H2682" s="9"/>
      <c r="I2682" s="34"/>
      <c r="J2682" s="30" t="str">
        <f aca="false">IF(F2682="","",G2682-B2682)</f>
        <v/>
      </c>
      <c r="K2682" s="31" t="str">
        <f aca="false">IF(F2682="","",IF(H2682&lt;&gt;"",H2682,MAX('Vade Sapması'!$D$3,G2682)))</f>
        <v/>
      </c>
      <c r="L2682" s="30" t="str">
        <f aca="false">IF(F2682="","",K2682-B2682)</f>
        <v/>
      </c>
      <c r="M2682" s="30" t="str">
        <f aca="false">IF(F2682="","",L2682-J2682)</f>
        <v/>
      </c>
      <c r="N2682" s="32" t="str">
        <f aca="false">IF(F2682="","",IF(H2682&lt;&gt;"","Kapandı",IF('Vade Sapması'!$D$3&gt;G2682,"Açık · vadesi geçti","Açık · vadesi gelmedi")))</f>
        <v/>
      </c>
      <c r="O2682" s="30" t="str">
        <f aca="false">IF(F2682="","",IF(AND(H2682="",'Vade Sapması'!$D$3&gt;G2682),'Vade Sapması'!$D$3-G2682,0))</f>
        <v/>
      </c>
      <c r="P2682" s="33" t="str">
        <f aca="false">IF(F2682="","",F2682*J2682)</f>
        <v/>
      </c>
      <c r="Q2682" s="33" t="str">
        <f aca="false">IF(F2682="","",F2682*L2682)</f>
        <v/>
      </c>
      <c r="R2682" s="33" t="str">
        <f aca="false">IF(F2682="","",IF(H2682="",F2682,0))</f>
        <v/>
      </c>
      <c r="S2682" s="32" t="str">
        <f aca="false">IF(F2682="","",IF(N(O2682)=0,"",IF(O2682&lt;=30,"1-30",IF(O2682&lt;=60,"31-60",IF(O2682&lt;=90,"61-90","90+")))))</f>
        <v/>
      </c>
      <c r="T2682" s="32" t="str">
        <f aca="false">IF(F2682="","",IF(E2682="","Diğer",E2682))</f>
        <v/>
      </c>
      <c r="U2682" s="32" t="str">
        <f aca="false">IF(OR(F2682="",C2682=""),"",IF(COUNTIF($C$2:C2682,C2682)=1,MAX($U$1:U2681)+1,""))</f>
        <v/>
      </c>
    </row>
    <row r="2683" customFormat="false" ht="15" hidden="false" customHeight="false" outlineLevel="0" collapsed="false">
      <c r="A2683" s="34"/>
      <c r="B2683" s="9"/>
      <c r="C2683" s="34"/>
      <c r="D2683" s="34"/>
      <c r="E2683" s="34"/>
      <c r="F2683" s="35"/>
      <c r="G2683" s="9"/>
      <c r="H2683" s="9"/>
      <c r="I2683" s="34"/>
      <c r="J2683" s="30" t="str">
        <f aca="false">IF(F2683="","",G2683-B2683)</f>
        <v/>
      </c>
      <c r="K2683" s="31" t="str">
        <f aca="false">IF(F2683="","",IF(H2683&lt;&gt;"",H2683,MAX('Vade Sapması'!$D$3,G2683)))</f>
        <v/>
      </c>
      <c r="L2683" s="30" t="str">
        <f aca="false">IF(F2683="","",K2683-B2683)</f>
        <v/>
      </c>
      <c r="M2683" s="30" t="str">
        <f aca="false">IF(F2683="","",L2683-J2683)</f>
        <v/>
      </c>
      <c r="N2683" s="32" t="str">
        <f aca="false">IF(F2683="","",IF(H2683&lt;&gt;"","Kapandı",IF('Vade Sapması'!$D$3&gt;G2683,"Açık · vadesi geçti","Açık · vadesi gelmedi")))</f>
        <v/>
      </c>
      <c r="O2683" s="30" t="str">
        <f aca="false">IF(F2683="","",IF(AND(H2683="",'Vade Sapması'!$D$3&gt;G2683),'Vade Sapması'!$D$3-G2683,0))</f>
        <v/>
      </c>
      <c r="P2683" s="33" t="str">
        <f aca="false">IF(F2683="","",F2683*J2683)</f>
        <v/>
      </c>
      <c r="Q2683" s="33" t="str">
        <f aca="false">IF(F2683="","",F2683*L2683)</f>
        <v/>
      </c>
      <c r="R2683" s="33" t="str">
        <f aca="false">IF(F2683="","",IF(H2683="",F2683,0))</f>
        <v/>
      </c>
      <c r="S2683" s="32" t="str">
        <f aca="false">IF(F2683="","",IF(N(O2683)=0,"",IF(O2683&lt;=30,"1-30",IF(O2683&lt;=60,"31-60",IF(O2683&lt;=90,"61-90","90+")))))</f>
        <v/>
      </c>
      <c r="T2683" s="32" t="str">
        <f aca="false">IF(F2683="","",IF(E2683="","Diğer",E2683))</f>
        <v/>
      </c>
      <c r="U2683" s="32" t="str">
        <f aca="false">IF(OR(F2683="",C2683=""),"",IF(COUNTIF($C$2:C2683,C2683)=1,MAX($U$1:U2682)+1,""))</f>
        <v/>
      </c>
    </row>
    <row r="2684" customFormat="false" ht="15" hidden="false" customHeight="false" outlineLevel="0" collapsed="false">
      <c r="A2684" s="34"/>
      <c r="B2684" s="9"/>
      <c r="C2684" s="34"/>
      <c r="D2684" s="34"/>
      <c r="E2684" s="34"/>
      <c r="F2684" s="35"/>
      <c r="G2684" s="9"/>
      <c r="H2684" s="9"/>
      <c r="I2684" s="34"/>
      <c r="J2684" s="30" t="str">
        <f aca="false">IF(F2684="","",G2684-B2684)</f>
        <v/>
      </c>
      <c r="K2684" s="31" t="str">
        <f aca="false">IF(F2684="","",IF(H2684&lt;&gt;"",H2684,MAX('Vade Sapması'!$D$3,G2684)))</f>
        <v/>
      </c>
      <c r="L2684" s="30" t="str">
        <f aca="false">IF(F2684="","",K2684-B2684)</f>
        <v/>
      </c>
      <c r="M2684" s="30" t="str">
        <f aca="false">IF(F2684="","",L2684-J2684)</f>
        <v/>
      </c>
      <c r="N2684" s="32" t="str">
        <f aca="false">IF(F2684="","",IF(H2684&lt;&gt;"","Kapandı",IF('Vade Sapması'!$D$3&gt;G2684,"Açık · vadesi geçti","Açık · vadesi gelmedi")))</f>
        <v/>
      </c>
      <c r="O2684" s="30" t="str">
        <f aca="false">IF(F2684="","",IF(AND(H2684="",'Vade Sapması'!$D$3&gt;G2684),'Vade Sapması'!$D$3-G2684,0))</f>
        <v/>
      </c>
      <c r="P2684" s="33" t="str">
        <f aca="false">IF(F2684="","",F2684*J2684)</f>
        <v/>
      </c>
      <c r="Q2684" s="33" t="str">
        <f aca="false">IF(F2684="","",F2684*L2684)</f>
        <v/>
      </c>
      <c r="R2684" s="33" t="str">
        <f aca="false">IF(F2684="","",IF(H2684="",F2684,0))</f>
        <v/>
      </c>
      <c r="S2684" s="32" t="str">
        <f aca="false">IF(F2684="","",IF(N(O2684)=0,"",IF(O2684&lt;=30,"1-30",IF(O2684&lt;=60,"31-60",IF(O2684&lt;=90,"61-90","90+")))))</f>
        <v/>
      </c>
      <c r="T2684" s="32" t="str">
        <f aca="false">IF(F2684="","",IF(E2684="","Diğer",E2684))</f>
        <v/>
      </c>
      <c r="U2684" s="32" t="str">
        <f aca="false">IF(OR(F2684="",C2684=""),"",IF(COUNTIF($C$2:C2684,C2684)=1,MAX($U$1:U2683)+1,""))</f>
        <v/>
      </c>
    </row>
    <row r="2685" customFormat="false" ht="15" hidden="false" customHeight="false" outlineLevel="0" collapsed="false">
      <c r="A2685" s="34"/>
      <c r="B2685" s="9"/>
      <c r="C2685" s="34"/>
      <c r="D2685" s="34"/>
      <c r="E2685" s="34"/>
      <c r="F2685" s="35"/>
      <c r="G2685" s="9"/>
      <c r="H2685" s="9"/>
      <c r="I2685" s="34"/>
      <c r="J2685" s="30" t="str">
        <f aca="false">IF(F2685="","",G2685-B2685)</f>
        <v/>
      </c>
      <c r="K2685" s="31" t="str">
        <f aca="false">IF(F2685="","",IF(H2685&lt;&gt;"",H2685,MAX('Vade Sapması'!$D$3,G2685)))</f>
        <v/>
      </c>
      <c r="L2685" s="30" t="str">
        <f aca="false">IF(F2685="","",K2685-B2685)</f>
        <v/>
      </c>
      <c r="M2685" s="30" t="str">
        <f aca="false">IF(F2685="","",L2685-J2685)</f>
        <v/>
      </c>
      <c r="N2685" s="32" t="str">
        <f aca="false">IF(F2685="","",IF(H2685&lt;&gt;"","Kapandı",IF('Vade Sapması'!$D$3&gt;G2685,"Açık · vadesi geçti","Açık · vadesi gelmedi")))</f>
        <v/>
      </c>
      <c r="O2685" s="30" t="str">
        <f aca="false">IF(F2685="","",IF(AND(H2685="",'Vade Sapması'!$D$3&gt;G2685),'Vade Sapması'!$D$3-G2685,0))</f>
        <v/>
      </c>
      <c r="P2685" s="33" t="str">
        <f aca="false">IF(F2685="","",F2685*J2685)</f>
        <v/>
      </c>
      <c r="Q2685" s="33" t="str">
        <f aca="false">IF(F2685="","",F2685*L2685)</f>
        <v/>
      </c>
      <c r="R2685" s="33" t="str">
        <f aca="false">IF(F2685="","",IF(H2685="",F2685,0))</f>
        <v/>
      </c>
      <c r="S2685" s="32" t="str">
        <f aca="false">IF(F2685="","",IF(N(O2685)=0,"",IF(O2685&lt;=30,"1-30",IF(O2685&lt;=60,"31-60",IF(O2685&lt;=90,"61-90","90+")))))</f>
        <v/>
      </c>
      <c r="T2685" s="32" t="str">
        <f aca="false">IF(F2685="","",IF(E2685="","Diğer",E2685))</f>
        <v/>
      </c>
      <c r="U2685" s="32" t="str">
        <f aca="false">IF(OR(F2685="",C2685=""),"",IF(COUNTIF($C$2:C2685,C2685)=1,MAX($U$1:U2684)+1,""))</f>
        <v/>
      </c>
    </row>
    <row r="2686" customFormat="false" ht="15" hidden="false" customHeight="false" outlineLevel="0" collapsed="false">
      <c r="A2686" s="34"/>
      <c r="B2686" s="9"/>
      <c r="C2686" s="34"/>
      <c r="D2686" s="34"/>
      <c r="E2686" s="34"/>
      <c r="F2686" s="35"/>
      <c r="G2686" s="9"/>
      <c r="H2686" s="9"/>
      <c r="I2686" s="34"/>
      <c r="J2686" s="30" t="str">
        <f aca="false">IF(F2686="","",G2686-B2686)</f>
        <v/>
      </c>
      <c r="K2686" s="31" t="str">
        <f aca="false">IF(F2686="","",IF(H2686&lt;&gt;"",H2686,MAX('Vade Sapması'!$D$3,G2686)))</f>
        <v/>
      </c>
      <c r="L2686" s="30" t="str">
        <f aca="false">IF(F2686="","",K2686-B2686)</f>
        <v/>
      </c>
      <c r="M2686" s="30" t="str">
        <f aca="false">IF(F2686="","",L2686-J2686)</f>
        <v/>
      </c>
      <c r="N2686" s="32" t="str">
        <f aca="false">IF(F2686="","",IF(H2686&lt;&gt;"","Kapandı",IF('Vade Sapması'!$D$3&gt;G2686,"Açık · vadesi geçti","Açık · vadesi gelmedi")))</f>
        <v/>
      </c>
      <c r="O2686" s="30" t="str">
        <f aca="false">IF(F2686="","",IF(AND(H2686="",'Vade Sapması'!$D$3&gt;G2686),'Vade Sapması'!$D$3-G2686,0))</f>
        <v/>
      </c>
      <c r="P2686" s="33" t="str">
        <f aca="false">IF(F2686="","",F2686*J2686)</f>
        <v/>
      </c>
      <c r="Q2686" s="33" t="str">
        <f aca="false">IF(F2686="","",F2686*L2686)</f>
        <v/>
      </c>
      <c r="R2686" s="33" t="str">
        <f aca="false">IF(F2686="","",IF(H2686="",F2686,0))</f>
        <v/>
      </c>
      <c r="S2686" s="32" t="str">
        <f aca="false">IF(F2686="","",IF(N(O2686)=0,"",IF(O2686&lt;=30,"1-30",IF(O2686&lt;=60,"31-60",IF(O2686&lt;=90,"61-90","90+")))))</f>
        <v/>
      </c>
      <c r="T2686" s="32" t="str">
        <f aca="false">IF(F2686="","",IF(E2686="","Diğer",E2686))</f>
        <v/>
      </c>
      <c r="U2686" s="32" t="str">
        <f aca="false">IF(OR(F2686="",C2686=""),"",IF(COUNTIF($C$2:C2686,C2686)=1,MAX($U$1:U2685)+1,""))</f>
        <v/>
      </c>
    </row>
    <row r="2687" customFormat="false" ht="15" hidden="false" customHeight="false" outlineLevel="0" collapsed="false">
      <c r="A2687" s="34"/>
      <c r="B2687" s="9"/>
      <c r="C2687" s="34"/>
      <c r="D2687" s="34"/>
      <c r="E2687" s="34"/>
      <c r="F2687" s="35"/>
      <c r="G2687" s="9"/>
      <c r="H2687" s="9"/>
      <c r="I2687" s="34"/>
      <c r="J2687" s="30" t="str">
        <f aca="false">IF(F2687="","",G2687-B2687)</f>
        <v/>
      </c>
      <c r="K2687" s="31" t="str">
        <f aca="false">IF(F2687="","",IF(H2687&lt;&gt;"",H2687,MAX('Vade Sapması'!$D$3,G2687)))</f>
        <v/>
      </c>
      <c r="L2687" s="30" t="str">
        <f aca="false">IF(F2687="","",K2687-B2687)</f>
        <v/>
      </c>
      <c r="M2687" s="30" t="str">
        <f aca="false">IF(F2687="","",L2687-J2687)</f>
        <v/>
      </c>
      <c r="N2687" s="32" t="str">
        <f aca="false">IF(F2687="","",IF(H2687&lt;&gt;"","Kapandı",IF('Vade Sapması'!$D$3&gt;G2687,"Açık · vadesi geçti","Açık · vadesi gelmedi")))</f>
        <v/>
      </c>
      <c r="O2687" s="30" t="str">
        <f aca="false">IF(F2687="","",IF(AND(H2687="",'Vade Sapması'!$D$3&gt;G2687),'Vade Sapması'!$D$3-G2687,0))</f>
        <v/>
      </c>
      <c r="P2687" s="33" t="str">
        <f aca="false">IF(F2687="","",F2687*J2687)</f>
        <v/>
      </c>
      <c r="Q2687" s="33" t="str">
        <f aca="false">IF(F2687="","",F2687*L2687)</f>
        <v/>
      </c>
      <c r="R2687" s="33" t="str">
        <f aca="false">IF(F2687="","",IF(H2687="",F2687,0))</f>
        <v/>
      </c>
      <c r="S2687" s="32" t="str">
        <f aca="false">IF(F2687="","",IF(N(O2687)=0,"",IF(O2687&lt;=30,"1-30",IF(O2687&lt;=60,"31-60",IF(O2687&lt;=90,"61-90","90+")))))</f>
        <v/>
      </c>
      <c r="T2687" s="32" t="str">
        <f aca="false">IF(F2687="","",IF(E2687="","Diğer",E2687))</f>
        <v/>
      </c>
      <c r="U2687" s="32" t="str">
        <f aca="false">IF(OR(F2687="",C2687=""),"",IF(COUNTIF($C$2:C2687,C2687)=1,MAX($U$1:U2686)+1,""))</f>
        <v/>
      </c>
    </row>
    <row r="2688" customFormat="false" ht="15" hidden="false" customHeight="false" outlineLevel="0" collapsed="false">
      <c r="A2688" s="34"/>
      <c r="B2688" s="9"/>
      <c r="C2688" s="34"/>
      <c r="D2688" s="34"/>
      <c r="E2688" s="34"/>
      <c r="F2688" s="35"/>
      <c r="G2688" s="9"/>
      <c r="H2688" s="9"/>
      <c r="I2688" s="34"/>
      <c r="J2688" s="30" t="str">
        <f aca="false">IF(F2688="","",G2688-B2688)</f>
        <v/>
      </c>
      <c r="K2688" s="31" t="str">
        <f aca="false">IF(F2688="","",IF(H2688&lt;&gt;"",H2688,MAX('Vade Sapması'!$D$3,G2688)))</f>
        <v/>
      </c>
      <c r="L2688" s="30" t="str">
        <f aca="false">IF(F2688="","",K2688-B2688)</f>
        <v/>
      </c>
      <c r="M2688" s="30" t="str">
        <f aca="false">IF(F2688="","",L2688-J2688)</f>
        <v/>
      </c>
      <c r="N2688" s="32" t="str">
        <f aca="false">IF(F2688="","",IF(H2688&lt;&gt;"","Kapandı",IF('Vade Sapması'!$D$3&gt;G2688,"Açık · vadesi geçti","Açık · vadesi gelmedi")))</f>
        <v/>
      </c>
      <c r="O2688" s="30" t="str">
        <f aca="false">IF(F2688="","",IF(AND(H2688="",'Vade Sapması'!$D$3&gt;G2688),'Vade Sapması'!$D$3-G2688,0))</f>
        <v/>
      </c>
      <c r="P2688" s="33" t="str">
        <f aca="false">IF(F2688="","",F2688*J2688)</f>
        <v/>
      </c>
      <c r="Q2688" s="33" t="str">
        <f aca="false">IF(F2688="","",F2688*L2688)</f>
        <v/>
      </c>
      <c r="R2688" s="33" t="str">
        <f aca="false">IF(F2688="","",IF(H2688="",F2688,0))</f>
        <v/>
      </c>
      <c r="S2688" s="32" t="str">
        <f aca="false">IF(F2688="","",IF(N(O2688)=0,"",IF(O2688&lt;=30,"1-30",IF(O2688&lt;=60,"31-60",IF(O2688&lt;=90,"61-90","90+")))))</f>
        <v/>
      </c>
      <c r="T2688" s="32" t="str">
        <f aca="false">IF(F2688="","",IF(E2688="","Diğer",E2688))</f>
        <v/>
      </c>
      <c r="U2688" s="32" t="str">
        <f aca="false">IF(OR(F2688="",C2688=""),"",IF(COUNTIF($C$2:C2688,C2688)=1,MAX($U$1:U2687)+1,""))</f>
        <v/>
      </c>
    </row>
    <row r="2689" customFormat="false" ht="15" hidden="false" customHeight="false" outlineLevel="0" collapsed="false">
      <c r="A2689" s="34"/>
      <c r="B2689" s="9"/>
      <c r="C2689" s="34"/>
      <c r="D2689" s="34"/>
      <c r="E2689" s="34"/>
      <c r="F2689" s="35"/>
      <c r="G2689" s="9"/>
      <c r="H2689" s="9"/>
      <c r="I2689" s="34"/>
      <c r="J2689" s="30" t="str">
        <f aca="false">IF(F2689="","",G2689-B2689)</f>
        <v/>
      </c>
      <c r="K2689" s="31" t="str">
        <f aca="false">IF(F2689="","",IF(H2689&lt;&gt;"",H2689,MAX('Vade Sapması'!$D$3,G2689)))</f>
        <v/>
      </c>
      <c r="L2689" s="30" t="str">
        <f aca="false">IF(F2689="","",K2689-B2689)</f>
        <v/>
      </c>
      <c r="M2689" s="30" t="str">
        <f aca="false">IF(F2689="","",L2689-J2689)</f>
        <v/>
      </c>
      <c r="N2689" s="32" t="str">
        <f aca="false">IF(F2689="","",IF(H2689&lt;&gt;"","Kapandı",IF('Vade Sapması'!$D$3&gt;G2689,"Açık · vadesi geçti","Açık · vadesi gelmedi")))</f>
        <v/>
      </c>
      <c r="O2689" s="30" t="str">
        <f aca="false">IF(F2689="","",IF(AND(H2689="",'Vade Sapması'!$D$3&gt;G2689),'Vade Sapması'!$D$3-G2689,0))</f>
        <v/>
      </c>
      <c r="P2689" s="33" t="str">
        <f aca="false">IF(F2689="","",F2689*J2689)</f>
        <v/>
      </c>
      <c r="Q2689" s="33" t="str">
        <f aca="false">IF(F2689="","",F2689*L2689)</f>
        <v/>
      </c>
      <c r="R2689" s="33" t="str">
        <f aca="false">IF(F2689="","",IF(H2689="",F2689,0))</f>
        <v/>
      </c>
      <c r="S2689" s="32" t="str">
        <f aca="false">IF(F2689="","",IF(N(O2689)=0,"",IF(O2689&lt;=30,"1-30",IF(O2689&lt;=60,"31-60",IF(O2689&lt;=90,"61-90","90+")))))</f>
        <v/>
      </c>
      <c r="T2689" s="32" t="str">
        <f aca="false">IF(F2689="","",IF(E2689="","Diğer",E2689))</f>
        <v/>
      </c>
      <c r="U2689" s="32" t="str">
        <f aca="false">IF(OR(F2689="",C2689=""),"",IF(COUNTIF($C$2:C2689,C2689)=1,MAX($U$1:U2688)+1,""))</f>
        <v/>
      </c>
    </row>
    <row r="2690" customFormat="false" ht="15" hidden="false" customHeight="false" outlineLevel="0" collapsed="false">
      <c r="A2690" s="34"/>
      <c r="B2690" s="9"/>
      <c r="C2690" s="34"/>
      <c r="D2690" s="34"/>
      <c r="E2690" s="34"/>
      <c r="F2690" s="35"/>
      <c r="G2690" s="9"/>
      <c r="H2690" s="9"/>
      <c r="I2690" s="34"/>
      <c r="J2690" s="30" t="str">
        <f aca="false">IF(F2690="","",G2690-B2690)</f>
        <v/>
      </c>
      <c r="K2690" s="31" t="str">
        <f aca="false">IF(F2690="","",IF(H2690&lt;&gt;"",H2690,MAX('Vade Sapması'!$D$3,G2690)))</f>
        <v/>
      </c>
      <c r="L2690" s="30" t="str">
        <f aca="false">IF(F2690="","",K2690-B2690)</f>
        <v/>
      </c>
      <c r="M2690" s="30" t="str">
        <f aca="false">IF(F2690="","",L2690-J2690)</f>
        <v/>
      </c>
      <c r="N2690" s="32" t="str">
        <f aca="false">IF(F2690="","",IF(H2690&lt;&gt;"","Kapandı",IF('Vade Sapması'!$D$3&gt;G2690,"Açık · vadesi geçti","Açık · vadesi gelmedi")))</f>
        <v/>
      </c>
      <c r="O2690" s="30" t="str">
        <f aca="false">IF(F2690="","",IF(AND(H2690="",'Vade Sapması'!$D$3&gt;G2690),'Vade Sapması'!$D$3-G2690,0))</f>
        <v/>
      </c>
      <c r="P2690" s="33" t="str">
        <f aca="false">IF(F2690="","",F2690*J2690)</f>
        <v/>
      </c>
      <c r="Q2690" s="33" t="str">
        <f aca="false">IF(F2690="","",F2690*L2690)</f>
        <v/>
      </c>
      <c r="R2690" s="33" t="str">
        <f aca="false">IF(F2690="","",IF(H2690="",F2690,0))</f>
        <v/>
      </c>
      <c r="S2690" s="32" t="str">
        <f aca="false">IF(F2690="","",IF(N(O2690)=0,"",IF(O2690&lt;=30,"1-30",IF(O2690&lt;=60,"31-60",IF(O2690&lt;=90,"61-90","90+")))))</f>
        <v/>
      </c>
      <c r="T2690" s="32" t="str">
        <f aca="false">IF(F2690="","",IF(E2690="","Diğer",E2690))</f>
        <v/>
      </c>
      <c r="U2690" s="32" t="str">
        <f aca="false">IF(OR(F2690="",C2690=""),"",IF(COUNTIF($C$2:C2690,C2690)=1,MAX($U$1:U2689)+1,""))</f>
        <v/>
      </c>
    </row>
    <row r="2691" customFormat="false" ht="15" hidden="false" customHeight="false" outlineLevel="0" collapsed="false">
      <c r="A2691" s="34"/>
      <c r="B2691" s="9"/>
      <c r="C2691" s="34"/>
      <c r="D2691" s="34"/>
      <c r="E2691" s="34"/>
      <c r="F2691" s="35"/>
      <c r="G2691" s="9"/>
      <c r="H2691" s="9"/>
      <c r="I2691" s="34"/>
      <c r="J2691" s="30" t="str">
        <f aca="false">IF(F2691="","",G2691-B2691)</f>
        <v/>
      </c>
      <c r="K2691" s="31" t="str">
        <f aca="false">IF(F2691="","",IF(H2691&lt;&gt;"",H2691,MAX('Vade Sapması'!$D$3,G2691)))</f>
        <v/>
      </c>
      <c r="L2691" s="30" t="str">
        <f aca="false">IF(F2691="","",K2691-B2691)</f>
        <v/>
      </c>
      <c r="M2691" s="30" t="str">
        <f aca="false">IF(F2691="","",L2691-J2691)</f>
        <v/>
      </c>
      <c r="N2691" s="32" t="str">
        <f aca="false">IF(F2691="","",IF(H2691&lt;&gt;"","Kapandı",IF('Vade Sapması'!$D$3&gt;G2691,"Açık · vadesi geçti","Açık · vadesi gelmedi")))</f>
        <v/>
      </c>
      <c r="O2691" s="30" t="str">
        <f aca="false">IF(F2691="","",IF(AND(H2691="",'Vade Sapması'!$D$3&gt;G2691),'Vade Sapması'!$D$3-G2691,0))</f>
        <v/>
      </c>
      <c r="P2691" s="33" t="str">
        <f aca="false">IF(F2691="","",F2691*J2691)</f>
        <v/>
      </c>
      <c r="Q2691" s="33" t="str">
        <f aca="false">IF(F2691="","",F2691*L2691)</f>
        <v/>
      </c>
      <c r="R2691" s="33" t="str">
        <f aca="false">IF(F2691="","",IF(H2691="",F2691,0))</f>
        <v/>
      </c>
      <c r="S2691" s="32" t="str">
        <f aca="false">IF(F2691="","",IF(N(O2691)=0,"",IF(O2691&lt;=30,"1-30",IF(O2691&lt;=60,"31-60",IF(O2691&lt;=90,"61-90","90+")))))</f>
        <v/>
      </c>
      <c r="T2691" s="32" t="str">
        <f aca="false">IF(F2691="","",IF(E2691="","Diğer",E2691))</f>
        <v/>
      </c>
      <c r="U2691" s="32" t="str">
        <f aca="false">IF(OR(F2691="",C2691=""),"",IF(COUNTIF($C$2:C2691,C2691)=1,MAX($U$1:U2690)+1,""))</f>
        <v/>
      </c>
    </row>
    <row r="2692" customFormat="false" ht="15" hidden="false" customHeight="false" outlineLevel="0" collapsed="false">
      <c r="A2692" s="34"/>
      <c r="B2692" s="9"/>
      <c r="C2692" s="34"/>
      <c r="D2692" s="34"/>
      <c r="E2692" s="34"/>
      <c r="F2692" s="35"/>
      <c r="G2692" s="9"/>
      <c r="H2692" s="9"/>
      <c r="I2692" s="34"/>
      <c r="J2692" s="30" t="str">
        <f aca="false">IF(F2692="","",G2692-B2692)</f>
        <v/>
      </c>
      <c r="K2692" s="31" t="str">
        <f aca="false">IF(F2692="","",IF(H2692&lt;&gt;"",H2692,MAX('Vade Sapması'!$D$3,G2692)))</f>
        <v/>
      </c>
      <c r="L2692" s="30" t="str">
        <f aca="false">IF(F2692="","",K2692-B2692)</f>
        <v/>
      </c>
      <c r="M2692" s="30" t="str">
        <f aca="false">IF(F2692="","",L2692-J2692)</f>
        <v/>
      </c>
      <c r="N2692" s="32" t="str">
        <f aca="false">IF(F2692="","",IF(H2692&lt;&gt;"","Kapandı",IF('Vade Sapması'!$D$3&gt;G2692,"Açık · vadesi geçti","Açık · vadesi gelmedi")))</f>
        <v/>
      </c>
      <c r="O2692" s="30" t="str">
        <f aca="false">IF(F2692="","",IF(AND(H2692="",'Vade Sapması'!$D$3&gt;G2692),'Vade Sapması'!$D$3-G2692,0))</f>
        <v/>
      </c>
      <c r="P2692" s="33" t="str">
        <f aca="false">IF(F2692="","",F2692*J2692)</f>
        <v/>
      </c>
      <c r="Q2692" s="33" t="str">
        <f aca="false">IF(F2692="","",F2692*L2692)</f>
        <v/>
      </c>
      <c r="R2692" s="33" t="str">
        <f aca="false">IF(F2692="","",IF(H2692="",F2692,0))</f>
        <v/>
      </c>
      <c r="S2692" s="32" t="str">
        <f aca="false">IF(F2692="","",IF(N(O2692)=0,"",IF(O2692&lt;=30,"1-30",IF(O2692&lt;=60,"31-60",IF(O2692&lt;=90,"61-90","90+")))))</f>
        <v/>
      </c>
      <c r="T2692" s="32" t="str">
        <f aca="false">IF(F2692="","",IF(E2692="","Diğer",E2692))</f>
        <v/>
      </c>
      <c r="U2692" s="32" t="str">
        <f aca="false">IF(OR(F2692="",C2692=""),"",IF(COUNTIF($C$2:C2692,C2692)=1,MAX($U$1:U2691)+1,""))</f>
        <v/>
      </c>
    </row>
    <row r="2693" customFormat="false" ht="15" hidden="false" customHeight="false" outlineLevel="0" collapsed="false">
      <c r="A2693" s="34"/>
      <c r="B2693" s="9"/>
      <c r="C2693" s="34"/>
      <c r="D2693" s="34"/>
      <c r="E2693" s="34"/>
      <c r="F2693" s="35"/>
      <c r="G2693" s="9"/>
      <c r="H2693" s="9"/>
      <c r="I2693" s="34"/>
      <c r="J2693" s="30" t="str">
        <f aca="false">IF(F2693="","",G2693-B2693)</f>
        <v/>
      </c>
      <c r="K2693" s="31" t="str">
        <f aca="false">IF(F2693="","",IF(H2693&lt;&gt;"",H2693,MAX('Vade Sapması'!$D$3,G2693)))</f>
        <v/>
      </c>
      <c r="L2693" s="30" t="str">
        <f aca="false">IF(F2693="","",K2693-B2693)</f>
        <v/>
      </c>
      <c r="M2693" s="30" t="str">
        <f aca="false">IF(F2693="","",L2693-J2693)</f>
        <v/>
      </c>
      <c r="N2693" s="32" t="str">
        <f aca="false">IF(F2693="","",IF(H2693&lt;&gt;"","Kapandı",IF('Vade Sapması'!$D$3&gt;G2693,"Açık · vadesi geçti","Açık · vadesi gelmedi")))</f>
        <v/>
      </c>
      <c r="O2693" s="30" t="str">
        <f aca="false">IF(F2693="","",IF(AND(H2693="",'Vade Sapması'!$D$3&gt;G2693),'Vade Sapması'!$D$3-G2693,0))</f>
        <v/>
      </c>
      <c r="P2693" s="33" t="str">
        <f aca="false">IF(F2693="","",F2693*J2693)</f>
        <v/>
      </c>
      <c r="Q2693" s="33" t="str">
        <f aca="false">IF(F2693="","",F2693*L2693)</f>
        <v/>
      </c>
      <c r="R2693" s="33" t="str">
        <f aca="false">IF(F2693="","",IF(H2693="",F2693,0))</f>
        <v/>
      </c>
      <c r="S2693" s="32" t="str">
        <f aca="false">IF(F2693="","",IF(N(O2693)=0,"",IF(O2693&lt;=30,"1-30",IF(O2693&lt;=60,"31-60",IF(O2693&lt;=90,"61-90","90+")))))</f>
        <v/>
      </c>
      <c r="T2693" s="32" t="str">
        <f aca="false">IF(F2693="","",IF(E2693="","Diğer",E2693))</f>
        <v/>
      </c>
      <c r="U2693" s="32" t="str">
        <f aca="false">IF(OR(F2693="",C2693=""),"",IF(COUNTIF($C$2:C2693,C2693)=1,MAX($U$1:U2692)+1,""))</f>
        <v/>
      </c>
    </row>
    <row r="2694" customFormat="false" ht="15" hidden="false" customHeight="false" outlineLevel="0" collapsed="false">
      <c r="A2694" s="34"/>
      <c r="B2694" s="9"/>
      <c r="C2694" s="34"/>
      <c r="D2694" s="34"/>
      <c r="E2694" s="34"/>
      <c r="F2694" s="35"/>
      <c r="G2694" s="9"/>
      <c r="H2694" s="9"/>
      <c r="I2694" s="34"/>
      <c r="J2694" s="30" t="str">
        <f aca="false">IF(F2694="","",G2694-B2694)</f>
        <v/>
      </c>
      <c r="K2694" s="31" t="str">
        <f aca="false">IF(F2694="","",IF(H2694&lt;&gt;"",H2694,MAX('Vade Sapması'!$D$3,G2694)))</f>
        <v/>
      </c>
      <c r="L2694" s="30" t="str">
        <f aca="false">IF(F2694="","",K2694-B2694)</f>
        <v/>
      </c>
      <c r="M2694" s="30" t="str">
        <f aca="false">IF(F2694="","",L2694-J2694)</f>
        <v/>
      </c>
      <c r="N2694" s="32" t="str">
        <f aca="false">IF(F2694="","",IF(H2694&lt;&gt;"","Kapandı",IF('Vade Sapması'!$D$3&gt;G2694,"Açık · vadesi geçti","Açık · vadesi gelmedi")))</f>
        <v/>
      </c>
      <c r="O2694" s="30" t="str">
        <f aca="false">IF(F2694="","",IF(AND(H2694="",'Vade Sapması'!$D$3&gt;G2694),'Vade Sapması'!$D$3-G2694,0))</f>
        <v/>
      </c>
      <c r="P2694" s="33" t="str">
        <f aca="false">IF(F2694="","",F2694*J2694)</f>
        <v/>
      </c>
      <c r="Q2694" s="33" t="str">
        <f aca="false">IF(F2694="","",F2694*L2694)</f>
        <v/>
      </c>
      <c r="R2694" s="33" t="str">
        <f aca="false">IF(F2694="","",IF(H2694="",F2694,0))</f>
        <v/>
      </c>
      <c r="S2694" s="32" t="str">
        <f aca="false">IF(F2694="","",IF(N(O2694)=0,"",IF(O2694&lt;=30,"1-30",IF(O2694&lt;=60,"31-60",IF(O2694&lt;=90,"61-90","90+")))))</f>
        <v/>
      </c>
      <c r="T2694" s="32" t="str">
        <f aca="false">IF(F2694="","",IF(E2694="","Diğer",E2694))</f>
        <v/>
      </c>
      <c r="U2694" s="32" t="str">
        <f aca="false">IF(OR(F2694="",C2694=""),"",IF(COUNTIF($C$2:C2694,C2694)=1,MAX($U$1:U2693)+1,""))</f>
        <v/>
      </c>
    </row>
    <row r="2695" customFormat="false" ht="15" hidden="false" customHeight="false" outlineLevel="0" collapsed="false">
      <c r="A2695" s="34"/>
      <c r="B2695" s="9"/>
      <c r="C2695" s="34"/>
      <c r="D2695" s="34"/>
      <c r="E2695" s="34"/>
      <c r="F2695" s="35"/>
      <c r="G2695" s="9"/>
      <c r="H2695" s="9"/>
      <c r="I2695" s="34"/>
      <c r="J2695" s="30" t="str">
        <f aca="false">IF(F2695="","",G2695-B2695)</f>
        <v/>
      </c>
      <c r="K2695" s="31" t="str">
        <f aca="false">IF(F2695="","",IF(H2695&lt;&gt;"",H2695,MAX('Vade Sapması'!$D$3,G2695)))</f>
        <v/>
      </c>
      <c r="L2695" s="30" t="str">
        <f aca="false">IF(F2695="","",K2695-B2695)</f>
        <v/>
      </c>
      <c r="M2695" s="30" t="str">
        <f aca="false">IF(F2695="","",L2695-J2695)</f>
        <v/>
      </c>
      <c r="N2695" s="32" t="str">
        <f aca="false">IF(F2695="","",IF(H2695&lt;&gt;"","Kapandı",IF('Vade Sapması'!$D$3&gt;G2695,"Açık · vadesi geçti","Açık · vadesi gelmedi")))</f>
        <v/>
      </c>
      <c r="O2695" s="30" t="str">
        <f aca="false">IF(F2695="","",IF(AND(H2695="",'Vade Sapması'!$D$3&gt;G2695),'Vade Sapması'!$D$3-G2695,0))</f>
        <v/>
      </c>
      <c r="P2695" s="33" t="str">
        <f aca="false">IF(F2695="","",F2695*J2695)</f>
        <v/>
      </c>
      <c r="Q2695" s="33" t="str">
        <f aca="false">IF(F2695="","",F2695*L2695)</f>
        <v/>
      </c>
      <c r="R2695" s="33" t="str">
        <f aca="false">IF(F2695="","",IF(H2695="",F2695,0))</f>
        <v/>
      </c>
      <c r="S2695" s="32" t="str">
        <f aca="false">IF(F2695="","",IF(N(O2695)=0,"",IF(O2695&lt;=30,"1-30",IF(O2695&lt;=60,"31-60",IF(O2695&lt;=90,"61-90","90+")))))</f>
        <v/>
      </c>
      <c r="T2695" s="32" t="str">
        <f aca="false">IF(F2695="","",IF(E2695="","Diğer",E2695))</f>
        <v/>
      </c>
      <c r="U2695" s="32" t="str">
        <f aca="false">IF(OR(F2695="",C2695=""),"",IF(COUNTIF($C$2:C2695,C2695)=1,MAX($U$1:U2694)+1,""))</f>
        <v/>
      </c>
    </row>
    <row r="2696" customFormat="false" ht="15" hidden="false" customHeight="false" outlineLevel="0" collapsed="false">
      <c r="A2696" s="34"/>
      <c r="B2696" s="9"/>
      <c r="C2696" s="34"/>
      <c r="D2696" s="34"/>
      <c r="E2696" s="34"/>
      <c r="F2696" s="35"/>
      <c r="G2696" s="9"/>
      <c r="H2696" s="9"/>
      <c r="I2696" s="34"/>
      <c r="J2696" s="30" t="str">
        <f aca="false">IF(F2696="","",G2696-B2696)</f>
        <v/>
      </c>
      <c r="K2696" s="31" t="str">
        <f aca="false">IF(F2696="","",IF(H2696&lt;&gt;"",H2696,MAX('Vade Sapması'!$D$3,G2696)))</f>
        <v/>
      </c>
      <c r="L2696" s="30" t="str">
        <f aca="false">IF(F2696="","",K2696-B2696)</f>
        <v/>
      </c>
      <c r="M2696" s="30" t="str">
        <f aca="false">IF(F2696="","",L2696-J2696)</f>
        <v/>
      </c>
      <c r="N2696" s="32" t="str">
        <f aca="false">IF(F2696="","",IF(H2696&lt;&gt;"","Kapandı",IF('Vade Sapması'!$D$3&gt;G2696,"Açık · vadesi geçti","Açık · vadesi gelmedi")))</f>
        <v/>
      </c>
      <c r="O2696" s="30" t="str">
        <f aca="false">IF(F2696="","",IF(AND(H2696="",'Vade Sapması'!$D$3&gt;G2696),'Vade Sapması'!$D$3-G2696,0))</f>
        <v/>
      </c>
      <c r="P2696" s="33" t="str">
        <f aca="false">IF(F2696="","",F2696*J2696)</f>
        <v/>
      </c>
      <c r="Q2696" s="33" t="str">
        <f aca="false">IF(F2696="","",F2696*L2696)</f>
        <v/>
      </c>
      <c r="R2696" s="33" t="str">
        <f aca="false">IF(F2696="","",IF(H2696="",F2696,0))</f>
        <v/>
      </c>
      <c r="S2696" s="32" t="str">
        <f aca="false">IF(F2696="","",IF(N(O2696)=0,"",IF(O2696&lt;=30,"1-30",IF(O2696&lt;=60,"31-60",IF(O2696&lt;=90,"61-90","90+")))))</f>
        <v/>
      </c>
      <c r="T2696" s="32" t="str">
        <f aca="false">IF(F2696="","",IF(E2696="","Diğer",E2696))</f>
        <v/>
      </c>
      <c r="U2696" s="32" t="str">
        <f aca="false">IF(OR(F2696="",C2696=""),"",IF(COUNTIF($C$2:C2696,C2696)=1,MAX($U$1:U2695)+1,""))</f>
        <v/>
      </c>
    </row>
    <row r="2697" customFormat="false" ht="15" hidden="false" customHeight="false" outlineLevel="0" collapsed="false">
      <c r="A2697" s="34"/>
      <c r="B2697" s="9"/>
      <c r="C2697" s="34"/>
      <c r="D2697" s="34"/>
      <c r="E2697" s="34"/>
      <c r="F2697" s="35"/>
      <c r="G2697" s="9"/>
      <c r="H2697" s="9"/>
      <c r="I2697" s="34"/>
      <c r="J2697" s="30" t="str">
        <f aca="false">IF(F2697="","",G2697-B2697)</f>
        <v/>
      </c>
      <c r="K2697" s="31" t="str">
        <f aca="false">IF(F2697="","",IF(H2697&lt;&gt;"",H2697,MAX('Vade Sapması'!$D$3,G2697)))</f>
        <v/>
      </c>
      <c r="L2697" s="30" t="str">
        <f aca="false">IF(F2697="","",K2697-B2697)</f>
        <v/>
      </c>
      <c r="M2697" s="30" t="str">
        <f aca="false">IF(F2697="","",L2697-J2697)</f>
        <v/>
      </c>
      <c r="N2697" s="32" t="str">
        <f aca="false">IF(F2697="","",IF(H2697&lt;&gt;"","Kapandı",IF('Vade Sapması'!$D$3&gt;G2697,"Açık · vadesi geçti","Açık · vadesi gelmedi")))</f>
        <v/>
      </c>
      <c r="O2697" s="30" t="str">
        <f aca="false">IF(F2697="","",IF(AND(H2697="",'Vade Sapması'!$D$3&gt;G2697),'Vade Sapması'!$D$3-G2697,0))</f>
        <v/>
      </c>
      <c r="P2697" s="33" t="str">
        <f aca="false">IF(F2697="","",F2697*J2697)</f>
        <v/>
      </c>
      <c r="Q2697" s="33" t="str">
        <f aca="false">IF(F2697="","",F2697*L2697)</f>
        <v/>
      </c>
      <c r="R2697" s="33" t="str">
        <f aca="false">IF(F2697="","",IF(H2697="",F2697,0))</f>
        <v/>
      </c>
      <c r="S2697" s="32" t="str">
        <f aca="false">IF(F2697="","",IF(N(O2697)=0,"",IF(O2697&lt;=30,"1-30",IF(O2697&lt;=60,"31-60",IF(O2697&lt;=90,"61-90","90+")))))</f>
        <v/>
      </c>
      <c r="T2697" s="32" t="str">
        <f aca="false">IF(F2697="","",IF(E2697="","Diğer",E2697))</f>
        <v/>
      </c>
      <c r="U2697" s="32" t="str">
        <f aca="false">IF(OR(F2697="",C2697=""),"",IF(COUNTIF($C$2:C2697,C2697)=1,MAX($U$1:U2696)+1,""))</f>
        <v/>
      </c>
    </row>
    <row r="2698" customFormat="false" ht="15" hidden="false" customHeight="false" outlineLevel="0" collapsed="false">
      <c r="A2698" s="34"/>
      <c r="B2698" s="9"/>
      <c r="C2698" s="34"/>
      <c r="D2698" s="34"/>
      <c r="E2698" s="34"/>
      <c r="F2698" s="35"/>
      <c r="G2698" s="9"/>
      <c r="H2698" s="9"/>
      <c r="I2698" s="34"/>
      <c r="J2698" s="30" t="str">
        <f aca="false">IF(F2698="","",G2698-B2698)</f>
        <v/>
      </c>
      <c r="K2698" s="31" t="str">
        <f aca="false">IF(F2698="","",IF(H2698&lt;&gt;"",H2698,MAX('Vade Sapması'!$D$3,G2698)))</f>
        <v/>
      </c>
      <c r="L2698" s="30" t="str">
        <f aca="false">IF(F2698="","",K2698-B2698)</f>
        <v/>
      </c>
      <c r="M2698" s="30" t="str">
        <f aca="false">IF(F2698="","",L2698-J2698)</f>
        <v/>
      </c>
      <c r="N2698" s="32" t="str">
        <f aca="false">IF(F2698="","",IF(H2698&lt;&gt;"","Kapandı",IF('Vade Sapması'!$D$3&gt;G2698,"Açık · vadesi geçti","Açık · vadesi gelmedi")))</f>
        <v/>
      </c>
      <c r="O2698" s="30" t="str">
        <f aca="false">IF(F2698="","",IF(AND(H2698="",'Vade Sapması'!$D$3&gt;G2698),'Vade Sapması'!$D$3-G2698,0))</f>
        <v/>
      </c>
      <c r="P2698" s="33" t="str">
        <f aca="false">IF(F2698="","",F2698*J2698)</f>
        <v/>
      </c>
      <c r="Q2698" s="33" t="str">
        <f aca="false">IF(F2698="","",F2698*L2698)</f>
        <v/>
      </c>
      <c r="R2698" s="33" t="str">
        <f aca="false">IF(F2698="","",IF(H2698="",F2698,0))</f>
        <v/>
      </c>
      <c r="S2698" s="32" t="str">
        <f aca="false">IF(F2698="","",IF(N(O2698)=0,"",IF(O2698&lt;=30,"1-30",IF(O2698&lt;=60,"31-60",IF(O2698&lt;=90,"61-90","90+")))))</f>
        <v/>
      </c>
      <c r="T2698" s="32" t="str">
        <f aca="false">IF(F2698="","",IF(E2698="","Diğer",E2698))</f>
        <v/>
      </c>
      <c r="U2698" s="32" t="str">
        <f aca="false">IF(OR(F2698="",C2698=""),"",IF(COUNTIF($C$2:C2698,C2698)=1,MAX($U$1:U2697)+1,""))</f>
        <v/>
      </c>
    </row>
    <row r="2699" customFormat="false" ht="15" hidden="false" customHeight="false" outlineLevel="0" collapsed="false">
      <c r="A2699" s="34"/>
      <c r="B2699" s="9"/>
      <c r="C2699" s="34"/>
      <c r="D2699" s="34"/>
      <c r="E2699" s="34"/>
      <c r="F2699" s="35"/>
      <c r="G2699" s="9"/>
      <c r="H2699" s="9"/>
      <c r="I2699" s="34"/>
      <c r="J2699" s="30" t="str">
        <f aca="false">IF(F2699="","",G2699-B2699)</f>
        <v/>
      </c>
      <c r="K2699" s="31" t="str">
        <f aca="false">IF(F2699="","",IF(H2699&lt;&gt;"",H2699,MAX('Vade Sapması'!$D$3,G2699)))</f>
        <v/>
      </c>
      <c r="L2699" s="30" t="str">
        <f aca="false">IF(F2699="","",K2699-B2699)</f>
        <v/>
      </c>
      <c r="M2699" s="30" t="str">
        <f aca="false">IF(F2699="","",L2699-J2699)</f>
        <v/>
      </c>
      <c r="N2699" s="32" t="str">
        <f aca="false">IF(F2699="","",IF(H2699&lt;&gt;"","Kapandı",IF('Vade Sapması'!$D$3&gt;G2699,"Açık · vadesi geçti","Açık · vadesi gelmedi")))</f>
        <v/>
      </c>
      <c r="O2699" s="30" t="str">
        <f aca="false">IF(F2699="","",IF(AND(H2699="",'Vade Sapması'!$D$3&gt;G2699),'Vade Sapması'!$D$3-G2699,0))</f>
        <v/>
      </c>
      <c r="P2699" s="33" t="str">
        <f aca="false">IF(F2699="","",F2699*J2699)</f>
        <v/>
      </c>
      <c r="Q2699" s="33" t="str">
        <f aca="false">IF(F2699="","",F2699*L2699)</f>
        <v/>
      </c>
      <c r="R2699" s="33" t="str">
        <f aca="false">IF(F2699="","",IF(H2699="",F2699,0))</f>
        <v/>
      </c>
      <c r="S2699" s="32" t="str">
        <f aca="false">IF(F2699="","",IF(N(O2699)=0,"",IF(O2699&lt;=30,"1-30",IF(O2699&lt;=60,"31-60",IF(O2699&lt;=90,"61-90","90+")))))</f>
        <v/>
      </c>
      <c r="T2699" s="32" t="str">
        <f aca="false">IF(F2699="","",IF(E2699="","Diğer",E2699))</f>
        <v/>
      </c>
      <c r="U2699" s="32" t="str">
        <f aca="false">IF(OR(F2699="",C2699=""),"",IF(COUNTIF($C$2:C2699,C2699)=1,MAX($U$1:U2698)+1,""))</f>
        <v/>
      </c>
    </row>
    <row r="2700" customFormat="false" ht="15" hidden="false" customHeight="false" outlineLevel="0" collapsed="false">
      <c r="A2700" s="34"/>
      <c r="B2700" s="9"/>
      <c r="C2700" s="34"/>
      <c r="D2700" s="34"/>
      <c r="E2700" s="34"/>
      <c r="F2700" s="35"/>
      <c r="G2700" s="9"/>
      <c r="H2700" s="9"/>
      <c r="I2700" s="34"/>
      <c r="J2700" s="30" t="str">
        <f aca="false">IF(F2700="","",G2700-B2700)</f>
        <v/>
      </c>
      <c r="K2700" s="31" t="str">
        <f aca="false">IF(F2700="","",IF(H2700&lt;&gt;"",H2700,MAX('Vade Sapması'!$D$3,G2700)))</f>
        <v/>
      </c>
      <c r="L2700" s="30" t="str">
        <f aca="false">IF(F2700="","",K2700-B2700)</f>
        <v/>
      </c>
      <c r="M2700" s="30" t="str">
        <f aca="false">IF(F2700="","",L2700-J2700)</f>
        <v/>
      </c>
      <c r="N2700" s="32" t="str">
        <f aca="false">IF(F2700="","",IF(H2700&lt;&gt;"","Kapandı",IF('Vade Sapması'!$D$3&gt;G2700,"Açık · vadesi geçti","Açık · vadesi gelmedi")))</f>
        <v/>
      </c>
      <c r="O2700" s="30" t="str">
        <f aca="false">IF(F2700="","",IF(AND(H2700="",'Vade Sapması'!$D$3&gt;G2700),'Vade Sapması'!$D$3-G2700,0))</f>
        <v/>
      </c>
      <c r="P2700" s="33" t="str">
        <f aca="false">IF(F2700="","",F2700*J2700)</f>
        <v/>
      </c>
      <c r="Q2700" s="33" t="str">
        <f aca="false">IF(F2700="","",F2700*L2700)</f>
        <v/>
      </c>
      <c r="R2700" s="33" t="str">
        <f aca="false">IF(F2700="","",IF(H2700="",F2700,0))</f>
        <v/>
      </c>
      <c r="S2700" s="32" t="str">
        <f aca="false">IF(F2700="","",IF(N(O2700)=0,"",IF(O2700&lt;=30,"1-30",IF(O2700&lt;=60,"31-60",IF(O2700&lt;=90,"61-90","90+")))))</f>
        <v/>
      </c>
      <c r="T2700" s="32" t="str">
        <f aca="false">IF(F2700="","",IF(E2700="","Diğer",E2700))</f>
        <v/>
      </c>
      <c r="U2700" s="32" t="str">
        <f aca="false">IF(OR(F2700="",C2700=""),"",IF(COUNTIF($C$2:C2700,C2700)=1,MAX($U$1:U2699)+1,""))</f>
        <v/>
      </c>
    </row>
    <row r="2701" customFormat="false" ht="15" hidden="false" customHeight="false" outlineLevel="0" collapsed="false">
      <c r="A2701" s="34"/>
      <c r="B2701" s="9"/>
      <c r="C2701" s="34"/>
      <c r="D2701" s="34"/>
      <c r="E2701" s="34"/>
      <c r="F2701" s="35"/>
      <c r="G2701" s="9"/>
      <c r="H2701" s="9"/>
      <c r="I2701" s="34"/>
      <c r="J2701" s="30" t="str">
        <f aca="false">IF(F2701="","",G2701-B2701)</f>
        <v/>
      </c>
      <c r="K2701" s="31" t="str">
        <f aca="false">IF(F2701="","",IF(H2701&lt;&gt;"",H2701,MAX('Vade Sapması'!$D$3,G2701)))</f>
        <v/>
      </c>
      <c r="L2701" s="30" t="str">
        <f aca="false">IF(F2701="","",K2701-B2701)</f>
        <v/>
      </c>
      <c r="M2701" s="30" t="str">
        <f aca="false">IF(F2701="","",L2701-J2701)</f>
        <v/>
      </c>
      <c r="N2701" s="32" t="str">
        <f aca="false">IF(F2701="","",IF(H2701&lt;&gt;"","Kapandı",IF('Vade Sapması'!$D$3&gt;G2701,"Açık · vadesi geçti","Açık · vadesi gelmedi")))</f>
        <v/>
      </c>
      <c r="O2701" s="30" t="str">
        <f aca="false">IF(F2701="","",IF(AND(H2701="",'Vade Sapması'!$D$3&gt;G2701),'Vade Sapması'!$D$3-G2701,0))</f>
        <v/>
      </c>
      <c r="P2701" s="33" t="str">
        <f aca="false">IF(F2701="","",F2701*J2701)</f>
        <v/>
      </c>
      <c r="Q2701" s="33" t="str">
        <f aca="false">IF(F2701="","",F2701*L2701)</f>
        <v/>
      </c>
      <c r="R2701" s="33" t="str">
        <f aca="false">IF(F2701="","",IF(H2701="",F2701,0))</f>
        <v/>
      </c>
      <c r="S2701" s="32" t="str">
        <f aca="false">IF(F2701="","",IF(N(O2701)=0,"",IF(O2701&lt;=30,"1-30",IF(O2701&lt;=60,"31-60",IF(O2701&lt;=90,"61-90","90+")))))</f>
        <v/>
      </c>
      <c r="T2701" s="32" t="str">
        <f aca="false">IF(F2701="","",IF(E2701="","Diğer",E2701))</f>
        <v/>
      </c>
      <c r="U2701" s="32" t="str">
        <f aca="false">IF(OR(F2701="",C2701=""),"",IF(COUNTIF($C$2:C2701,C2701)=1,MAX($U$1:U2700)+1,""))</f>
        <v/>
      </c>
    </row>
    <row r="2702" customFormat="false" ht="15" hidden="false" customHeight="false" outlineLevel="0" collapsed="false">
      <c r="A2702" s="34"/>
      <c r="B2702" s="9"/>
      <c r="C2702" s="34"/>
      <c r="D2702" s="34"/>
      <c r="E2702" s="34"/>
      <c r="F2702" s="35"/>
      <c r="G2702" s="9"/>
      <c r="H2702" s="9"/>
      <c r="I2702" s="34"/>
      <c r="J2702" s="30" t="str">
        <f aca="false">IF(F2702="","",G2702-B2702)</f>
        <v/>
      </c>
      <c r="K2702" s="31" t="str">
        <f aca="false">IF(F2702="","",IF(H2702&lt;&gt;"",H2702,MAX('Vade Sapması'!$D$3,G2702)))</f>
        <v/>
      </c>
      <c r="L2702" s="30" t="str">
        <f aca="false">IF(F2702="","",K2702-B2702)</f>
        <v/>
      </c>
      <c r="M2702" s="30" t="str">
        <f aca="false">IF(F2702="","",L2702-J2702)</f>
        <v/>
      </c>
      <c r="N2702" s="32" t="str">
        <f aca="false">IF(F2702="","",IF(H2702&lt;&gt;"","Kapandı",IF('Vade Sapması'!$D$3&gt;G2702,"Açık · vadesi geçti","Açık · vadesi gelmedi")))</f>
        <v/>
      </c>
      <c r="O2702" s="30" t="str">
        <f aca="false">IF(F2702="","",IF(AND(H2702="",'Vade Sapması'!$D$3&gt;G2702),'Vade Sapması'!$D$3-G2702,0))</f>
        <v/>
      </c>
      <c r="P2702" s="33" t="str">
        <f aca="false">IF(F2702="","",F2702*J2702)</f>
        <v/>
      </c>
      <c r="Q2702" s="33" t="str">
        <f aca="false">IF(F2702="","",F2702*L2702)</f>
        <v/>
      </c>
      <c r="R2702" s="33" t="str">
        <f aca="false">IF(F2702="","",IF(H2702="",F2702,0))</f>
        <v/>
      </c>
      <c r="S2702" s="32" t="str">
        <f aca="false">IF(F2702="","",IF(N(O2702)=0,"",IF(O2702&lt;=30,"1-30",IF(O2702&lt;=60,"31-60",IF(O2702&lt;=90,"61-90","90+")))))</f>
        <v/>
      </c>
      <c r="T2702" s="32" t="str">
        <f aca="false">IF(F2702="","",IF(E2702="","Diğer",E2702))</f>
        <v/>
      </c>
      <c r="U2702" s="32" t="str">
        <f aca="false">IF(OR(F2702="",C2702=""),"",IF(COUNTIF($C$2:C2702,C2702)=1,MAX($U$1:U2701)+1,""))</f>
        <v/>
      </c>
    </row>
    <row r="2703" customFormat="false" ht="15" hidden="false" customHeight="false" outlineLevel="0" collapsed="false">
      <c r="A2703" s="34"/>
      <c r="B2703" s="9"/>
      <c r="C2703" s="34"/>
      <c r="D2703" s="34"/>
      <c r="E2703" s="34"/>
      <c r="F2703" s="35"/>
      <c r="G2703" s="9"/>
      <c r="H2703" s="9"/>
      <c r="I2703" s="34"/>
      <c r="J2703" s="30" t="str">
        <f aca="false">IF(F2703="","",G2703-B2703)</f>
        <v/>
      </c>
      <c r="K2703" s="31" t="str">
        <f aca="false">IF(F2703="","",IF(H2703&lt;&gt;"",H2703,MAX('Vade Sapması'!$D$3,G2703)))</f>
        <v/>
      </c>
      <c r="L2703" s="30" t="str">
        <f aca="false">IF(F2703="","",K2703-B2703)</f>
        <v/>
      </c>
      <c r="M2703" s="30" t="str">
        <f aca="false">IF(F2703="","",L2703-J2703)</f>
        <v/>
      </c>
      <c r="N2703" s="32" t="str">
        <f aca="false">IF(F2703="","",IF(H2703&lt;&gt;"","Kapandı",IF('Vade Sapması'!$D$3&gt;G2703,"Açık · vadesi geçti","Açık · vadesi gelmedi")))</f>
        <v/>
      </c>
      <c r="O2703" s="30" t="str">
        <f aca="false">IF(F2703="","",IF(AND(H2703="",'Vade Sapması'!$D$3&gt;G2703),'Vade Sapması'!$D$3-G2703,0))</f>
        <v/>
      </c>
      <c r="P2703" s="33" t="str">
        <f aca="false">IF(F2703="","",F2703*J2703)</f>
        <v/>
      </c>
      <c r="Q2703" s="33" t="str">
        <f aca="false">IF(F2703="","",F2703*L2703)</f>
        <v/>
      </c>
      <c r="R2703" s="33" t="str">
        <f aca="false">IF(F2703="","",IF(H2703="",F2703,0))</f>
        <v/>
      </c>
      <c r="S2703" s="32" t="str">
        <f aca="false">IF(F2703="","",IF(N(O2703)=0,"",IF(O2703&lt;=30,"1-30",IF(O2703&lt;=60,"31-60",IF(O2703&lt;=90,"61-90","90+")))))</f>
        <v/>
      </c>
      <c r="T2703" s="32" t="str">
        <f aca="false">IF(F2703="","",IF(E2703="","Diğer",E2703))</f>
        <v/>
      </c>
      <c r="U2703" s="32" t="str">
        <f aca="false">IF(OR(F2703="",C2703=""),"",IF(COUNTIF($C$2:C2703,C2703)=1,MAX($U$1:U2702)+1,""))</f>
        <v/>
      </c>
    </row>
    <row r="2704" customFormat="false" ht="15" hidden="false" customHeight="false" outlineLevel="0" collapsed="false">
      <c r="A2704" s="34"/>
      <c r="B2704" s="9"/>
      <c r="C2704" s="34"/>
      <c r="D2704" s="34"/>
      <c r="E2704" s="34"/>
      <c r="F2704" s="35"/>
      <c r="G2704" s="9"/>
      <c r="H2704" s="9"/>
      <c r="I2704" s="34"/>
      <c r="J2704" s="30" t="str">
        <f aca="false">IF(F2704="","",G2704-B2704)</f>
        <v/>
      </c>
      <c r="K2704" s="31" t="str">
        <f aca="false">IF(F2704="","",IF(H2704&lt;&gt;"",H2704,MAX('Vade Sapması'!$D$3,G2704)))</f>
        <v/>
      </c>
      <c r="L2704" s="30" t="str">
        <f aca="false">IF(F2704="","",K2704-B2704)</f>
        <v/>
      </c>
      <c r="M2704" s="30" t="str">
        <f aca="false">IF(F2704="","",L2704-J2704)</f>
        <v/>
      </c>
      <c r="N2704" s="32" t="str">
        <f aca="false">IF(F2704="","",IF(H2704&lt;&gt;"","Kapandı",IF('Vade Sapması'!$D$3&gt;G2704,"Açık · vadesi geçti","Açık · vadesi gelmedi")))</f>
        <v/>
      </c>
      <c r="O2704" s="30" t="str">
        <f aca="false">IF(F2704="","",IF(AND(H2704="",'Vade Sapması'!$D$3&gt;G2704),'Vade Sapması'!$D$3-G2704,0))</f>
        <v/>
      </c>
      <c r="P2704" s="33" t="str">
        <f aca="false">IF(F2704="","",F2704*J2704)</f>
        <v/>
      </c>
      <c r="Q2704" s="33" t="str">
        <f aca="false">IF(F2704="","",F2704*L2704)</f>
        <v/>
      </c>
      <c r="R2704" s="33" t="str">
        <f aca="false">IF(F2704="","",IF(H2704="",F2704,0))</f>
        <v/>
      </c>
      <c r="S2704" s="32" t="str">
        <f aca="false">IF(F2704="","",IF(N(O2704)=0,"",IF(O2704&lt;=30,"1-30",IF(O2704&lt;=60,"31-60",IF(O2704&lt;=90,"61-90","90+")))))</f>
        <v/>
      </c>
      <c r="T2704" s="32" t="str">
        <f aca="false">IF(F2704="","",IF(E2704="","Diğer",E2704))</f>
        <v/>
      </c>
      <c r="U2704" s="32" t="str">
        <f aca="false">IF(OR(F2704="",C2704=""),"",IF(COUNTIF($C$2:C2704,C2704)=1,MAX($U$1:U2703)+1,""))</f>
        <v/>
      </c>
    </row>
    <row r="2705" customFormat="false" ht="15" hidden="false" customHeight="false" outlineLevel="0" collapsed="false">
      <c r="A2705" s="34"/>
      <c r="B2705" s="9"/>
      <c r="C2705" s="34"/>
      <c r="D2705" s="34"/>
      <c r="E2705" s="34"/>
      <c r="F2705" s="35"/>
      <c r="G2705" s="9"/>
      <c r="H2705" s="9"/>
      <c r="I2705" s="34"/>
      <c r="J2705" s="30" t="str">
        <f aca="false">IF(F2705="","",G2705-B2705)</f>
        <v/>
      </c>
      <c r="K2705" s="31" t="str">
        <f aca="false">IF(F2705="","",IF(H2705&lt;&gt;"",H2705,MAX('Vade Sapması'!$D$3,G2705)))</f>
        <v/>
      </c>
      <c r="L2705" s="30" t="str">
        <f aca="false">IF(F2705="","",K2705-B2705)</f>
        <v/>
      </c>
      <c r="M2705" s="30" t="str">
        <f aca="false">IF(F2705="","",L2705-J2705)</f>
        <v/>
      </c>
      <c r="N2705" s="32" t="str">
        <f aca="false">IF(F2705="","",IF(H2705&lt;&gt;"","Kapandı",IF('Vade Sapması'!$D$3&gt;G2705,"Açık · vadesi geçti","Açık · vadesi gelmedi")))</f>
        <v/>
      </c>
      <c r="O2705" s="30" t="str">
        <f aca="false">IF(F2705="","",IF(AND(H2705="",'Vade Sapması'!$D$3&gt;G2705),'Vade Sapması'!$D$3-G2705,0))</f>
        <v/>
      </c>
      <c r="P2705" s="33" t="str">
        <f aca="false">IF(F2705="","",F2705*J2705)</f>
        <v/>
      </c>
      <c r="Q2705" s="33" t="str">
        <f aca="false">IF(F2705="","",F2705*L2705)</f>
        <v/>
      </c>
      <c r="R2705" s="33" t="str">
        <f aca="false">IF(F2705="","",IF(H2705="",F2705,0))</f>
        <v/>
      </c>
      <c r="S2705" s="32" t="str">
        <f aca="false">IF(F2705="","",IF(N(O2705)=0,"",IF(O2705&lt;=30,"1-30",IF(O2705&lt;=60,"31-60",IF(O2705&lt;=90,"61-90","90+")))))</f>
        <v/>
      </c>
      <c r="T2705" s="32" t="str">
        <f aca="false">IF(F2705="","",IF(E2705="","Diğer",E2705))</f>
        <v/>
      </c>
      <c r="U2705" s="32" t="str">
        <f aca="false">IF(OR(F2705="",C2705=""),"",IF(COUNTIF($C$2:C2705,C2705)=1,MAX($U$1:U2704)+1,""))</f>
        <v/>
      </c>
    </row>
    <row r="2706" customFormat="false" ht="15" hidden="false" customHeight="false" outlineLevel="0" collapsed="false">
      <c r="A2706" s="34"/>
      <c r="B2706" s="9"/>
      <c r="C2706" s="34"/>
      <c r="D2706" s="34"/>
      <c r="E2706" s="34"/>
      <c r="F2706" s="35"/>
      <c r="G2706" s="9"/>
      <c r="H2706" s="9"/>
      <c r="I2706" s="34"/>
      <c r="J2706" s="30" t="str">
        <f aca="false">IF(F2706="","",G2706-B2706)</f>
        <v/>
      </c>
      <c r="K2706" s="31" t="str">
        <f aca="false">IF(F2706="","",IF(H2706&lt;&gt;"",H2706,MAX('Vade Sapması'!$D$3,G2706)))</f>
        <v/>
      </c>
      <c r="L2706" s="30" t="str">
        <f aca="false">IF(F2706="","",K2706-B2706)</f>
        <v/>
      </c>
      <c r="M2706" s="30" t="str">
        <f aca="false">IF(F2706="","",L2706-J2706)</f>
        <v/>
      </c>
      <c r="N2706" s="32" t="str">
        <f aca="false">IF(F2706="","",IF(H2706&lt;&gt;"","Kapandı",IF('Vade Sapması'!$D$3&gt;G2706,"Açık · vadesi geçti","Açık · vadesi gelmedi")))</f>
        <v/>
      </c>
      <c r="O2706" s="30" t="str">
        <f aca="false">IF(F2706="","",IF(AND(H2706="",'Vade Sapması'!$D$3&gt;G2706),'Vade Sapması'!$D$3-G2706,0))</f>
        <v/>
      </c>
      <c r="P2706" s="33" t="str">
        <f aca="false">IF(F2706="","",F2706*J2706)</f>
        <v/>
      </c>
      <c r="Q2706" s="33" t="str">
        <f aca="false">IF(F2706="","",F2706*L2706)</f>
        <v/>
      </c>
      <c r="R2706" s="33" t="str">
        <f aca="false">IF(F2706="","",IF(H2706="",F2706,0))</f>
        <v/>
      </c>
      <c r="S2706" s="32" t="str">
        <f aca="false">IF(F2706="","",IF(N(O2706)=0,"",IF(O2706&lt;=30,"1-30",IF(O2706&lt;=60,"31-60",IF(O2706&lt;=90,"61-90","90+")))))</f>
        <v/>
      </c>
      <c r="T2706" s="32" t="str">
        <f aca="false">IF(F2706="","",IF(E2706="","Diğer",E2706))</f>
        <v/>
      </c>
      <c r="U2706" s="32" t="str">
        <f aca="false">IF(OR(F2706="",C2706=""),"",IF(COUNTIF($C$2:C2706,C2706)=1,MAX($U$1:U2705)+1,""))</f>
        <v/>
      </c>
    </row>
    <row r="2707" customFormat="false" ht="15" hidden="false" customHeight="false" outlineLevel="0" collapsed="false">
      <c r="A2707" s="34"/>
      <c r="B2707" s="9"/>
      <c r="C2707" s="34"/>
      <c r="D2707" s="34"/>
      <c r="E2707" s="34"/>
      <c r="F2707" s="35"/>
      <c r="G2707" s="9"/>
      <c r="H2707" s="9"/>
      <c r="I2707" s="34"/>
      <c r="J2707" s="30" t="str">
        <f aca="false">IF(F2707="","",G2707-B2707)</f>
        <v/>
      </c>
      <c r="K2707" s="31" t="str">
        <f aca="false">IF(F2707="","",IF(H2707&lt;&gt;"",H2707,MAX('Vade Sapması'!$D$3,G2707)))</f>
        <v/>
      </c>
      <c r="L2707" s="30" t="str">
        <f aca="false">IF(F2707="","",K2707-B2707)</f>
        <v/>
      </c>
      <c r="M2707" s="30" t="str">
        <f aca="false">IF(F2707="","",L2707-J2707)</f>
        <v/>
      </c>
      <c r="N2707" s="32" t="str">
        <f aca="false">IF(F2707="","",IF(H2707&lt;&gt;"","Kapandı",IF('Vade Sapması'!$D$3&gt;G2707,"Açık · vadesi geçti","Açık · vadesi gelmedi")))</f>
        <v/>
      </c>
      <c r="O2707" s="30" t="str">
        <f aca="false">IF(F2707="","",IF(AND(H2707="",'Vade Sapması'!$D$3&gt;G2707),'Vade Sapması'!$D$3-G2707,0))</f>
        <v/>
      </c>
      <c r="P2707" s="33" t="str">
        <f aca="false">IF(F2707="","",F2707*J2707)</f>
        <v/>
      </c>
      <c r="Q2707" s="33" t="str">
        <f aca="false">IF(F2707="","",F2707*L2707)</f>
        <v/>
      </c>
      <c r="R2707" s="33" t="str">
        <f aca="false">IF(F2707="","",IF(H2707="",F2707,0))</f>
        <v/>
      </c>
      <c r="S2707" s="32" t="str">
        <f aca="false">IF(F2707="","",IF(N(O2707)=0,"",IF(O2707&lt;=30,"1-30",IF(O2707&lt;=60,"31-60",IF(O2707&lt;=90,"61-90","90+")))))</f>
        <v/>
      </c>
      <c r="T2707" s="32" t="str">
        <f aca="false">IF(F2707="","",IF(E2707="","Diğer",E2707))</f>
        <v/>
      </c>
      <c r="U2707" s="32" t="str">
        <f aca="false">IF(OR(F2707="",C2707=""),"",IF(COUNTIF($C$2:C2707,C2707)=1,MAX($U$1:U2706)+1,""))</f>
        <v/>
      </c>
    </row>
    <row r="2708" customFormat="false" ht="15" hidden="false" customHeight="false" outlineLevel="0" collapsed="false">
      <c r="A2708" s="34"/>
      <c r="B2708" s="9"/>
      <c r="C2708" s="34"/>
      <c r="D2708" s="34"/>
      <c r="E2708" s="34"/>
      <c r="F2708" s="35"/>
      <c r="G2708" s="9"/>
      <c r="H2708" s="9"/>
      <c r="I2708" s="34"/>
      <c r="J2708" s="30" t="str">
        <f aca="false">IF(F2708="","",G2708-B2708)</f>
        <v/>
      </c>
      <c r="K2708" s="31" t="str">
        <f aca="false">IF(F2708="","",IF(H2708&lt;&gt;"",H2708,MAX('Vade Sapması'!$D$3,G2708)))</f>
        <v/>
      </c>
      <c r="L2708" s="30" t="str">
        <f aca="false">IF(F2708="","",K2708-B2708)</f>
        <v/>
      </c>
      <c r="M2708" s="30" t="str">
        <f aca="false">IF(F2708="","",L2708-J2708)</f>
        <v/>
      </c>
      <c r="N2708" s="32" t="str">
        <f aca="false">IF(F2708="","",IF(H2708&lt;&gt;"","Kapandı",IF('Vade Sapması'!$D$3&gt;G2708,"Açık · vadesi geçti","Açık · vadesi gelmedi")))</f>
        <v/>
      </c>
      <c r="O2708" s="30" t="str">
        <f aca="false">IF(F2708="","",IF(AND(H2708="",'Vade Sapması'!$D$3&gt;G2708),'Vade Sapması'!$D$3-G2708,0))</f>
        <v/>
      </c>
      <c r="P2708" s="33" t="str">
        <f aca="false">IF(F2708="","",F2708*J2708)</f>
        <v/>
      </c>
      <c r="Q2708" s="33" t="str">
        <f aca="false">IF(F2708="","",F2708*L2708)</f>
        <v/>
      </c>
      <c r="R2708" s="33" t="str">
        <f aca="false">IF(F2708="","",IF(H2708="",F2708,0))</f>
        <v/>
      </c>
      <c r="S2708" s="32" t="str">
        <f aca="false">IF(F2708="","",IF(N(O2708)=0,"",IF(O2708&lt;=30,"1-30",IF(O2708&lt;=60,"31-60",IF(O2708&lt;=90,"61-90","90+")))))</f>
        <v/>
      </c>
      <c r="T2708" s="32" t="str">
        <f aca="false">IF(F2708="","",IF(E2708="","Diğer",E2708))</f>
        <v/>
      </c>
      <c r="U2708" s="32" t="str">
        <f aca="false">IF(OR(F2708="",C2708=""),"",IF(COUNTIF($C$2:C2708,C2708)=1,MAX($U$1:U2707)+1,""))</f>
        <v/>
      </c>
    </row>
    <row r="2709" customFormat="false" ht="15" hidden="false" customHeight="false" outlineLevel="0" collapsed="false">
      <c r="A2709" s="34"/>
      <c r="B2709" s="9"/>
      <c r="C2709" s="34"/>
      <c r="D2709" s="34"/>
      <c r="E2709" s="34"/>
      <c r="F2709" s="35"/>
      <c r="G2709" s="9"/>
      <c r="H2709" s="9"/>
      <c r="I2709" s="34"/>
      <c r="J2709" s="30" t="str">
        <f aca="false">IF(F2709="","",G2709-B2709)</f>
        <v/>
      </c>
      <c r="K2709" s="31" t="str">
        <f aca="false">IF(F2709="","",IF(H2709&lt;&gt;"",H2709,MAX('Vade Sapması'!$D$3,G2709)))</f>
        <v/>
      </c>
      <c r="L2709" s="30" t="str">
        <f aca="false">IF(F2709="","",K2709-B2709)</f>
        <v/>
      </c>
      <c r="M2709" s="30" t="str">
        <f aca="false">IF(F2709="","",L2709-J2709)</f>
        <v/>
      </c>
      <c r="N2709" s="32" t="str">
        <f aca="false">IF(F2709="","",IF(H2709&lt;&gt;"","Kapandı",IF('Vade Sapması'!$D$3&gt;G2709,"Açık · vadesi geçti","Açık · vadesi gelmedi")))</f>
        <v/>
      </c>
      <c r="O2709" s="30" t="str">
        <f aca="false">IF(F2709="","",IF(AND(H2709="",'Vade Sapması'!$D$3&gt;G2709),'Vade Sapması'!$D$3-G2709,0))</f>
        <v/>
      </c>
      <c r="P2709" s="33" t="str">
        <f aca="false">IF(F2709="","",F2709*J2709)</f>
        <v/>
      </c>
      <c r="Q2709" s="33" t="str">
        <f aca="false">IF(F2709="","",F2709*L2709)</f>
        <v/>
      </c>
      <c r="R2709" s="33" t="str">
        <f aca="false">IF(F2709="","",IF(H2709="",F2709,0))</f>
        <v/>
      </c>
      <c r="S2709" s="32" t="str">
        <f aca="false">IF(F2709="","",IF(N(O2709)=0,"",IF(O2709&lt;=30,"1-30",IF(O2709&lt;=60,"31-60",IF(O2709&lt;=90,"61-90","90+")))))</f>
        <v/>
      </c>
      <c r="T2709" s="32" t="str">
        <f aca="false">IF(F2709="","",IF(E2709="","Diğer",E2709))</f>
        <v/>
      </c>
      <c r="U2709" s="32" t="str">
        <f aca="false">IF(OR(F2709="",C2709=""),"",IF(COUNTIF($C$2:C2709,C2709)=1,MAX($U$1:U2708)+1,""))</f>
        <v/>
      </c>
    </row>
    <row r="2710" customFormat="false" ht="15" hidden="false" customHeight="false" outlineLevel="0" collapsed="false">
      <c r="A2710" s="34"/>
      <c r="B2710" s="9"/>
      <c r="C2710" s="34"/>
      <c r="D2710" s="34"/>
      <c r="E2710" s="34"/>
      <c r="F2710" s="35"/>
      <c r="G2710" s="9"/>
      <c r="H2710" s="9"/>
      <c r="I2710" s="34"/>
      <c r="J2710" s="30" t="str">
        <f aca="false">IF(F2710="","",G2710-B2710)</f>
        <v/>
      </c>
      <c r="K2710" s="31" t="str">
        <f aca="false">IF(F2710="","",IF(H2710&lt;&gt;"",H2710,MAX('Vade Sapması'!$D$3,G2710)))</f>
        <v/>
      </c>
      <c r="L2710" s="30" t="str">
        <f aca="false">IF(F2710="","",K2710-B2710)</f>
        <v/>
      </c>
      <c r="M2710" s="30" t="str">
        <f aca="false">IF(F2710="","",L2710-J2710)</f>
        <v/>
      </c>
      <c r="N2710" s="32" t="str">
        <f aca="false">IF(F2710="","",IF(H2710&lt;&gt;"","Kapandı",IF('Vade Sapması'!$D$3&gt;G2710,"Açık · vadesi geçti","Açık · vadesi gelmedi")))</f>
        <v/>
      </c>
      <c r="O2710" s="30" t="str">
        <f aca="false">IF(F2710="","",IF(AND(H2710="",'Vade Sapması'!$D$3&gt;G2710),'Vade Sapması'!$D$3-G2710,0))</f>
        <v/>
      </c>
      <c r="P2710" s="33" t="str">
        <f aca="false">IF(F2710="","",F2710*J2710)</f>
        <v/>
      </c>
      <c r="Q2710" s="33" t="str">
        <f aca="false">IF(F2710="","",F2710*L2710)</f>
        <v/>
      </c>
      <c r="R2710" s="33" t="str">
        <f aca="false">IF(F2710="","",IF(H2710="",F2710,0))</f>
        <v/>
      </c>
      <c r="S2710" s="32" t="str">
        <f aca="false">IF(F2710="","",IF(N(O2710)=0,"",IF(O2710&lt;=30,"1-30",IF(O2710&lt;=60,"31-60",IF(O2710&lt;=90,"61-90","90+")))))</f>
        <v/>
      </c>
      <c r="T2710" s="32" t="str">
        <f aca="false">IF(F2710="","",IF(E2710="","Diğer",E2710))</f>
        <v/>
      </c>
      <c r="U2710" s="32" t="str">
        <f aca="false">IF(OR(F2710="",C2710=""),"",IF(COUNTIF($C$2:C2710,C2710)=1,MAX($U$1:U2709)+1,""))</f>
        <v/>
      </c>
    </row>
    <row r="2711" customFormat="false" ht="15" hidden="false" customHeight="false" outlineLevel="0" collapsed="false">
      <c r="A2711" s="34"/>
      <c r="B2711" s="9"/>
      <c r="C2711" s="34"/>
      <c r="D2711" s="34"/>
      <c r="E2711" s="34"/>
      <c r="F2711" s="35"/>
      <c r="G2711" s="9"/>
      <c r="H2711" s="9"/>
      <c r="I2711" s="34"/>
      <c r="J2711" s="30" t="str">
        <f aca="false">IF(F2711="","",G2711-B2711)</f>
        <v/>
      </c>
      <c r="K2711" s="31" t="str">
        <f aca="false">IF(F2711="","",IF(H2711&lt;&gt;"",H2711,MAX('Vade Sapması'!$D$3,G2711)))</f>
        <v/>
      </c>
      <c r="L2711" s="30" t="str">
        <f aca="false">IF(F2711="","",K2711-B2711)</f>
        <v/>
      </c>
      <c r="M2711" s="30" t="str">
        <f aca="false">IF(F2711="","",L2711-J2711)</f>
        <v/>
      </c>
      <c r="N2711" s="32" t="str">
        <f aca="false">IF(F2711="","",IF(H2711&lt;&gt;"","Kapandı",IF('Vade Sapması'!$D$3&gt;G2711,"Açık · vadesi geçti","Açık · vadesi gelmedi")))</f>
        <v/>
      </c>
      <c r="O2711" s="30" t="str">
        <f aca="false">IF(F2711="","",IF(AND(H2711="",'Vade Sapması'!$D$3&gt;G2711),'Vade Sapması'!$D$3-G2711,0))</f>
        <v/>
      </c>
      <c r="P2711" s="33" t="str">
        <f aca="false">IF(F2711="","",F2711*J2711)</f>
        <v/>
      </c>
      <c r="Q2711" s="33" t="str">
        <f aca="false">IF(F2711="","",F2711*L2711)</f>
        <v/>
      </c>
      <c r="R2711" s="33" t="str">
        <f aca="false">IF(F2711="","",IF(H2711="",F2711,0))</f>
        <v/>
      </c>
      <c r="S2711" s="32" t="str">
        <f aca="false">IF(F2711="","",IF(N(O2711)=0,"",IF(O2711&lt;=30,"1-30",IF(O2711&lt;=60,"31-60",IF(O2711&lt;=90,"61-90","90+")))))</f>
        <v/>
      </c>
      <c r="T2711" s="32" t="str">
        <f aca="false">IF(F2711="","",IF(E2711="","Diğer",E2711))</f>
        <v/>
      </c>
      <c r="U2711" s="32" t="str">
        <f aca="false">IF(OR(F2711="",C2711=""),"",IF(COUNTIF($C$2:C2711,C2711)=1,MAX($U$1:U2710)+1,""))</f>
        <v/>
      </c>
    </row>
    <row r="2712" customFormat="false" ht="15" hidden="false" customHeight="false" outlineLevel="0" collapsed="false">
      <c r="A2712" s="34"/>
      <c r="B2712" s="9"/>
      <c r="C2712" s="34"/>
      <c r="D2712" s="34"/>
      <c r="E2712" s="34"/>
      <c r="F2712" s="35"/>
      <c r="G2712" s="9"/>
      <c r="H2712" s="9"/>
      <c r="I2712" s="34"/>
      <c r="J2712" s="30" t="str">
        <f aca="false">IF(F2712="","",G2712-B2712)</f>
        <v/>
      </c>
      <c r="K2712" s="31" t="str">
        <f aca="false">IF(F2712="","",IF(H2712&lt;&gt;"",H2712,MAX('Vade Sapması'!$D$3,G2712)))</f>
        <v/>
      </c>
      <c r="L2712" s="30" t="str">
        <f aca="false">IF(F2712="","",K2712-B2712)</f>
        <v/>
      </c>
      <c r="M2712" s="30" t="str">
        <f aca="false">IF(F2712="","",L2712-J2712)</f>
        <v/>
      </c>
      <c r="N2712" s="32" t="str">
        <f aca="false">IF(F2712="","",IF(H2712&lt;&gt;"","Kapandı",IF('Vade Sapması'!$D$3&gt;G2712,"Açık · vadesi geçti","Açık · vadesi gelmedi")))</f>
        <v/>
      </c>
      <c r="O2712" s="30" t="str">
        <f aca="false">IF(F2712="","",IF(AND(H2712="",'Vade Sapması'!$D$3&gt;G2712),'Vade Sapması'!$D$3-G2712,0))</f>
        <v/>
      </c>
      <c r="P2712" s="33" t="str">
        <f aca="false">IF(F2712="","",F2712*J2712)</f>
        <v/>
      </c>
      <c r="Q2712" s="33" t="str">
        <f aca="false">IF(F2712="","",F2712*L2712)</f>
        <v/>
      </c>
      <c r="R2712" s="33" t="str">
        <f aca="false">IF(F2712="","",IF(H2712="",F2712,0))</f>
        <v/>
      </c>
      <c r="S2712" s="32" t="str">
        <f aca="false">IF(F2712="","",IF(N(O2712)=0,"",IF(O2712&lt;=30,"1-30",IF(O2712&lt;=60,"31-60",IF(O2712&lt;=90,"61-90","90+")))))</f>
        <v/>
      </c>
      <c r="T2712" s="32" t="str">
        <f aca="false">IF(F2712="","",IF(E2712="","Diğer",E2712))</f>
        <v/>
      </c>
      <c r="U2712" s="32" t="str">
        <f aca="false">IF(OR(F2712="",C2712=""),"",IF(COUNTIF($C$2:C2712,C2712)=1,MAX($U$1:U2711)+1,""))</f>
        <v/>
      </c>
    </row>
    <row r="2713" customFormat="false" ht="15" hidden="false" customHeight="false" outlineLevel="0" collapsed="false">
      <c r="A2713" s="34"/>
      <c r="B2713" s="9"/>
      <c r="C2713" s="34"/>
      <c r="D2713" s="34"/>
      <c r="E2713" s="34"/>
      <c r="F2713" s="35"/>
      <c r="G2713" s="9"/>
      <c r="H2713" s="9"/>
      <c r="I2713" s="34"/>
      <c r="J2713" s="30" t="str">
        <f aca="false">IF(F2713="","",G2713-B2713)</f>
        <v/>
      </c>
      <c r="K2713" s="31" t="str">
        <f aca="false">IF(F2713="","",IF(H2713&lt;&gt;"",H2713,MAX('Vade Sapması'!$D$3,G2713)))</f>
        <v/>
      </c>
      <c r="L2713" s="30" t="str">
        <f aca="false">IF(F2713="","",K2713-B2713)</f>
        <v/>
      </c>
      <c r="M2713" s="30" t="str">
        <f aca="false">IF(F2713="","",L2713-J2713)</f>
        <v/>
      </c>
      <c r="N2713" s="32" t="str">
        <f aca="false">IF(F2713="","",IF(H2713&lt;&gt;"","Kapandı",IF('Vade Sapması'!$D$3&gt;G2713,"Açık · vadesi geçti","Açık · vadesi gelmedi")))</f>
        <v/>
      </c>
      <c r="O2713" s="30" t="str">
        <f aca="false">IF(F2713="","",IF(AND(H2713="",'Vade Sapması'!$D$3&gt;G2713),'Vade Sapması'!$D$3-G2713,0))</f>
        <v/>
      </c>
      <c r="P2713" s="33" t="str">
        <f aca="false">IF(F2713="","",F2713*J2713)</f>
        <v/>
      </c>
      <c r="Q2713" s="33" t="str">
        <f aca="false">IF(F2713="","",F2713*L2713)</f>
        <v/>
      </c>
      <c r="R2713" s="33" t="str">
        <f aca="false">IF(F2713="","",IF(H2713="",F2713,0))</f>
        <v/>
      </c>
      <c r="S2713" s="32" t="str">
        <f aca="false">IF(F2713="","",IF(N(O2713)=0,"",IF(O2713&lt;=30,"1-30",IF(O2713&lt;=60,"31-60",IF(O2713&lt;=90,"61-90","90+")))))</f>
        <v/>
      </c>
      <c r="T2713" s="32" t="str">
        <f aca="false">IF(F2713="","",IF(E2713="","Diğer",E2713))</f>
        <v/>
      </c>
      <c r="U2713" s="32" t="str">
        <f aca="false">IF(OR(F2713="",C2713=""),"",IF(COUNTIF($C$2:C2713,C2713)=1,MAX($U$1:U2712)+1,""))</f>
        <v/>
      </c>
    </row>
    <row r="2714" customFormat="false" ht="15" hidden="false" customHeight="false" outlineLevel="0" collapsed="false">
      <c r="A2714" s="34"/>
      <c r="B2714" s="9"/>
      <c r="C2714" s="34"/>
      <c r="D2714" s="34"/>
      <c r="E2714" s="34"/>
      <c r="F2714" s="35"/>
      <c r="G2714" s="9"/>
      <c r="H2714" s="9"/>
      <c r="I2714" s="34"/>
      <c r="J2714" s="30" t="str">
        <f aca="false">IF(F2714="","",G2714-B2714)</f>
        <v/>
      </c>
      <c r="K2714" s="31" t="str">
        <f aca="false">IF(F2714="","",IF(H2714&lt;&gt;"",H2714,MAX('Vade Sapması'!$D$3,G2714)))</f>
        <v/>
      </c>
      <c r="L2714" s="30" t="str">
        <f aca="false">IF(F2714="","",K2714-B2714)</f>
        <v/>
      </c>
      <c r="M2714" s="30" t="str">
        <f aca="false">IF(F2714="","",L2714-J2714)</f>
        <v/>
      </c>
      <c r="N2714" s="32" t="str">
        <f aca="false">IF(F2714="","",IF(H2714&lt;&gt;"","Kapandı",IF('Vade Sapması'!$D$3&gt;G2714,"Açık · vadesi geçti","Açık · vadesi gelmedi")))</f>
        <v/>
      </c>
      <c r="O2714" s="30" t="str">
        <f aca="false">IF(F2714="","",IF(AND(H2714="",'Vade Sapması'!$D$3&gt;G2714),'Vade Sapması'!$D$3-G2714,0))</f>
        <v/>
      </c>
      <c r="P2714" s="33" t="str">
        <f aca="false">IF(F2714="","",F2714*J2714)</f>
        <v/>
      </c>
      <c r="Q2714" s="33" t="str">
        <f aca="false">IF(F2714="","",F2714*L2714)</f>
        <v/>
      </c>
      <c r="R2714" s="33" t="str">
        <f aca="false">IF(F2714="","",IF(H2714="",F2714,0))</f>
        <v/>
      </c>
      <c r="S2714" s="32" t="str">
        <f aca="false">IF(F2714="","",IF(N(O2714)=0,"",IF(O2714&lt;=30,"1-30",IF(O2714&lt;=60,"31-60",IF(O2714&lt;=90,"61-90","90+")))))</f>
        <v/>
      </c>
      <c r="T2714" s="32" t="str">
        <f aca="false">IF(F2714="","",IF(E2714="","Diğer",E2714))</f>
        <v/>
      </c>
      <c r="U2714" s="32" t="str">
        <f aca="false">IF(OR(F2714="",C2714=""),"",IF(COUNTIF($C$2:C2714,C2714)=1,MAX($U$1:U2713)+1,""))</f>
        <v/>
      </c>
    </row>
    <row r="2715" customFormat="false" ht="15" hidden="false" customHeight="false" outlineLevel="0" collapsed="false">
      <c r="A2715" s="34"/>
      <c r="B2715" s="9"/>
      <c r="C2715" s="34"/>
      <c r="D2715" s="34"/>
      <c r="E2715" s="34"/>
      <c r="F2715" s="35"/>
      <c r="G2715" s="9"/>
      <c r="H2715" s="9"/>
      <c r="I2715" s="34"/>
      <c r="J2715" s="30" t="str">
        <f aca="false">IF(F2715="","",G2715-B2715)</f>
        <v/>
      </c>
      <c r="K2715" s="31" t="str">
        <f aca="false">IF(F2715="","",IF(H2715&lt;&gt;"",H2715,MAX('Vade Sapması'!$D$3,G2715)))</f>
        <v/>
      </c>
      <c r="L2715" s="30" t="str">
        <f aca="false">IF(F2715="","",K2715-B2715)</f>
        <v/>
      </c>
      <c r="M2715" s="30" t="str">
        <f aca="false">IF(F2715="","",L2715-J2715)</f>
        <v/>
      </c>
      <c r="N2715" s="32" t="str">
        <f aca="false">IF(F2715="","",IF(H2715&lt;&gt;"","Kapandı",IF('Vade Sapması'!$D$3&gt;G2715,"Açık · vadesi geçti","Açık · vadesi gelmedi")))</f>
        <v/>
      </c>
      <c r="O2715" s="30" t="str">
        <f aca="false">IF(F2715="","",IF(AND(H2715="",'Vade Sapması'!$D$3&gt;G2715),'Vade Sapması'!$D$3-G2715,0))</f>
        <v/>
      </c>
      <c r="P2715" s="33" t="str">
        <f aca="false">IF(F2715="","",F2715*J2715)</f>
        <v/>
      </c>
      <c r="Q2715" s="33" t="str">
        <f aca="false">IF(F2715="","",F2715*L2715)</f>
        <v/>
      </c>
      <c r="R2715" s="33" t="str">
        <f aca="false">IF(F2715="","",IF(H2715="",F2715,0))</f>
        <v/>
      </c>
      <c r="S2715" s="32" t="str">
        <f aca="false">IF(F2715="","",IF(N(O2715)=0,"",IF(O2715&lt;=30,"1-30",IF(O2715&lt;=60,"31-60",IF(O2715&lt;=90,"61-90","90+")))))</f>
        <v/>
      </c>
      <c r="T2715" s="32" t="str">
        <f aca="false">IF(F2715="","",IF(E2715="","Diğer",E2715))</f>
        <v/>
      </c>
      <c r="U2715" s="32" t="str">
        <f aca="false">IF(OR(F2715="",C2715=""),"",IF(COUNTIF($C$2:C2715,C2715)=1,MAX($U$1:U2714)+1,""))</f>
        <v/>
      </c>
    </row>
    <row r="2716" customFormat="false" ht="15" hidden="false" customHeight="false" outlineLevel="0" collapsed="false">
      <c r="A2716" s="34"/>
      <c r="B2716" s="9"/>
      <c r="C2716" s="34"/>
      <c r="D2716" s="34"/>
      <c r="E2716" s="34"/>
      <c r="F2716" s="35"/>
      <c r="G2716" s="9"/>
      <c r="H2716" s="9"/>
      <c r="I2716" s="34"/>
      <c r="J2716" s="30" t="str">
        <f aca="false">IF(F2716="","",G2716-B2716)</f>
        <v/>
      </c>
      <c r="K2716" s="31" t="str">
        <f aca="false">IF(F2716="","",IF(H2716&lt;&gt;"",H2716,MAX('Vade Sapması'!$D$3,G2716)))</f>
        <v/>
      </c>
      <c r="L2716" s="30" t="str">
        <f aca="false">IF(F2716="","",K2716-B2716)</f>
        <v/>
      </c>
      <c r="M2716" s="30" t="str">
        <f aca="false">IF(F2716="","",L2716-J2716)</f>
        <v/>
      </c>
      <c r="N2716" s="32" t="str">
        <f aca="false">IF(F2716="","",IF(H2716&lt;&gt;"","Kapandı",IF('Vade Sapması'!$D$3&gt;G2716,"Açık · vadesi geçti","Açık · vadesi gelmedi")))</f>
        <v/>
      </c>
      <c r="O2716" s="30" t="str">
        <f aca="false">IF(F2716="","",IF(AND(H2716="",'Vade Sapması'!$D$3&gt;G2716),'Vade Sapması'!$D$3-G2716,0))</f>
        <v/>
      </c>
      <c r="P2716" s="33" t="str">
        <f aca="false">IF(F2716="","",F2716*J2716)</f>
        <v/>
      </c>
      <c r="Q2716" s="33" t="str">
        <f aca="false">IF(F2716="","",F2716*L2716)</f>
        <v/>
      </c>
      <c r="R2716" s="33" t="str">
        <f aca="false">IF(F2716="","",IF(H2716="",F2716,0))</f>
        <v/>
      </c>
      <c r="S2716" s="32" t="str">
        <f aca="false">IF(F2716="","",IF(N(O2716)=0,"",IF(O2716&lt;=30,"1-30",IF(O2716&lt;=60,"31-60",IF(O2716&lt;=90,"61-90","90+")))))</f>
        <v/>
      </c>
      <c r="T2716" s="32" t="str">
        <f aca="false">IF(F2716="","",IF(E2716="","Diğer",E2716))</f>
        <v/>
      </c>
      <c r="U2716" s="32" t="str">
        <f aca="false">IF(OR(F2716="",C2716=""),"",IF(COUNTIF($C$2:C2716,C2716)=1,MAX($U$1:U2715)+1,""))</f>
        <v/>
      </c>
    </row>
    <row r="2717" customFormat="false" ht="15" hidden="false" customHeight="false" outlineLevel="0" collapsed="false">
      <c r="A2717" s="34"/>
      <c r="B2717" s="9"/>
      <c r="C2717" s="34"/>
      <c r="D2717" s="34"/>
      <c r="E2717" s="34"/>
      <c r="F2717" s="35"/>
      <c r="G2717" s="9"/>
      <c r="H2717" s="9"/>
      <c r="I2717" s="34"/>
      <c r="J2717" s="30" t="str">
        <f aca="false">IF(F2717="","",G2717-B2717)</f>
        <v/>
      </c>
      <c r="K2717" s="31" t="str">
        <f aca="false">IF(F2717="","",IF(H2717&lt;&gt;"",H2717,MAX('Vade Sapması'!$D$3,G2717)))</f>
        <v/>
      </c>
      <c r="L2717" s="30" t="str">
        <f aca="false">IF(F2717="","",K2717-B2717)</f>
        <v/>
      </c>
      <c r="M2717" s="30" t="str">
        <f aca="false">IF(F2717="","",L2717-J2717)</f>
        <v/>
      </c>
      <c r="N2717" s="32" t="str">
        <f aca="false">IF(F2717="","",IF(H2717&lt;&gt;"","Kapandı",IF('Vade Sapması'!$D$3&gt;G2717,"Açık · vadesi geçti","Açık · vadesi gelmedi")))</f>
        <v/>
      </c>
      <c r="O2717" s="30" t="str">
        <f aca="false">IF(F2717="","",IF(AND(H2717="",'Vade Sapması'!$D$3&gt;G2717),'Vade Sapması'!$D$3-G2717,0))</f>
        <v/>
      </c>
      <c r="P2717" s="33" t="str">
        <f aca="false">IF(F2717="","",F2717*J2717)</f>
        <v/>
      </c>
      <c r="Q2717" s="33" t="str">
        <f aca="false">IF(F2717="","",F2717*L2717)</f>
        <v/>
      </c>
      <c r="R2717" s="33" t="str">
        <f aca="false">IF(F2717="","",IF(H2717="",F2717,0))</f>
        <v/>
      </c>
      <c r="S2717" s="32" t="str">
        <f aca="false">IF(F2717="","",IF(N(O2717)=0,"",IF(O2717&lt;=30,"1-30",IF(O2717&lt;=60,"31-60",IF(O2717&lt;=90,"61-90","90+")))))</f>
        <v/>
      </c>
      <c r="T2717" s="32" t="str">
        <f aca="false">IF(F2717="","",IF(E2717="","Diğer",E2717))</f>
        <v/>
      </c>
      <c r="U2717" s="32" t="str">
        <f aca="false">IF(OR(F2717="",C2717=""),"",IF(COUNTIF($C$2:C2717,C2717)=1,MAX($U$1:U2716)+1,""))</f>
        <v/>
      </c>
    </row>
    <row r="2718" customFormat="false" ht="15" hidden="false" customHeight="false" outlineLevel="0" collapsed="false">
      <c r="A2718" s="34"/>
      <c r="B2718" s="9"/>
      <c r="C2718" s="34"/>
      <c r="D2718" s="34"/>
      <c r="E2718" s="34"/>
      <c r="F2718" s="35"/>
      <c r="G2718" s="9"/>
      <c r="H2718" s="9"/>
      <c r="I2718" s="34"/>
      <c r="J2718" s="30" t="str">
        <f aca="false">IF(F2718="","",G2718-B2718)</f>
        <v/>
      </c>
      <c r="K2718" s="31" t="str">
        <f aca="false">IF(F2718="","",IF(H2718&lt;&gt;"",H2718,MAX('Vade Sapması'!$D$3,G2718)))</f>
        <v/>
      </c>
      <c r="L2718" s="30" t="str">
        <f aca="false">IF(F2718="","",K2718-B2718)</f>
        <v/>
      </c>
      <c r="M2718" s="30" t="str">
        <f aca="false">IF(F2718="","",L2718-J2718)</f>
        <v/>
      </c>
      <c r="N2718" s="32" t="str">
        <f aca="false">IF(F2718="","",IF(H2718&lt;&gt;"","Kapandı",IF('Vade Sapması'!$D$3&gt;G2718,"Açık · vadesi geçti","Açık · vadesi gelmedi")))</f>
        <v/>
      </c>
      <c r="O2718" s="30" t="str">
        <f aca="false">IF(F2718="","",IF(AND(H2718="",'Vade Sapması'!$D$3&gt;G2718),'Vade Sapması'!$D$3-G2718,0))</f>
        <v/>
      </c>
      <c r="P2718" s="33" t="str">
        <f aca="false">IF(F2718="","",F2718*J2718)</f>
        <v/>
      </c>
      <c r="Q2718" s="33" t="str">
        <f aca="false">IF(F2718="","",F2718*L2718)</f>
        <v/>
      </c>
      <c r="R2718" s="33" t="str">
        <f aca="false">IF(F2718="","",IF(H2718="",F2718,0))</f>
        <v/>
      </c>
      <c r="S2718" s="32" t="str">
        <f aca="false">IF(F2718="","",IF(N(O2718)=0,"",IF(O2718&lt;=30,"1-30",IF(O2718&lt;=60,"31-60",IF(O2718&lt;=90,"61-90","90+")))))</f>
        <v/>
      </c>
      <c r="T2718" s="32" t="str">
        <f aca="false">IF(F2718="","",IF(E2718="","Diğer",E2718))</f>
        <v/>
      </c>
      <c r="U2718" s="32" t="str">
        <f aca="false">IF(OR(F2718="",C2718=""),"",IF(COUNTIF($C$2:C2718,C2718)=1,MAX($U$1:U2717)+1,""))</f>
        <v/>
      </c>
    </row>
    <row r="2719" customFormat="false" ht="15" hidden="false" customHeight="false" outlineLevel="0" collapsed="false">
      <c r="A2719" s="34"/>
      <c r="B2719" s="9"/>
      <c r="C2719" s="34"/>
      <c r="D2719" s="34"/>
      <c r="E2719" s="34"/>
      <c r="F2719" s="35"/>
      <c r="G2719" s="9"/>
      <c r="H2719" s="9"/>
      <c r="I2719" s="34"/>
      <c r="J2719" s="30" t="str">
        <f aca="false">IF(F2719="","",G2719-B2719)</f>
        <v/>
      </c>
      <c r="K2719" s="31" t="str">
        <f aca="false">IF(F2719="","",IF(H2719&lt;&gt;"",H2719,MAX('Vade Sapması'!$D$3,G2719)))</f>
        <v/>
      </c>
      <c r="L2719" s="30" t="str">
        <f aca="false">IF(F2719="","",K2719-B2719)</f>
        <v/>
      </c>
      <c r="M2719" s="30" t="str">
        <f aca="false">IF(F2719="","",L2719-J2719)</f>
        <v/>
      </c>
      <c r="N2719" s="32" t="str">
        <f aca="false">IF(F2719="","",IF(H2719&lt;&gt;"","Kapandı",IF('Vade Sapması'!$D$3&gt;G2719,"Açık · vadesi geçti","Açık · vadesi gelmedi")))</f>
        <v/>
      </c>
      <c r="O2719" s="30" t="str">
        <f aca="false">IF(F2719="","",IF(AND(H2719="",'Vade Sapması'!$D$3&gt;G2719),'Vade Sapması'!$D$3-G2719,0))</f>
        <v/>
      </c>
      <c r="P2719" s="33" t="str">
        <f aca="false">IF(F2719="","",F2719*J2719)</f>
        <v/>
      </c>
      <c r="Q2719" s="33" t="str">
        <f aca="false">IF(F2719="","",F2719*L2719)</f>
        <v/>
      </c>
      <c r="R2719" s="33" t="str">
        <f aca="false">IF(F2719="","",IF(H2719="",F2719,0))</f>
        <v/>
      </c>
      <c r="S2719" s="32" t="str">
        <f aca="false">IF(F2719="","",IF(N(O2719)=0,"",IF(O2719&lt;=30,"1-30",IF(O2719&lt;=60,"31-60",IF(O2719&lt;=90,"61-90","90+")))))</f>
        <v/>
      </c>
      <c r="T2719" s="32" t="str">
        <f aca="false">IF(F2719="","",IF(E2719="","Diğer",E2719))</f>
        <v/>
      </c>
      <c r="U2719" s="32" t="str">
        <f aca="false">IF(OR(F2719="",C2719=""),"",IF(COUNTIF($C$2:C2719,C2719)=1,MAX($U$1:U2718)+1,""))</f>
        <v/>
      </c>
    </row>
    <row r="2720" customFormat="false" ht="15" hidden="false" customHeight="false" outlineLevel="0" collapsed="false">
      <c r="A2720" s="34"/>
      <c r="B2720" s="9"/>
      <c r="C2720" s="34"/>
      <c r="D2720" s="34"/>
      <c r="E2720" s="34"/>
      <c r="F2720" s="35"/>
      <c r="G2720" s="9"/>
      <c r="H2720" s="9"/>
      <c r="I2720" s="34"/>
      <c r="J2720" s="30" t="str">
        <f aca="false">IF(F2720="","",G2720-B2720)</f>
        <v/>
      </c>
      <c r="K2720" s="31" t="str">
        <f aca="false">IF(F2720="","",IF(H2720&lt;&gt;"",H2720,MAX('Vade Sapması'!$D$3,G2720)))</f>
        <v/>
      </c>
      <c r="L2720" s="30" t="str">
        <f aca="false">IF(F2720="","",K2720-B2720)</f>
        <v/>
      </c>
      <c r="M2720" s="30" t="str">
        <f aca="false">IF(F2720="","",L2720-J2720)</f>
        <v/>
      </c>
      <c r="N2720" s="32" t="str">
        <f aca="false">IF(F2720="","",IF(H2720&lt;&gt;"","Kapandı",IF('Vade Sapması'!$D$3&gt;G2720,"Açık · vadesi geçti","Açık · vadesi gelmedi")))</f>
        <v/>
      </c>
      <c r="O2720" s="30" t="str">
        <f aca="false">IF(F2720="","",IF(AND(H2720="",'Vade Sapması'!$D$3&gt;G2720),'Vade Sapması'!$D$3-G2720,0))</f>
        <v/>
      </c>
      <c r="P2720" s="33" t="str">
        <f aca="false">IF(F2720="","",F2720*J2720)</f>
        <v/>
      </c>
      <c r="Q2720" s="33" t="str">
        <f aca="false">IF(F2720="","",F2720*L2720)</f>
        <v/>
      </c>
      <c r="R2720" s="33" t="str">
        <f aca="false">IF(F2720="","",IF(H2720="",F2720,0))</f>
        <v/>
      </c>
      <c r="S2720" s="32" t="str">
        <f aca="false">IF(F2720="","",IF(N(O2720)=0,"",IF(O2720&lt;=30,"1-30",IF(O2720&lt;=60,"31-60",IF(O2720&lt;=90,"61-90","90+")))))</f>
        <v/>
      </c>
      <c r="T2720" s="32" t="str">
        <f aca="false">IF(F2720="","",IF(E2720="","Diğer",E2720))</f>
        <v/>
      </c>
      <c r="U2720" s="32" t="str">
        <f aca="false">IF(OR(F2720="",C2720=""),"",IF(COUNTIF($C$2:C2720,C2720)=1,MAX($U$1:U2719)+1,""))</f>
        <v/>
      </c>
    </row>
    <row r="2721" customFormat="false" ht="15" hidden="false" customHeight="false" outlineLevel="0" collapsed="false">
      <c r="A2721" s="34"/>
      <c r="B2721" s="9"/>
      <c r="C2721" s="34"/>
      <c r="D2721" s="34"/>
      <c r="E2721" s="34"/>
      <c r="F2721" s="35"/>
      <c r="G2721" s="9"/>
      <c r="H2721" s="9"/>
      <c r="I2721" s="34"/>
      <c r="J2721" s="30" t="str">
        <f aca="false">IF(F2721="","",G2721-B2721)</f>
        <v/>
      </c>
      <c r="K2721" s="31" t="str">
        <f aca="false">IF(F2721="","",IF(H2721&lt;&gt;"",H2721,MAX('Vade Sapması'!$D$3,G2721)))</f>
        <v/>
      </c>
      <c r="L2721" s="30" t="str">
        <f aca="false">IF(F2721="","",K2721-B2721)</f>
        <v/>
      </c>
      <c r="M2721" s="30" t="str">
        <f aca="false">IF(F2721="","",L2721-J2721)</f>
        <v/>
      </c>
      <c r="N2721" s="32" t="str">
        <f aca="false">IF(F2721="","",IF(H2721&lt;&gt;"","Kapandı",IF('Vade Sapması'!$D$3&gt;G2721,"Açık · vadesi geçti","Açık · vadesi gelmedi")))</f>
        <v/>
      </c>
      <c r="O2721" s="30" t="str">
        <f aca="false">IF(F2721="","",IF(AND(H2721="",'Vade Sapması'!$D$3&gt;G2721),'Vade Sapması'!$D$3-G2721,0))</f>
        <v/>
      </c>
      <c r="P2721" s="33" t="str">
        <f aca="false">IF(F2721="","",F2721*J2721)</f>
        <v/>
      </c>
      <c r="Q2721" s="33" t="str">
        <f aca="false">IF(F2721="","",F2721*L2721)</f>
        <v/>
      </c>
      <c r="R2721" s="33" t="str">
        <f aca="false">IF(F2721="","",IF(H2721="",F2721,0))</f>
        <v/>
      </c>
      <c r="S2721" s="32" t="str">
        <f aca="false">IF(F2721="","",IF(N(O2721)=0,"",IF(O2721&lt;=30,"1-30",IF(O2721&lt;=60,"31-60",IF(O2721&lt;=90,"61-90","90+")))))</f>
        <v/>
      </c>
      <c r="T2721" s="32" t="str">
        <f aca="false">IF(F2721="","",IF(E2721="","Diğer",E2721))</f>
        <v/>
      </c>
      <c r="U2721" s="32" t="str">
        <f aca="false">IF(OR(F2721="",C2721=""),"",IF(COUNTIF($C$2:C2721,C2721)=1,MAX($U$1:U2720)+1,""))</f>
        <v/>
      </c>
    </row>
    <row r="2722" customFormat="false" ht="15" hidden="false" customHeight="false" outlineLevel="0" collapsed="false">
      <c r="A2722" s="34"/>
      <c r="B2722" s="9"/>
      <c r="C2722" s="34"/>
      <c r="D2722" s="34"/>
      <c r="E2722" s="34"/>
      <c r="F2722" s="35"/>
      <c r="G2722" s="9"/>
      <c r="H2722" s="9"/>
      <c r="I2722" s="34"/>
      <c r="J2722" s="30" t="str">
        <f aca="false">IF(F2722="","",G2722-B2722)</f>
        <v/>
      </c>
      <c r="K2722" s="31" t="str">
        <f aca="false">IF(F2722="","",IF(H2722&lt;&gt;"",H2722,MAX('Vade Sapması'!$D$3,G2722)))</f>
        <v/>
      </c>
      <c r="L2722" s="30" t="str">
        <f aca="false">IF(F2722="","",K2722-B2722)</f>
        <v/>
      </c>
      <c r="M2722" s="30" t="str">
        <f aca="false">IF(F2722="","",L2722-J2722)</f>
        <v/>
      </c>
      <c r="N2722" s="32" t="str">
        <f aca="false">IF(F2722="","",IF(H2722&lt;&gt;"","Kapandı",IF('Vade Sapması'!$D$3&gt;G2722,"Açık · vadesi geçti","Açık · vadesi gelmedi")))</f>
        <v/>
      </c>
      <c r="O2722" s="30" t="str">
        <f aca="false">IF(F2722="","",IF(AND(H2722="",'Vade Sapması'!$D$3&gt;G2722),'Vade Sapması'!$D$3-G2722,0))</f>
        <v/>
      </c>
      <c r="P2722" s="33" t="str">
        <f aca="false">IF(F2722="","",F2722*J2722)</f>
        <v/>
      </c>
      <c r="Q2722" s="33" t="str">
        <f aca="false">IF(F2722="","",F2722*L2722)</f>
        <v/>
      </c>
      <c r="R2722" s="33" t="str">
        <f aca="false">IF(F2722="","",IF(H2722="",F2722,0))</f>
        <v/>
      </c>
      <c r="S2722" s="32" t="str">
        <f aca="false">IF(F2722="","",IF(N(O2722)=0,"",IF(O2722&lt;=30,"1-30",IF(O2722&lt;=60,"31-60",IF(O2722&lt;=90,"61-90","90+")))))</f>
        <v/>
      </c>
      <c r="T2722" s="32" t="str">
        <f aca="false">IF(F2722="","",IF(E2722="","Diğer",E2722))</f>
        <v/>
      </c>
      <c r="U2722" s="32" t="str">
        <f aca="false">IF(OR(F2722="",C2722=""),"",IF(COUNTIF($C$2:C2722,C2722)=1,MAX($U$1:U2721)+1,""))</f>
        <v/>
      </c>
    </row>
    <row r="2723" customFormat="false" ht="15" hidden="false" customHeight="false" outlineLevel="0" collapsed="false">
      <c r="A2723" s="34"/>
      <c r="B2723" s="9"/>
      <c r="C2723" s="34"/>
      <c r="D2723" s="34"/>
      <c r="E2723" s="34"/>
      <c r="F2723" s="35"/>
      <c r="G2723" s="9"/>
      <c r="H2723" s="9"/>
      <c r="I2723" s="34"/>
      <c r="J2723" s="30" t="str">
        <f aca="false">IF(F2723="","",G2723-B2723)</f>
        <v/>
      </c>
      <c r="K2723" s="31" t="str">
        <f aca="false">IF(F2723="","",IF(H2723&lt;&gt;"",H2723,MAX('Vade Sapması'!$D$3,G2723)))</f>
        <v/>
      </c>
      <c r="L2723" s="30" t="str">
        <f aca="false">IF(F2723="","",K2723-B2723)</f>
        <v/>
      </c>
      <c r="M2723" s="30" t="str">
        <f aca="false">IF(F2723="","",L2723-J2723)</f>
        <v/>
      </c>
      <c r="N2723" s="32" t="str">
        <f aca="false">IF(F2723="","",IF(H2723&lt;&gt;"","Kapandı",IF('Vade Sapması'!$D$3&gt;G2723,"Açık · vadesi geçti","Açık · vadesi gelmedi")))</f>
        <v/>
      </c>
      <c r="O2723" s="30" t="str">
        <f aca="false">IF(F2723="","",IF(AND(H2723="",'Vade Sapması'!$D$3&gt;G2723),'Vade Sapması'!$D$3-G2723,0))</f>
        <v/>
      </c>
      <c r="P2723" s="33" t="str">
        <f aca="false">IF(F2723="","",F2723*J2723)</f>
        <v/>
      </c>
      <c r="Q2723" s="33" t="str">
        <f aca="false">IF(F2723="","",F2723*L2723)</f>
        <v/>
      </c>
      <c r="R2723" s="33" t="str">
        <f aca="false">IF(F2723="","",IF(H2723="",F2723,0))</f>
        <v/>
      </c>
      <c r="S2723" s="32" t="str">
        <f aca="false">IF(F2723="","",IF(N(O2723)=0,"",IF(O2723&lt;=30,"1-30",IF(O2723&lt;=60,"31-60",IF(O2723&lt;=90,"61-90","90+")))))</f>
        <v/>
      </c>
      <c r="T2723" s="32" t="str">
        <f aca="false">IF(F2723="","",IF(E2723="","Diğer",E2723))</f>
        <v/>
      </c>
      <c r="U2723" s="32" t="str">
        <f aca="false">IF(OR(F2723="",C2723=""),"",IF(COUNTIF($C$2:C2723,C2723)=1,MAX($U$1:U2722)+1,""))</f>
        <v/>
      </c>
    </row>
    <row r="2724" customFormat="false" ht="15" hidden="false" customHeight="false" outlineLevel="0" collapsed="false">
      <c r="A2724" s="34"/>
      <c r="B2724" s="9"/>
      <c r="C2724" s="34"/>
      <c r="D2724" s="34"/>
      <c r="E2724" s="34"/>
      <c r="F2724" s="35"/>
      <c r="G2724" s="9"/>
      <c r="H2724" s="9"/>
      <c r="I2724" s="34"/>
      <c r="J2724" s="30" t="str">
        <f aca="false">IF(F2724="","",G2724-B2724)</f>
        <v/>
      </c>
      <c r="K2724" s="31" t="str">
        <f aca="false">IF(F2724="","",IF(H2724&lt;&gt;"",H2724,MAX('Vade Sapması'!$D$3,G2724)))</f>
        <v/>
      </c>
      <c r="L2724" s="30" t="str">
        <f aca="false">IF(F2724="","",K2724-B2724)</f>
        <v/>
      </c>
      <c r="M2724" s="30" t="str">
        <f aca="false">IF(F2724="","",L2724-J2724)</f>
        <v/>
      </c>
      <c r="N2724" s="32" t="str">
        <f aca="false">IF(F2724="","",IF(H2724&lt;&gt;"","Kapandı",IF('Vade Sapması'!$D$3&gt;G2724,"Açık · vadesi geçti","Açık · vadesi gelmedi")))</f>
        <v/>
      </c>
      <c r="O2724" s="30" t="str">
        <f aca="false">IF(F2724="","",IF(AND(H2724="",'Vade Sapması'!$D$3&gt;G2724),'Vade Sapması'!$D$3-G2724,0))</f>
        <v/>
      </c>
      <c r="P2724" s="33" t="str">
        <f aca="false">IF(F2724="","",F2724*J2724)</f>
        <v/>
      </c>
      <c r="Q2724" s="33" t="str">
        <f aca="false">IF(F2724="","",F2724*L2724)</f>
        <v/>
      </c>
      <c r="R2724" s="33" t="str">
        <f aca="false">IF(F2724="","",IF(H2724="",F2724,0))</f>
        <v/>
      </c>
      <c r="S2724" s="32" t="str">
        <f aca="false">IF(F2724="","",IF(N(O2724)=0,"",IF(O2724&lt;=30,"1-30",IF(O2724&lt;=60,"31-60",IF(O2724&lt;=90,"61-90","90+")))))</f>
        <v/>
      </c>
      <c r="T2724" s="32" t="str">
        <f aca="false">IF(F2724="","",IF(E2724="","Diğer",E2724))</f>
        <v/>
      </c>
      <c r="U2724" s="32" t="str">
        <f aca="false">IF(OR(F2724="",C2724=""),"",IF(COUNTIF($C$2:C2724,C2724)=1,MAX($U$1:U2723)+1,""))</f>
        <v/>
      </c>
    </row>
    <row r="2725" customFormat="false" ht="15" hidden="false" customHeight="false" outlineLevel="0" collapsed="false">
      <c r="A2725" s="34"/>
      <c r="B2725" s="9"/>
      <c r="C2725" s="34"/>
      <c r="D2725" s="34"/>
      <c r="E2725" s="34"/>
      <c r="F2725" s="35"/>
      <c r="G2725" s="9"/>
      <c r="H2725" s="9"/>
      <c r="I2725" s="34"/>
      <c r="J2725" s="30" t="str">
        <f aca="false">IF(F2725="","",G2725-B2725)</f>
        <v/>
      </c>
      <c r="K2725" s="31" t="str">
        <f aca="false">IF(F2725="","",IF(H2725&lt;&gt;"",H2725,MAX('Vade Sapması'!$D$3,G2725)))</f>
        <v/>
      </c>
      <c r="L2725" s="30" t="str">
        <f aca="false">IF(F2725="","",K2725-B2725)</f>
        <v/>
      </c>
      <c r="M2725" s="30" t="str">
        <f aca="false">IF(F2725="","",L2725-J2725)</f>
        <v/>
      </c>
      <c r="N2725" s="32" t="str">
        <f aca="false">IF(F2725="","",IF(H2725&lt;&gt;"","Kapandı",IF('Vade Sapması'!$D$3&gt;G2725,"Açık · vadesi geçti","Açık · vadesi gelmedi")))</f>
        <v/>
      </c>
      <c r="O2725" s="30" t="str">
        <f aca="false">IF(F2725="","",IF(AND(H2725="",'Vade Sapması'!$D$3&gt;G2725),'Vade Sapması'!$D$3-G2725,0))</f>
        <v/>
      </c>
      <c r="P2725" s="33" t="str">
        <f aca="false">IF(F2725="","",F2725*J2725)</f>
        <v/>
      </c>
      <c r="Q2725" s="33" t="str">
        <f aca="false">IF(F2725="","",F2725*L2725)</f>
        <v/>
      </c>
      <c r="R2725" s="33" t="str">
        <f aca="false">IF(F2725="","",IF(H2725="",F2725,0))</f>
        <v/>
      </c>
      <c r="S2725" s="32" t="str">
        <f aca="false">IF(F2725="","",IF(N(O2725)=0,"",IF(O2725&lt;=30,"1-30",IF(O2725&lt;=60,"31-60",IF(O2725&lt;=90,"61-90","90+")))))</f>
        <v/>
      </c>
      <c r="T2725" s="32" t="str">
        <f aca="false">IF(F2725="","",IF(E2725="","Diğer",E2725))</f>
        <v/>
      </c>
      <c r="U2725" s="32" t="str">
        <f aca="false">IF(OR(F2725="",C2725=""),"",IF(COUNTIF($C$2:C2725,C2725)=1,MAX($U$1:U2724)+1,""))</f>
        <v/>
      </c>
    </row>
    <row r="2726" customFormat="false" ht="15" hidden="false" customHeight="false" outlineLevel="0" collapsed="false">
      <c r="A2726" s="34"/>
      <c r="B2726" s="9"/>
      <c r="C2726" s="34"/>
      <c r="D2726" s="34"/>
      <c r="E2726" s="34"/>
      <c r="F2726" s="35"/>
      <c r="G2726" s="9"/>
      <c r="H2726" s="9"/>
      <c r="I2726" s="34"/>
      <c r="J2726" s="30" t="str">
        <f aca="false">IF(F2726="","",G2726-B2726)</f>
        <v/>
      </c>
      <c r="K2726" s="31" t="str">
        <f aca="false">IF(F2726="","",IF(H2726&lt;&gt;"",H2726,MAX('Vade Sapması'!$D$3,G2726)))</f>
        <v/>
      </c>
      <c r="L2726" s="30" t="str">
        <f aca="false">IF(F2726="","",K2726-B2726)</f>
        <v/>
      </c>
      <c r="M2726" s="30" t="str">
        <f aca="false">IF(F2726="","",L2726-J2726)</f>
        <v/>
      </c>
      <c r="N2726" s="32" t="str">
        <f aca="false">IF(F2726="","",IF(H2726&lt;&gt;"","Kapandı",IF('Vade Sapması'!$D$3&gt;G2726,"Açık · vadesi geçti","Açık · vadesi gelmedi")))</f>
        <v/>
      </c>
      <c r="O2726" s="30" t="str">
        <f aca="false">IF(F2726="","",IF(AND(H2726="",'Vade Sapması'!$D$3&gt;G2726),'Vade Sapması'!$D$3-G2726,0))</f>
        <v/>
      </c>
      <c r="P2726" s="33" t="str">
        <f aca="false">IF(F2726="","",F2726*J2726)</f>
        <v/>
      </c>
      <c r="Q2726" s="33" t="str">
        <f aca="false">IF(F2726="","",F2726*L2726)</f>
        <v/>
      </c>
      <c r="R2726" s="33" t="str">
        <f aca="false">IF(F2726="","",IF(H2726="",F2726,0))</f>
        <v/>
      </c>
      <c r="S2726" s="32" t="str">
        <f aca="false">IF(F2726="","",IF(N(O2726)=0,"",IF(O2726&lt;=30,"1-30",IF(O2726&lt;=60,"31-60",IF(O2726&lt;=90,"61-90","90+")))))</f>
        <v/>
      </c>
      <c r="T2726" s="32" t="str">
        <f aca="false">IF(F2726="","",IF(E2726="","Diğer",E2726))</f>
        <v/>
      </c>
      <c r="U2726" s="32" t="str">
        <f aca="false">IF(OR(F2726="",C2726=""),"",IF(COUNTIF($C$2:C2726,C2726)=1,MAX($U$1:U2725)+1,""))</f>
        <v/>
      </c>
    </row>
    <row r="2727" customFormat="false" ht="15" hidden="false" customHeight="false" outlineLevel="0" collapsed="false">
      <c r="A2727" s="34"/>
      <c r="B2727" s="9"/>
      <c r="C2727" s="34"/>
      <c r="D2727" s="34"/>
      <c r="E2727" s="34"/>
      <c r="F2727" s="35"/>
      <c r="G2727" s="9"/>
      <c r="H2727" s="9"/>
      <c r="I2727" s="34"/>
      <c r="J2727" s="30" t="str">
        <f aca="false">IF(F2727="","",G2727-B2727)</f>
        <v/>
      </c>
      <c r="K2727" s="31" t="str">
        <f aca="false">IF(F2727="","",IF(H2727&lt;&gt;"",H2727,MAX('Vade Sapması'!$D$3,G2727)))</f>
        <v/>
      </c>
      <c r="L2727" s="30" t="str">
        <f aca="false">IF(F2727="","",K2727-B2727)</f>
        <v/>
      </c>
      <c r="M2727" s="30" t="str">
        <f aca="false">IF(F2727="","",L2727-J2727)</f>
        <v/>
      </c>
      <c r="N2727" s="32" t="str">
        <f aca="false">IF(F2727="","",IF(H2727&lt;&gt;"","Kapandı",IF('Vade Sapması'!$D$3&gt;G2727,"Açık · vadesi geçti","Açık · vadesi gelmedi")))</f>
        <v/>
      </c>
      <c r="O2727" s="30" t="str">
        <f aca="false">IF(F2727="","",IF(AND(H2727="",'Vade Sapması'!$D$3&gt;G2727),'Vade Sapması'!$D$3-G2727,0))</f>
        <v/>
      </c>
      <c r="P2727" s="33" t="str">
        <f aca="false">IF(F2727="","",F2727*J2727)</f>
        <v/>
      </c>
      <c r="Q2727" s="33" t="str">
        <f aca="false">IF(F2727="","",F2727*L2727)</f>
        <v/>
      </c>
      <c r="R2727" s="33" t="str">
        <f aca="false">IF(F2727="","",IF(H2727="",F2727,0))</f>
        <v/>
      </c>
      <c r="S2727" s="32" t="str">
        <f aca="false">IF(F2727="","",IF(N(O2727)=0,"",IF(O2727&lt;=30,"1-30",IF(O2727&lt;=60,"31-60",IF(O2727&lt;=90,"61-90","90+")))))</f>
        <v/>
      </c>
      <c r="T2727" s="32" t="str">
        <f aca="false">IF(F2727="","",IF(E2727="","Diğer",E2727))</f>
        <v/>
      </c>
      <c r="U2727" s="32" t="str">
        <f aca="false">IF(OR(F2727="",C2727=""),"",IF(COUNTIF($C$2:C2727,C2727)=1,MAX($U$1:U2726)+1,""))</f>
        <v/>
      </c>
    </row>
    <row r="2728" customFormat="false" ht="15" hidden="false" customHeight="false" outlineLevel="0" collapsed="false">
      <c r="A2728" s="34"/>
      <c r="B2728" s="9"/>
      <c r="C2728" s="34"/>
      <c r="D2728" s="34"/>
      <c r="E2728" s="34"/>
      <c r="F2728" s="35"/>
      <c r="G2728" s="9"/>
      <c r="H2728" s="9"/>
      <c r="I2728" s="34"/>
      <c r="J2728" s="30" t="str">
        <f aca="false">IF(F2728="","",G2728-B2728)</f>
        <v/>
      </c>
      <c r="K2728" s="31" t="str">
        <f aca="false">IF(F2728="","",IF(H2728&lt;&gt;"",H2728,MAX('Vade Sapması'!$D$3,G2728)))</f>
        <v/>
      </c>
      <c r="L2728" s="30" t="str">
        <f aca="false">IF(F2728="","",K2728-B2728)</f>
        <v/>
      </c>
      <c r="M2728" s="30" t="str">
        <f aca="false">IF(F2728="","",L2728-J2728)</f>
        <v/>
      </c>
      <c r="N2728" s="32" t="str">
        <f aca="false">IF(F2728="","",IF(H2728&lt;&gt;"","Kapandı",IF('Vade Sapması'!$D$3&gt;G2728,"Açık · vadesi geçti","Açık · vadesi gelmedi")))</f>
        <v/>
      </c>
      <c r="O2728" s="30" t="str">
        <f aca="false">IF(F2728="","",IF(AND(H2728="",'Vade Sapması'!$D$3&gt;G2728),'Vade Sapması'!$D$3-G2728,0))</f>
        <v/>
      </c>
      <c r="P2728" s="33" t="str">
        <f aca="false">IF(F2728="","",F2728*J2728)</f>
        <v/>
      </c>
      <c r="Q2728" s="33" t="str">
        <f aca="false">IF(F2728="","",F2728*L2728)</f>
        <v/>
      </c>
      <c r="R2728" s="33" t="str">
        <f aca="false">IF(F2728="","",IF(H2728="",F2728,0))</f>
        <v/>
      </c>
      <c r="S2728" s="32" t="str">
        <f aca="false">IF(F2728="","",IF(N(O2728)=0,"",IF(O2728&lt;=30,"1-30",IF(O2728&lt;=60,"31-60",IF(O2728&lt;=90,"61-90","90+")))))</f>
        <v/>
      </c>
      <c r="T2728" s="32" t="str">
        <f aca="false">IF(F2728="","",IF(E2728="","Diğer",E2728))</f>
        <v/>
      </c>
      <c r="U2728" s="32" t="str">
        <f aca="false">IF(OR(F2728="",C2728=""),"",IF(COUNTIF($C$2:C2728,C2728)=1,MAX($U$1:U2727)+1,""))</f>
        <v/>
      </c>
    </row>
    <row r="2729" customFormat="false" ht="15" hidden="false" customHeight="false" outlineLevel="0" collapsed="false">
      <c r="A2729" s="34"/>
      <c r="B2729" s="9"/>
      <c r="C2729" s="34"/>
      <c r="D2729" s="34"/>
      <c r="E2729" s="34"/>
      <c r="F2729" s="35"/>
      <c r="G2729" s="9"/>
      <c r="H2729" s="9"/>
      <c r="I2729" s="34"/>
      <c r="J2729" s="30" t="str">
        <f aca="false">IF(F2729="","",G2729-B2729)</f>
        <v/>
      </c>
      <c r="K2729" s="31" t="str">
        <f aca="false">IF(F2729="","",IF(H2729&lt;&gt;"",H2729,MAX('Vade Sapması'!$D$3,G2729)))</f>
        <v/>
      </c>
      <c r="L2729" s="30" t="str">
        <f aca="false">IF(F2729="","",K2729-B2729)</f>
        <v/>
      </c>
      <c r="M2729" s="30" t="str">
        <f aca="false">IF(F2729="","",L2729-J2729)</f>
        <v/>
      </c>
      <c r="N2729" s="32" t="str">
        <f aca="false">IF(F2729="","",IF(H2729&lt;&gt;"","Kapandı",IF('Vade Sapması'!$D$3&gt;G2729,"Açık · vadesi geçti","Açık · vadesi gelmedi")))</f>
        <v/>
      </c>
      <c r="O2729" s="30" t="str">
        <f aca="false">IF(F2729="","",IF(AND(H2729="",'Vade Sapması'!$D$3&gt;G2729),'Vade Sapması'!$D$3-G2729,0))</f>
        <v/>
      </c>
      <c r="P2729" s="33" t="str">
        <f aca="false">IF(F2729="","",F2729*J2729)</f>
        <v/>
      </c>
      <c r="Q2729" s="33" t="str">
        <f aca="false">IF(F2729="","",F2729*L2729)</f>
        <v/>
      </c>
      <c r="R2729" s="33" t="str">
        <f aca="false">IF(F2729="","",IF(H2729="",F2729,0))</f>
        <v/>
      </c>
      <c r="S2729" s="32" t="str">
        <f aca="false">IF(F2729="","",IF(N(O2729)=0,"",IF(O2729&lt;=30,"1-30",IF(O2729&lt;=60,"31-60",IF(O2729&lt;=90,"61-90","90+")))))</f>
        <v/>
      </c>
      <c r="T2729" s="32" t="str">
        <f aca="false">IF(F2729="","",IF(E2729="","Diğer",E2729))</f>
        <v/>
      </c>
      <c r="U2729" s="32" t="str">
        <f aca="false">IF(OR(F2729="",C2729=""),"",IF(COUNTIF($C$2:C2729,C2729)=1,MAX($U$1:U2728)+1,""))</f>
        <v/>
      </c>
    </row>
    <row r="2730" customFormat="false" ht="15" hidden="false" customHeight="false" outlineLevel="0" collapsed="false">
      <c r="A2730" s="34"/>
      <c r="B2730" s="9"/>
      <c r="C2730" s="34"/>
      <c r="D2730" s="34"/>
      <c r="E2730" s="34"/>
      <c r="F2730" s="35"/>
      <c r="G2730" s="9"/>
      <c r="H2730" s="9"/>
      <c r="I2730" s="34"/>
      <c r="J2730" s="30" t="str">
        <f aca="false">IF(F2730="","",G2730-B2730)</f>
        <v/>
      </c>
      <c r="K2730" s="31" t="str">
        <f aca="false">IF(F2730="","",IF(H2730&lt;&gt;"",H2730,MAX('Vade Sapması'!$D$3,G2730)))</f>
        <v/>
      </c>
      <c r="L2730" s="30" t="str">
        <f aca="false">IF(F2730="","",K2730-B2730)</f>
        <v/>
      </c>
      <c r="M2730" s="30" t="str">
        <f aca="false">IF(F2730="","",L2730-J2730)</f>
        <v/>
      </c>
      <c r="N2730" s="32" t="str">
        <f aca="false">IF(F2730="","",IF(H2730&lt;&gt;"","Kapandı",IF('Vade Sapması'!$D$3&gt;G2730,"Açık · vadesi geçti","Açık · vadesi gelmedi")))</f>
        <v/>
      </c>
      <c r="O2730" s="30" t="str">
        <f aca="false">IF(F2730="","",IF(AND(H2730="",'Vade Sapması'!$D$3&gt;G2730),'Vade Sapması'!$D$3-G2730,0))</f>
        <v/>
      </c>
      <c r="P2730" s="33" t="str">
        <f aca="false">IF(F2730="","",F2730*J2730)</f>
        <v/>
      </c>
      <c r="Q2730" s="33" t="str">
        <f aca="false">IF(F2730="","",F2730*L2730)</f>
        <v/>
      </c>
      <c r="R2730" s="33" t="str">
        <f aca="false">IF(F2730="","",IF(H2730="",F2730,0))</f>
        <v/>
      </c>
      <c r="S2730" s="32" t="str">
        <f aca="false">IF(F2730="","",IF(N(O2730)=0,"",IF(O2730&lt;=30,"1-30",IF(O2730&lt;=60,"31-60",IF(O2730&lt;=90,"61-90","90+")))))</f>
        <v/>
      </c>
      <c r="T2730" s="32" t="str">
        <f aca="false">IF(F2730="","",IF(E2730="","Diğer",E2730))</f>
        <v/>
      </c>
      <c r="U2730" s="32" t="str">
        <f aca="false">IF(OR(F2730="",C2730=""),"",IF(COUNTIF($C$2:C2730,C2730)=1,MAX($U$1:U2729)+1,""))</f>
        <v/>
      </c>
    </row>
    <row r="2731" customFormat="false" ht="15" hidden="false" customHeight="false" outlineLevel="0" collapsed="false">
      <c r="A2731" s="34"/>
      <c r="B2731" s="9"/>
      <c r="C2731" s="34"/>
      <c r="D2731" s="34"/>
      <c r="E2731" s="34"/>
      <c r="F2731" s="35"/>
      <c r="G2731" s="9"/>
      <c r="H2731" s="9"/>
      <c r="I2731" s="34"/>
      <c r="J2731" s="30" t="str">
        <f aca="false">IF(F2731="","",G2731-B2731)</f>
        <v/>
      </c>
      <c r="K2731" s="31" t="str">
        <f aca="false">IF(F2731="","",IF(H2731&lt;&gt;"",H2731,MAX('Vade Sapması'!$D$3,G2731)))</f>
        <v/>
      </c>
      <c r="L2731" s="30" t="str">
        <f aca="false">IF(F2731="","",K2731-B2731)</f>
        <v/>
      </c>
      <c r="M2731" s="30" t="str">
        <f aca="false">IF(F2731="","",L2731-J2731)</f>
        <v/>
      </c>
      <c r="N2731" s="32" t="str">
        <f aca="false">IF(F2731="","",IF(H2731&lt;&gt;"","Kapandı",IF('Vade Sapması'!$D$3&gt;G2731,"Açık · vadesi geçti","Açık · vadesi gelmedi")))</f>
        <v/>
      </c>
      <c r="O2731" s="30" t="str">
        <f aca="false">IF(F2731="","",IF(AND(H2731="",'Vade Sapması'!$D$3&gt;G2731),'Vade Sapması'!$D$3-G2731,0))</f>
        <v/>
      </c>
      <c r="P2731" s="33" t="str">
        <f aca="false">IF(F2731="","",F2731*J2731)</f>
        <v/>
      </c>
      <c r="Q2731" s="33" t="str">
        <f aca="false">IF(F2731="","",F2731*L2731)</f>
        <v/>
      </c>
      <c r="R2731" s="33" t="str">
        <f aca="false">IF(F2731="","",IF(H2731="",F2731,0))</f>
        <v/>
      </c>
      <c r="S2731" s="32" t="str">
        <f aca="false">IF(F2731="","",IF(N(O2731)=0,"",IF(O2731&lt;=30,"1-30",IF(O2731&lt;=60,"31-60",IF(O2731&lt;=90,"61-90","90+")))))</f>
        <v/>
      </c>
      <c r="T2731" s="32" t="str">
        <f aca="false">IF(F2731="","",IF(E2731="","Diğer",E2731))</f>
        <v/>
      </c>
      <c r="U2731" s="32" t="str">
        <f aca="false">IF(OR(F2731="",C2731=""),"",IF(COUNTIF($C$2:C2731,C2731)=1,MAX($U$1:U2730)+1,""))</f>
        <v/>
      </c>
    </row>
    <row r="2732" customFormat="false" ht="15" hidden="false" customHeight="false" outlineLevel="0" collapsed="false">
      <c r="A2732" s="34"/>
      <c r="B2732" s="9"/>
      <c r="C2732" s="34"/>
      <c r="D2732" s="34"/>
      <c r="E2732" s="34"/>
      <c r="F2732" s="35"/>
      <c r="G2732" s="9"/>
      <c r="H2732" s="9"/>
      <c r="I2732" s="34"/>
      <c r="J2732" s="30" t="str">
        <f aca="false">IF(F2732="","",G2732-B2732)</f>
        <v/>
      </c>
      <c r="K2732" s="31" t="str">
        <f aca="false">IF(F2732="","",IF(H2732&lt;&gt;"",H2732,MAX('Vade Sapması'!$D$3,G2732)))</f>
        <v/>
      </c>
      <c r="L2732" s="30" t="str">
        <f aca="false">IF(F2732="","",K2732-B2732)</f>
        <v/>
      </c>
      <c r="M2732" s="30" t="str">
        <f aca="false">IF(F2732="","",L2732-J2732)</f>
        <v/>
      </c>
      <c r="N2732" s="32" t="str">
        <f aca="false">IF(F2732="","",IF(H2732&lt;&gt;"","Kapandı",IF('Vade Sapması'!$D$3&gt;G2732,"Açık · vadesi geçti","Açık · vadesi gelmedi")))</f>
        <v/>
      </c>
      <c r="O2732" s="30" t="str">
        <f aca="false">IF(F2732="","",IF(AND(H2732="",'Vade Sapması'!$D$3&gt;G2732),'Vade Sapması'!$D$3-G2732,0))</f>
        <v/>
      </c>
      <c r="P2732" s="33" t="str">
        <f aca="false">IF(F2732="","",F2732*J2732)</f>
        <v/>
      </c>
      <c r="Q2732" s="33" t="str">
        <f aca="false">IF(F2732="","",F2732*L2732)</f>
        <v/>
      </c>
      <c r="R2732" s="33" t="str">
        <f aca="false">IF(F2732="","",IF(H2732="",F2732,0))</f>
        <v/>
      </c>
      <c r="S2732" s="32" t="str">
        <f aca="false">IF(F2732="","",IF(N(O2732)=0,"",IF(O2732&lt;=30,"1-30",IF(O2732&lt;=60,"31-60",IF(O2732&lt;=90,"61-90","90+")))))</f>
        <v/>
      </c>
      <c r="T2732" s="32" t="str">
        <f aca="false">IF(F2732="","",IF(E2732="","Diğer",E2732))</f>
        <v/>
      </c>
      <c r="U2732" s="32" t="str">
        <f aca="false">IF(OR(F2732="",C2732=""),"",IF(COUNTIF($C$2:C2732,C2732)=1,MAX($U$1:U2731)+1,""))</f>
        <v/>
      </c>
    </row>
    <row r="2733" customFormat="false" ht="15" hidden="false" customHeight="false" outlineLevel="0" collapsed="false">
      <c r="A2733" s="34"/>
      <c r="B2733" s="9"/>
      <c r="C2733" s="34"/>
      <c r="D2733" s="34"/>
      <c r="E2733" s="34"/>
      <c r="F2733" s="35"/>
      <c r="G2733" s="9"/>
      <c r="H2733" s="9"/>
      <c r="I2733" s="34"/>
      <c r="J2733" s="30" t="str">
        <f aca="false">IF(F2733="","",G2733-B2733)</f>
        <v/>
      </c>
      <c r="K2733" s="31" t="str">
        <f aca="false">IF(F2733="","",IF(H2733&lt;&gt;"",H2733,MAX('Vade Sapması'!$D$3,G2733)))</f>
        <v/>
      </c>
      <c r="L2733" s="30" t="str">
        <f aca="false">IF(F2733="","",K2733-B2733)</f>
        <v/>
      </c>
      <c r="M2733" s="30" t="str">
        <f aca="false">IF(F2733="","",L2733-J2733)</f>
        <v/>
      </c>
      <c r="N2733" s="32" t="str">
        <f aca="false">IF(F2733="","",IF(H2733&lt;&gt;"","Kapandı",IF('Vade Sapması'!$D$3&gt;G2733,"Açık · vadesi geçti","Açık · vadesi gelmedi")))</f>
        <v/>
      </c>
      <c r="O2733" s="30" t="str">
        <f aca="false">IF(F2733="","",IF(AND(H2733="",'Vade Sapması'!$D$3&gt;G2733),'Vade Sapması'!$D$3-G2733,0))</f>
        <v/>
      </c>
      <c r="P2733" s="33" t="str">
        <f aca="false">IF(F2733="","",F2733*J2733)</f>
        <v/>
      </c>
      <c r="Q2733" s="33" t="str">
        <f aca="false">IF(F2733="","",F2733*L2733)</f>
        <v/>
      </c>
      <c r="R2733" s="33" t="str">
        <f aca="false">IF(F2733="","",IF(H2733="",F2733,0))</f>
        <v/>
      </c>
      <c r="S2733" s="32" t="str">
        <f aca="false">IF(F2733="","",IF(N(O2733)=0,"",IF(O2733&lt;=30,"1-30",IF(O2733&lt;=60,"31-60",IF(O2733&lt;=90,"61-90","90+")))))</f>
        <v/>
      </c>
      <c r="T2733" s="32" t="str">
        <f aca="false">IF(F2733="","",IF(E2733="","Diğer",E2733))</f>
        <v/>
      </c>
      <c r="U2733" s="32" t="str">
        <f aca="false">IF(OR(F2733="",C2733=""),"",IF(COUNTIF($C$2:C2733,C2733)=1,MAX($U$1:U2732)+1,""))</f>
        <v/>
      </c>
    </row>
    <row r="2734" customFormat="false" ht="15" hidden="false" customHeight="false" outlineLevel="0" collapsed="false">
      <c r="A2734" s="34"/>
      <c r="B2734" s="9"/>
      <c r="C2734" s="34"/>
      <c r="D2734" s="34"/>
      <c r="E2734" s="34"/>
      <c r="F2734" s="35"/>
      <c r="G2734" s="9"/>
      <c r="H2734" s="9"/>
      <c r="I2734" s="34"/>
      <c r="J2734" s="30" t="str">
        <f aca="false">IF(F2734="","",G2734-B2734)</f>
        <v/>
      </c>
      <c r="K2734" s="31" t="str">
        <f aca="false">IF(F2734="","",IF(H2734&lt;&gt;"",H2734,MAX('Vade Sapması'!$D$3,G2734)))</f>
        <v/>
      </c>
      <c r="L2734" s="30" t="str">
        <f aca="false">IF(F2734="","",K2734-B2734)</f>
        <v/>
      </c>
      <c r="M2734" s="30" t="str">
        <f aca="false">IF(F2734="","",L2734-J2734)</f>
        <v/>
      </c>
      <c r="N2734" s="32" t="str">
        <f aca="false">IF(F2734="","",IF(H2734&lt;&gt;"","Kapandı",IF('Vade Sapması'!$D$3&gt;G2734,"Açık · vadesi geçti","Açık · vadesi gelmedi")))</f>
        <v/>
      </c>
      <c r="O2734" s="30" t="str">
        <f aca="false">IF(F2734="","",IF(AND(H2734="",'Vade Sapması'!$D$3&gt;G2734),'Vade Sapması'!$D$3-G2734,0))</f>
        <v/>
      </c>
      <c r="P2734" s="33" t="str">
        <f aca="false">IF(F2734="","",F2734*J2734)</f>
        <v/>
      </c>
      <c r="Q2734" s="33" t="str">
        <f aca="false">IF(F2734="","",F2734*L2734)</f>
        <v/>
      </c>
      <c r="R2734" s="33" t="str">
        <f aca="false">IF(F2734="","",IF(H2734="",F2734,0))</f>
        <v/>
      </c>
      <c r="S2734" s="32" t="str">
        <f aca="false">IF(F2734="","",IF(N(O2734)=0,"",IF(O2734&lt;=30,"1-30",IF(O2734&lt;=60,"31-60",IF(O2734&lt;=90,"61-90","90+")))))</f>
        <v/>
      </c>
      <c r="T2734" s="32" t="str">
        <f aca="false">IF(F2734="","",IF(E2734="","Diğer",E2734))</f>
        <v/>
      </c>
      <c r="U2734" s="32" t="str">
        <f aca="false">IF(OR(F2734="",C2734=""),"",IF(COUNTIF($C$2:C2734,C2734)=1,MAX($U$1:U2733)+1,""))</f>
        <v/>
      </c>
    </row>
    <row r="2735" customFormat="false" ht="15" hidden="false" customHeight="false" outlineLevel="0" collapsed="false">
      <c r="A2735" s="34"/>
      <c r="B2735" s="9"/>
      <c r="C2735" s="34"/>
      <c r="D2735" s="34"/>
      <c r="E2735" s="34"/>
      <c r="F2735" s="35"/>
      <c r="G2735" s="9"/>
      <c r="H2735" s="9"/>
      <c r="I2735" s="34"/>
      <c r="J2735" s="30" t="str">
        <f aca="false">IF(F2735="","",G2735-B2735)</f>
        <v/>
      </c>
      <c r="K2735" s="31" t="str">
        <f aca="false">IF(F2735="","",IF(H2735&lt;&gt;"",H2735,MAX('Vade Sapması'!$D$3,G2735)))</f>
        <v/>
      </c>
      <c r="L2735" s="30" t="str">
        <f aca="false">IF(F2735="","",K2735-B2735)</f>
        <v/>
      </c>
      <c r="M2735" s="30" t="str">
        <f aca="false">IF(F2735="","",L2735-J2735)</f>
        <v/>
      </c>
      <c r="N2735" s="32" t="str">
        <f aca="false">IF(F2735="","",IF(H2735&lt;&gt;"","Kapandı",IF('Vade Sapması'!$D$3&gt;G2735,"Açık · vadesi geçti","Açık · vadesi gelmedi")))</f>
        <v/>
      </c>
      <c r="O2735" s="30" t="str">
        <f aca="false">IF(F2735="","",IF(AND(H2735="",'Vade Sapması'!$D$3&gt;G2735),'Vade Sapması'!$D$3-G2735,0))</f>
        <v/>
      </c>
      <c r="P2735" s="33" t="str">
        <f aca="false">IF(F2735="","",F2735*J2735)</f>
        <v/>
      </c>
      <c r="Q2735" s="33" t="str">
        <f aca="false">IF(F2735="","",F2735*L2735)</f>
        <v/>
      </c>
      <c r="R2735" s="33" t="str">
        <f aca="false">IF(F2735="","",IF(H2735="",F2735,0))</f>
        <v/>
      </c>
      <c r="S2735" s="32" t="str">
        <f aca="false">IF(F2735="","",IF(N(O2735)=0,"",IF(O2735&lt;=30,"1-30",IF(O2735&lt;=60,"31-60",IF(O2735&lt;=90,"61-90","90+")))))</f>
        <v/>
      </c>
      <c r="T2735" s="32" t="str">
        <f aca="false">IF(F2735="","",IF(E2735="","Diğer",E2735))</f>
        <v/>
      </c>
      <c r="U2735" s="32" t="str">
        <f aca="false">IF(OR(F2735="",C2735=""),"",IF(COUNTIF($C$2:C2735,C2735)=1,MAX($U$1:U2734)+1,""))</f>
        <v/>
      </c>
    </row>
    <row r="2736" customFormat="false" ht="15" hidden="false" customHeight="false" outlineLevel="0" collapsed="false">
      <c r="A2736" s="34"/>
      <c r="B2736" s="9"/>
      <c r="C2736" s="34"/>
      <c r="D2736" s="34"/>
      <c r="E2736" s="34"/>
      <c r="F2736" s="35"/>
      <c r="G2736" s="9"/>
      <c r="H2736" s="9"/>
      <c r="I2736" s="34"/>
      <c r="J2736" s="30" t="str">
        <f aca="false">IF(F2736="","",G2736-B2736)</f>
        <v/>
      </c>
      <c r="K2736" s="31" t="str">
        <f aca="false">IF(F2736="","",IF(H2736&lt;&gt;"",H2736,MAX('Vade Sapması'!$D$3,G2736)))</f>
        <v/>
      </c>
      <c r="L2736" s="30" t="str">
        <f aca="false">IF(F2736="","",K2736-B2736)</f>
        <v/>
      </c>
      <c r="M2736" s="30" t="str">
        <f aca="false">IF(F2736="","",L2736-J2736)</f>
        <v/>
      </c>
      <c r="N2736" s="32" t="str">
        <f aca="false">IF(F2736="","",IF(H2736&lt;&gt;"","Kapandı",IF('Vade Sapması'!$D$3&gt;G2736,"Açık · vadesi geçti","Açık · vadesi gelmedi")))</f>
        <v/>
      </c>
      <c r="O2736" s="30" t="str">
        <f aca="false">IF(F2736="","",IF(AND(H2736="",'Vade Sapması'!$D$3&gt;G2736),'Vade Sapması'!$D$3-G2736,0))</f>
        <v/>
      </c>
      <c r="P2736" s="33" t="str">
        <f aca="false">IF(F2736="","",F2736*J2736)</f>
        <v/>
      </c>
      <c r="Q2736" s="33" t="str">
        <f aca="false">IF(F2736="","",F2736*L2736)</f>
        <v/>
      </c>
      <c r="R2736" s="33" t="str">
        <f aca="false">IF(F2736="","",IF(H2736="",F2736,0))</f>
        <v/>
      </c>
      <c r="S2736" s="32" t="str">
        <f aca="false">IF(F2736="","",IF(N(O2736)=0,"",IF(O2736&lt;=30,"1-30",IF(O2736&lt;=60,"31-60",IF(O2736&lt;=90,"61-90","90+")))))</f>
        <v/>
      </c>
      <c r="T2736" s="32" t="str">
        <f aca="false">IF(F2736="","",IF(E2736="","Diğer",E2736))</f>
        <v/>
      </c>
      <c r="U2736" s="32" t="str">
        <f aca="false">IF(OR(F2736="",C2736=""),"",IF(COUNTIF($C$2:C2736,C2736)=1,MAX($U$1:U2735)+1,""))</f>
        <v/>
      </c>
    </row>
    <row r="2737" customFormat="false" ht="15" hidden="false" customHeight="false" outlineLevel="0" collapsed="false">
      <c r="A2737" s="34"/>
      <c r="B2737" s="9"/>
      <c r="C2737" s="34"/>
      <c r="D2737" s="34"/>
      <c r="E2737" s="34"/>
      <c r="F2737" s="35"/>
      <c r="G2737" s="9"/>
      <c r="H2737" s="9"/>
      <c r="I2737" s="34"/>
      <c r="J2737" s="30" t="str">
        <f aca="false">IF(F2737="","",G2737-B2737)</f>
        <v/>
      </c>
      <c r="K2737" s="31" t="str">
        <f aca="false">IF(F2737="","",IF(H2737&lt;&gt;"",H2737,MAX('Vade Sapması'!$D$3,G2737)))</f>
        <v/>
      </c>
      <c r="L2737" s="30" t="str">
        <f aca="false">IF(F2737="","",K2737-B2737)</f>
        <v/>
      </c>
      <c r="M2737" s="30" t="str">
        <f aca="false">IF(F2737="","",L2737-J2737)</f>
        <v/>
      </c>
      <c r="N2737" s="32" t="str">
        <f aca="false">IF(F2737="","",IF(H2737&lt;&gt;"","Kapandı",IF('Vade Sapması'!$D$3&gt;G2737,"Açık · vadesi geçti","Açık · vadesi gelmedi")))</f>
        <v/>
      </c>
      <c r="O2737" s="30" t="str">
        <f aca="false">IF(F2737="","",IF(AND(H2737="",'Vade Sapması'!$D$3&gt;G2737),'Vade Sapması'!$D$3-G2737,0))</f>
        <v/>
      </c>
      <c r="P2737" s="33" t="str">
        <f aca="false">IF(F2737="","",F2737*J2737)</f>
        <v/>
      </c>
      <c r="Q2737" s="33" t="str">
        <f aca="false">IF(F2737="","",F2737*L2737)</f>
        <v/>
      </c>
      <c r="R2737" s="33" t="str">
        <f aca="false">IF(F2737="","",IF(H2737="",F2737,0))</f>
        <v/>
      </c>
      <c r="S2737" s="32" t="str">
        <f aca="false">IF(F2737="","",IF(N(O2737)=0,"",IF(O2737&lt;=30,"1-30",IF(O2737&lt;=60,"31-60",IF(O2737&lt;=90,"61-90","90+")))))</f>
        <v/>
      </c>
      <c r="T2737" s="32" t="str">
        <f aca="false">IF(F2737="","",IF(E2737="","Diğer",E2737))</f>
        <v/>
      </c>
      <c r="U2737" s="32" t="str">
        <f aca="false">IF(OR(F2737="",C2737=""),"",IF(COUNTIF($C$2:C2737,C2737)=1,MAX($U$1:U2736)+1,""))</f>
        <v/>
      </c>
    </row>
    <row r="2738" customFormat="false" ht="15" hidden="false" customHeight="false" outlineLevel="0" collapsed="false">
      <c r="A2738" s="34"/>
      <c r="B2738" s="9"/>
      <c r="C2738" s="34"/>
      <c r="D2738" s="34"/>
      <c r="E2738" s="34"/>
      <c r="F2738" s="35"/>
      <c r="G2738" s="9"/>
      <c r="H2738" s="9"/>
      <c r="I2738" s="34"/>
      <c r="J2738" s="30" t="str">
        <f aca="false">IF(F2738="","",G2738-B2738)</f>
        <v/>
      </c>
      <c r="K2738" s="31" t="str">
        <f aca="false">IF(F2738="","",IF(H2738&lt;&gt;"",H2738,MAX('Vade Sapması'!$D$3,G2738)))</f>
        <v/>
      </c>
      <c r="L2738" s="30" t="str">
        <f aca="false">IF(F2738="","",K2738-B2738)</f>
        <v/>
      </c>
      <c r="M2738" s="30" t="str">
        <f aca="false">IF(F2738="","",L2738-J2738)</f>
        <v/>
      </c>
      <c r="N2738" s="32" t="str">
        <f aca="false">IF(F2738="","",IF(H2738&lt;&gt;"","Kapandı",IF('Vade Sapması'!$D$3&gt;G2738,"Açık · vadesi geçti","Açık · vadesi gelmedi")))</f>
        <v/>
      </c>
      <c r="O2738" s="30" t="str">
        <f aca="false">IF(F2738="","",IF(AND(H2738="",'Vade Sapması'!$D$3&gt;G2738),'Vade Sapması'!$D$3-G2738,0))</f>
        <v/>
      </c>
      <c r="P2738" s="33" t="str">
        <f aca="false">IF(F2738="","",F2738*J2738)</f>
        <v/>
      </c>
      <c r="Q2738" s="33" t="str">
        <f aca="false">IF(F2738="","",F2738*L2738)</f>
        <v/>
      </c>
      <c r="R2738" s="33" t="str">
        <f aca="false">IF(F2738="","",IF(H2738="",F2738,0))</f>
        <v/>
      </c>
      <c r="S2738" s="32" t="str">
        <f aca="false">IF(F2738="","",IF(N(O2738)=0,"",IF(O2738&lt;=30,"1-30",IF(O2738&lt;=60,"31-60",IF(O2738&lt;=90,"61-90","90+")))))</f>
        <v/>
      </c>
      <c r="T2738" s="32" t="str">
        <f aca="false">IF(F2738="","",IF(E2738="","Diğer",E2738))</f>
        <v/>
      </c>
      <c r="U2738" s="32" t="str">
        <f aca="false">IF(OR(F2738="",C2738=""),"",IF(COUNTIF($C$2:C2738,C2738)=1,MAX($U$1:U2737)+1,""))</f>
        <v/>
      </c>
    </row>
    <row r="2739" customFormat="false" ht="15" hidden="false" customHeight="false" outlineLevel="0" collapsed="false">
      <c r="A2739" s="34"/>
      <c r="B2739" s="9"/>
      <c r="C2739" s="34"/>
      <c r="D2739" s="34"/>
      <c r="E2739" s="34"/>
      <c r="F2739" s="35"/>
      <c r="G2739" s="9"/>
      <c r="H2739" s="9"/>
      <c r="I2739" s="34"/>
      <c r="J2739" s="30" t="str">
        <f aca="false">IF(F2739="","",G2739-B2739)</f>
        <v/>
      </c>
      <c r="K2739" s="31" t="str">
        <f aca="false">IF(F2739="","",IF(H2739&lt;&gt;"",H2739,MAX('Vade Sapması'!$D$3,G2739)))</f>
        <v/>
      </c>
      <c r="L2739" s="30" t="str">
        <f aca="false">IF(F2739="","",K2739-B2739)</f>
        <v/>
      </c>
      <c r="M2739" s="30" t="str">
        <f aca="false">IF(F2739="","",L2739-J2739)</f>
        <v/>
      </c>
      <c r="N2739" s="32" t="str">
        <f aca="false">IF(F2739="","",IF(H2739&lt;&gt;"","Kapandı",IF('Vade Sapması'!$D$3&gt;G2739,"Açık · vadesi geçti","Açık · vadesi gelmedi")))</f>
        <v/>
      </c>
      <c r="O2739" s="30" t="str">
        <f aca="false">IF(F2739="","",IF(AND(H2739="",'Vade Sapması'!$D$3&gt;G2739),'Vade Sapması'!$D$3-G2739,0))</f>
        <v/>
      </c>
      <c r="P2739" s="33" t="str">
        <f aca="false">IF(F2739="","",F2739*J2739)</f>
        <v/>
      </c>
      <c r="Q2739" s="33" t="str">
        <f aca="false">IF(F2739="","",F2739*L2739)</f>
        <v/>
      </c>
      <c r="R2739" s="33" t="str">
        <f aca="false">IF(F2739="","",IF(H2739="",F2739,0))</f>
        <v/>
      </c>
      <c r="S2739" s="32" t="str">
        <f aca="false">IF(F2739="","",IF(N(O2739)=0,"",IF(O2739&lt;=30,"1-30",IF(O2739&lt;=60,"31-60",IF(O2739&lt;=90,"61-90","90+")))))</f>
        <v/>
      </c>
      <c r="T2739" s="32" t="str">
        <f aca="false">IF(F2739="","",IF(E2739="","Diğer",E2739))</f>
        <v/>
      </c>
      <c r="U2739" s="32" t="str">
        <f aca="false">IF(OR(F2739="",C2739=""),"",IF(COUNTIF($C$2:C2739,C2739)=1,MAX($U$1:U2738)+1,""))</f>
        <v/>
      </c>
    </row>
    <row r="2740" customFormat="false" ht="15" hidden="false" customHeight="false" outlineLevel="0" collapsed="false">
      <c r="A2740" s="34"/>
      <c r="B2740" s="9"/>
      <c r="C2740" s="34"/>
      <c r="D2740" s="34"/>
      <c r="E2740" s="34"/>
      <c r="F2740" s="35"/>
      <c r="G2740" s="9"/>
      <c r="H2740" s="9"/>
      <c r="I2740" s="34"/>
      <c r="J2740" s="30" t="str">
        <f aca="false">IF(F2740="","",G2740-B2740)</f>
        <v/>
      </c>
      <c r="K2740" s="31" t="str">
        <f aca="false">IF(F2740="","",IF(H2740&lt;&gt;"",H2740,MAX('Vade Sapması'!$D$3,G2740)))</f>
        <v/>
      </c>
      <c r="L2740" s="30" t="str">
        <f aca="false">IF(F2740="","",K2740-B2740)</f>
        <v/>
      </c>
      <c r="M2740" s="30" t="str">
        <f aca="false">IF(F2740="","",L2740-J2740)</f>
        <v/>
      </c>
      <c r="N2740" s="32" t="str">
        <f aca="false">IF(F2740="","",IF(H2740&lt;&gt;"","Kapandı",IF('Vade Sapması'!$D$3&gt;G2740,"Açık · vadesi geçti","Açık · vadesi gelmedi")))</f>
        <v/>
      </c>
      <c r="O2740" s="30" t="str">
        <f aca="false">IF(F2740="","",IF(AND(H2740="",'Vade Sapması'!$D$3&gt;G2740),'Vade Sapması'!$D$3-G2740,0))</f>
        <v/>
      </c>
      <c r="P2740" s="33" t="str">
        <f aca="false">IF(F2740="","",F2740*J2740)</f>
        <v/>
      </c>
      <c r="Q2740" s="33" t="str">
        <f aca="false">IF(F2740="","",F2740*L2740)</f>
        <v/>
      </c>
      <c r="R2740" s="33" t="str">
        <f aca="false">IF(F2740="","",IF(H2740="",F2740,0))</f>
        <v/>
      </c>
      <c r="S2740" s="32" t="str">
        <f aca="false">IF(F2740="","",IF(N(O2740)=0,"",IF(O2740&lt;=30,"1-30",IF(O2740&lt;=60,"31-60",IF(O2740&lt;=90,"61-90","90+")))))</f>
        <v/>
      </c>
      <c r="T2740" s="32" t="str">
        <f aca="false">IF(F2740="","",IF(E2740="","Diğer",E2740))</f>
        <v/>
      </c>
      <c r="U2740" s="32" t="str">
        <f aca="false">IF(OR(F2740="",C2740=""),"",IF(COUNTIF($C$2:C2740,C2740)=1,MAX($U$1:U2739)+1,""))</f>
        <v/>
      </c>
    </row>
    <row r="2741" customFormat="false" ht="15" hidden="false" customHeight="false" outlineLevel="0" collapsed="false">
      <c r="A2741" s="34"/>
      <c r="B2741" s="9"/>
      <c r="C2741" s="34"/>
      <c r="D2741" s="34"/>
      <c r="E2741" s="34"/>
      <c r="F2741" s="35"/>
      <c r="G2741" s="9"/>
      <c r="H2741" s="9"/>
      <c r="I2741" s="34"/>
      <c r="J2741" s="30" t="str">
        <f aca="false">IF(F2741="","",G2741-B2741)</f>
        <v/>
      </c>
      <c r="K2741" s="31" t="str">
        <f aca="false">IF(F2741="","",IF(H2741&lt;&gt;"",H2741,MAX('Vade Sapması'!$D$3,G2741)))</f>
        <v/>
      </c>
      <c r="L2741" s="30" t="str">
        <f aca="false">IF(F2741="","",K2741-B2741)</f>
        <v/>
      </c>
      <c r="M2741" s="30" t="str">
        <f aca="false">IF(F2741="","",L2741-J2741)</f>
        <v/>
      </c>
      <c r="N2741" s="32" t="str">
        <f aca="false">IF(F2741="","",IF(H2741&lt;&gt;"","Kapandı",IF('Vade Sapması'!$D$3&gt;G2741,"Açık · vadesi geçti","Açık · vadesi gelmedi")))</f>
        <v/>
      </c>
      <c r="O2741" s="30" t="str">
        <f aca="false">IF(F2741="","",IF(AND(H2741="",'Vade Sapması'!$D$3&gt;G2741),'Vade Sapması'!$D$3-G2741,0))</f>
        <v/>
      </c>
      <c r="P2741" s="33" t="str">
        <f aca="false">IF(F2741="","",F2741*J2741)</f>
        <v/>
      </c>
      <c r="Q2741" s="33" t="str">
        <f aca="false">IF(F2741="","",F2741*L2741)</f>
        <v/>
      </c>
      <c r="R2741" s="33" t="str">
        <f aca="false">IF(F2741="","",IF(H2741="",F2741,0))</f>
        <v/>
      </c>
      <c r="S2741" s="32" t="str">
        <f aca="false">IF(F2741="","",IF(N(O2741)=0,"",IF(O2741&lt;=30,"1-30",IF(O2741&lt;=60,"31-60",IF(O2741&lt;=90,"61-90","90+")))))</f>
        <v/>
      </c>
      <c r="T2741" s="32" t="str">
        <f aca="false">IF(F2741="","",IF(E2741="","Diğer",E2741))</f>
        <v/>
      </c>
      <c r="U2741" s="32" t="str">
        <f aca="false">IF(OR(F2741="",C2741=""),"",IF(COUNTIF($C$2:C2741,C2741)=1,MAX($U$1:U2740)+1,""))</f>
        <v/>
      </c>
    </row>
    <row r="2742" customFormat="false" ht="15" hidden="false" customHeight="false" outlineLevel="0" collapsed="false">
      <c r="A2742" s="34"/>
      <c r="B2742" s="9"/>
      <c r="C2742" s="34"/>
      <c r="D2742" s="34"/>
      <c r="E2742" s="34"/>
      <c r="F2742" s="35"/>
      <c r="G2742" s="9"/>
      <c r="H2742" s="9"/>
      <c r="I2742" s="34"/>
      <c r="J2742" s="30" t="str">
        <f aca="false">IF(F2742="","",G2742-B2742)</f>
        <v/>
      </c>
      <c r="K2742" s="31" t="str">
        <f aca="false">IF(F2742="","",IF(H2742&lt;&gt;"",H2742,MAX('Vade Sapması'!$D$3,G2742)))</f>
        <v/>
      </c>
      <c r="L2742" s="30" t="str">
        <f aca="false">IF(F2742="","",K2742-B2742)</f>
        <v/>
      </c>
      <c r="M2742" s="30" t="str">
        <f aca="false">IF(F2742="","",L2742-J2742)</f>
        <v/>
      </c>
      <c r="N2742" s="32" t="str">
        <f aca="false">IF(F2742="","",IF(H2742&lt;&gt;"","Kapandı",IF('Vade Sapması'!$D$3&gt;G2742,"Açık · vadesi geçti","Açık · vadesi gelmedi")))</f>
        <v/>
      </c>
      <c r="O2742" s="30" t="str">
        <f aca="false">IF(F2742="","",IF(AND(H2742="",'Vade Sapması'!$D$3&gt;G2742),'Vade Sapması'!$D$3-G2742,0))</f>
        <v/>
      </c>
      <c r="P2742" s="33" t="str">
        <f aca="false">IF(F2742="","",F2742*J2742)</f>
        <v/>
      </c>
      <c r="Q2742" s="33" t="str">
        <f aca="false">IF(F2742="","",F2742*L2742)</f>
        <v/>
      </c>
      <c r="R2742" s="33" t="str">
        <f aca="false">IF(F2742="","",IF(H2742="",F2742,0))</f>
        <v/>
      </c>
      <c r="S2742" s="32" t="str">
        <f aca="false">IF(F2742="","",IF(N(O2742)=0,"",IF(O2742&lt;=30,"1-30",IF(O2742&lt;=60,"31-60",IF(O2742&lt;=90,"61-90","90+")))))</f>
        <v/>
      </c>
      <c r="T2742" s="32" t="str">
        <f aca="false">IF(F2742="","",IF(E2742="","Diğer",E2742))</f>
        <v/>
      </c>
      <c r="U2742" s="32" t="str">
        <f aca="false">IF(OR(F2742="",C2742=""),"",IF(COUNTIF($C$2:C2742,C2742)=1,MAX($U$1:U2741)+1,""))</f>
        <v/>
      </c>
    </row>
    <row r="2743" customFormat="false" ht="15" hidden="false" customHeight="false" outlineLevel="0" collapsed="false">
      <c r="A2743" s="34"/>
      <c r="B2743" s="9"/>
      <c r="C2743" s="34"/>
      <c r="D2743" s="34"/>
      <c r="E2743" s="34"/>
      <c r="F2743" s="35"/>
      <c r="G2743" s="9"/>
      <c r="H2743" s="9"/>
      <c r="I2743" s="34"/>
      <c r="J2743" s="30" t="str">
        <f aca="false">IF(F2743="","",G2743-B2743)</f>
        <v/>
      </c>
      <c r="K2743" s="31" t="str">
        <f aca="false">IF(F2743="","",IF(H2743&lt;&gt;"",H2743,MAX('Vade Sapması'!$D$3,G2743)))</f>
        <v/>
      </c>
      <c r="L2743" s="30" t="str">
        <f aca="false">IF(F2743="","",K2743-B2743)</f>
        <v/>
      </c>
      <c r="M2743" s="30" t="str">
        <f aca="false">IF(F2743="","",L2743-J2743)</f>
        <v/>
      </c>
      <c r="N2743" s="32" t="str">
        <f aca="false">IF(F2743="","",IF(H2743&lt;&gt;"","Kapandı",IF('Vade Sapması'!$D$3&gt;G2743,"Açık · vadesi geçti","Açık · vadesi gelmedi")))</f>
        <v/>
      </c>
      <c r="O2743" s="30" t="str">
        <f aca="false">IF(F2743="","",IF(AND(H2743="",'Vade Sapması'!$D$3&gt;G2743),'Vade Sapması'!$D$3-G2743,0))</f>
        <v/>
      </c>
      <c r="P2743" s="33" t="str">
        <f aca="false">IF(F2743="","",F2743*J2743)</f>
        <v/>
      </c>
      <c r="Q2743" s="33" t="str">
        <f aca="false">IF(F2743="","",F2743*L2743)</f>
        <v/>
      </c>
      <c r="R2743" s="33" t="str">
        <f aca="false">IF(F2743="","",IF(H2743="",F2743,0))</f>
        <v/>
      </c>
      <c r="S2743" s="32" t="str">
        <f aca="false">IF(F2743="","",IF(N(O2743)=0,"",IF(O2743&lt;=30,"1-30",IF(O2743&lt;=60,"31-60",IF(O2743&lt;=90,"61-90","90+")))))</f>
        <v/>
      </c>
      <c r="T2743" s="32" t="str">
        <f aca="false">IF(F2743="","",IF(E2743="","Diğer",E2743))</f>
        <v/>
      </c>
      <c r="U2743" s="32" t="str">
        <f aca="false">IF(OR(F2743="",C2743=""),"",IF(COUNTIF($C$2:C2743,C2743)=1,MAX($U$1:U2742)+1,""))</f>
        <v/>
      </c>
    </row>
    <row r="2744" customFormat="false" ht="15" hidden="false" customHeight="false" outlineLevel="0" collapsed="false">
      <c r="A2744" s="34"/>
      <c r="B2744" s="9"/>
      <c r="C2744" s="34"/>
      <c r="D2744" s="34"/>
      <c r="E2744" s="34"/>
      <c r="F2744" s="35"/>
      <c r="G2744" s="9"/>
      <c r="H2744" s="9"/>
      <c r="I2744" s="34"/>
      <c r="J2744" s="30" t="str">
        <f aca="false">IF(F2744="","",G2744-B2744)</f>
        <v/>
      </c>
      <c r="K2744" s="31" t="str">
        <f aca="false">IF(F2744="","",IF(H2744&lt;&gt;"",H2744,MAX('Vade Sapması'!$D$3,G2744)))</f>
        <v/>
      </c>
      <c r="L2744" s="30" t="str">
        <f aca="false">IF(F2744="","",K2744-B2744)</f>
        <v/>
      </c>
      <c r="M2744" s="30" t="str">
        <f aca="false">IF(F2744="","",L2744-J2744)</f>
        <v/>
      </c>
      <c r="N2744" s="32" t="str">
        <f aca="false">IF(F2744="","",IF(H2744&lt;&gt;"","Kapandı",IF('Vade Sapması'!$D$3&gt;G2744,"Açık · vadesi geçti","Açık · vadesi gelmedi")))</f>
        <v/>
      </c>
      <c r="O2744" s="30" t="str">
        <f aca="false">IF(F2744="","",IF(AND(H2744="",'Vade Sapması'!$D$3&gt;G2744),'Vade Sapması'!$D$3-G2744,0))</f>
        <v/>
      </c>
      <c r="P2744" s="33" t="str">
        <f aca="false">IF(F2744="","",F2744*J2744)</f>
        <v/>
      </c>
      <c r="Q2744" s="33" t="str">
        <f aca="false">IF(F2744="","",F2744*L2744)</f>
        <v/>
      </c>
      <c r="R2744" s="33" t="str">
        <f aca="false">IF(F2744="","",IF(H2744="",F2744,0))</f>
        <v/>
      </c>
      <c r="S2744" s="32" t="str">
        <f aca="false">IF(F2744="","",IF(N(O2744)=0,"",IF(O2744&lt;=30,"1-30",IF(O2744&lt;=60,"31-60",IF(O2744&lt;=90,"61-90","90+")))))</f>
        <v/>
      </c>
      <c r="T2744" s="32" t="str">
        <f aca="false">IF(F2744="","",IF(E2744="","Diğer",E2744))</f>
        <v/>
      </c>
      <c r="U2744" s="32" t="str">
        <f aca="false">IF(OR(F2744="",C2744=""),"",IF(COUNTIF($C$2:C2744,C2744)=1,MAX($U$1:U2743)+1,""))</f>
        <v/>
      </c>
    </row>
    <row r="2745" customFormat="false" ht="15" hidden="false" customHeight="false" outlineLevel="0" collapsed="false">
      <c r="A2745" s="34"/>
      <c r="B2745" s="9"/>
      <c r="C2745" s="34"/>
      <c r="D2745" s="34"/>
      <c r="E2745" s="34"/>
      <c r="F2745" s="35"/>
      <c r="G2745" s="9"/>
      <c r="H2745" s="9"/>
      <c r="I2745" s="34"/>
      <c r="J2745" s="30" t="str">
        <f aca="false">IF(F2745="","",G2745-B2745)</f>
        <v/>
      </c>
      <c r="K2745" s="31" t="str">
        <f aca="false">IF(F2745="","",IF(H2745&lt;&gt;"",H2745,MAX('Vade Sapması'!$D$3,G2745)))</f>
        <v/>
      </c>
      <c r="L2745" s="30" t="str">
        <f aca="false">IF(F2745="","",K2745-B2745)</f>
        <v/>
      </c>
      <c r="M2745" s="30" t="str">
        <f aca="false">IF(F2745="","",L2745-J2745)</f>
        <v/>
      </c>
      <c r="N2745" s="32" t="str">
        <f aca="false">IF(F2745="","",IF(H2745&lt;&gt;"","Kapandı",IF('Vade Sapması'!$D$3&gt;G2745,"Açık · vadesi geçti","Açık · vadesi gelmedi")))</f>
        <v/>
      </c>
      <c r="O2745" s="30" t="str">
        <f aca="false">IF(F2745="","",IF(AND(H2745="",'Vade Sapması'!$D$3&gt;G2745),'Vade Sapması'!$D$3-G2745,0))</f>
        <v/>
      </c>
      <c r="P2745" s="33" t="str">
        <f aca="false">IF(F2745="","",F2745*J2745)</f>
        <v/>
      </c>
      <c r="Q2745" s="33" t="str">
        <f aca="false">IF(F2745="","",F2745*L2745)</f>
        <v/>
      </c>
      <c r="R2745" s="33" t="str">
        <f aca="false">IF(F2745="","",IF(H2745="",F2745,0))</f>
        <v/>
      </c>
      <c r="S2745" s="32" t="str">
        <f aca="false">IF(F2745="","",IF(N(O2745)=0,"",IF(O2745&lt;=30,"1-30",IF(O2745&lt;=60,"31-60",IF(O2745&lt;=90,"61-90","90+")))))</f>
        <v/>
      </c>
      <c r="T2745" s="32" t="str">
        <f aca="false">IF(F2745="","",IF(E2745="","Diğer",E2745))</f>
        <v/>
      </c>
      <c r="U2745" s="32" t="str">
        <f aca="false">IF(OR(F2745="",C2745=""),"",IF(COUNTIF($C$2:C2745,C2745)=1,MAX($U$1:U2744)+1,""))</f>
        <v/>
      </c>
    </row>
    <row r="2746" customFormat="false" ht="15" hidden="false" customHeight="false" outlineLevel="0" collapsed="false">
      <c r="A2746" s="34"/>
      <c r="B2746" s="9"/>
      <c r="C2746" s="34"/>
      <c r="D2746" s="34"/>
      <c r="E2746" s="34"/>
      <c r="F2746" s="35"/>
      <c r="G2746" s="9"/>
      <c r="H2746" s="9"/>
      <c r="I2746" s="34"/>
      <c r="J2746" s="30" t="str">
        <f aca="false">IF(F2746="","",G2746-B2746)</f>
        <v/>
      </c>
      <c r="K2746" s="31" t="str">
        <f aca="false">IF(F2746="","",IF(H2746&lt;&gt;"",H2746,MAX('Vade Sapması'!$D$3,G2746)))</f>
        <v/>
      </c>
      <c r="L2746" s="30" t="str">
        <f aca="false">IF(F2746="","",K2746-B2746)</f>
        <v/>
      </c>
      <c r="M2746" s="30" t="str">
        <f aca="false">IF(F2746="","",L2746-J2746)</f>
        <v/>
      </c>
      <c r="N2746" s="32" t="str">
        <f aca="false">IF(F2746="","",IF(H2746&lt;&gt;"","Kapandı",IF('Vade Sapması'!$D$3&gt;G2746,"Açık · vadesi geçti","Açık · vadesi gelmedi")))</f>
        <v/>
      </c>
      <c r="O2746" s="30" t="str">
        <f aca="false">IF(F2746="","",IF(AND(H2746="",'Vade Sapması'!$D$3&gt;G2746),'Vade Sapması'!$D$3-G2746,0))</f>
        <v/>
      </c>
      <c r="P2746" s="33" t="str">
        <f aca="false">IF(F2746="","",F2746*J2746)</f>
        <v/>
      </c>
      <c r="Q2746" s="33" t="str">
        <f aca="false">IF(F2746="","",F2746*L2746)</f>
        <v/>
      </c>
      <c r="R2746" s="33" t="str">
        <f aca="false">IF(F2746="","",IF(H2746="",F2746,0))</f>
        <v/>
      </c>
      <c r="S2746" s="32" t="str">
        <f aca="false">IF(F2746="","",IF(N(O2746)=0,"",IF(O2746&lt;=30,"1-30",IF(O2746&lt;=60,"31-60",IF(O2746&lt;=90,"61-90","90+")))))</f>
        <v/>
      </c>
      <c r="T2746" s="32" t="str">
        <f aca="false">IF(F2746="","",IF(E2746="","Diğer",E2746))</f>
        <v/>
      </c>
      <c r="U2746" s="32" t="str">
        <f aca="false">IF(OR(F2746="",C2746=""),"",IF(COUNTIF($C$2:C2746,C2746)=1,MAX($U$1:U2745)+1,""))</f>
        <v/>
      </c>
    </row>
    <row r="2747" customFormat="false" ht="15" hidden="false" customHeight="false" outlineLevel="0" collapsed="false">
      <c r="A2747" s="34"/>
      <c r="B2747" s="9"/>
      <c r="C2747" s="34"/>
      <c r="D2747" s="34"/>
      <c r="E2747" s="34"/>
      <c r="F2747" s="35"/>
      <c r="G2747" s="9"/>
      <c r="H2747" s="9"/>
      <c r="I2747" s="34"/>
      <c r="J2747" s="30" t="str">
        <f aca="false">IF(F2747="","",G2747-B2747)</f>
        <v/>
      </c>
      <c r="K2747" s="31" t="str">
        <f aca="false">IF(F2747="","",IF(H2747&lt;&gt;"",H2747,MAX('Vade Sapması'!$D$3,G2747)))</f>
        <v/>
      </c>
      <c r="L2747" s="30" t="str">
        <f aca="false">IF(F2747="","",K2747-B2747)</f>
        <v/>
      </c>
      <c r="M2747" s="30" t="str">
        <f aca="false">IF(F2747="","",L2747-J2747)</f>
        <v/>
      </c>
      <c r="N2747" s="32" t="str">
        <f aca="false">IF(F2747="","",IF(H2747&lt;&gt;"","Kapandı",IF('Vade Sapması'!$D$3&gt;G2747,"Açık · vadesi geçti","Açık · vadesi gelmedi")))</f>
        <v/>
      </c>
      <c r="O2747" s="30" t="str">
        <f aca="false">IF(F2747="","",IF(AND(H2747="",'Vade Sapması'!$D$3&gt;G2747),'Vade Sapması'!$D$3-G2747,0))</f>
        <v/>
      </c>
      <c r="P2747" s="33" t="str">
        <f aca="false">IF(F2747="","",F2747*J2747)</f>
        <v/>
      </c>
      <c r="Q2747" s="33" t="str">
        <f aca="false">IF(F2747="","",F2747*L2747)</f>
        <v/>
      </c>
      <c r="R2747" s="33" t="str">
        <f aca="false">IF(F2747="","",IF(H2747="",F2747,0))</f>
        <v/>
      </c>
      <c r="S2747" s="32" t="str">
        <f aca="false">IF(F2747="","",IF(N(O2747)=0,"",IF(O2747&lt;=30,"1-30",IF(O2747&lt;=60,"31-60",IF(O2747&lt;=90,"61-90","90+")))))</f>
        <v/>
      </c>
      <c r="T2747" s="32" t="str">
        <f aca="false">IF(F2747="","",IF(E2747="","Diğer",E2747))</f>
        <v/>
      </c>
      <c r="U2747" s="32" t="str">
        <f aca="false">IF(OR(F2747="",C2747=""),"",IF(COUNTIF($C$2:C2747,C2747)=1,MAX($U$1:U2746)+1,""))</f>
        <v/>
      </c>
    </row>
    <row r="2748" customFormat="false" ht="15" hidden="false" customHeight="false" outlineLevel="0" collapsed="false">
      <c r="A2748" s="34"/>
      <c r="B2748" s="9"/>
      <c r="C2748" s="34"/>
      <c r="D2748" s="34"/>
      <c r="E2748" s="34"/>
      <c r="F2748" s="35"/>
      <c r="G2748" s="9"/>
      <c r="H2748" s="9"/>
      <c r="I2748" s="34"/>
      <c r="J2748" s="30" t="str">
        <f aca="false">IF(F2748="","",G2748-B2748)</f>
        <v/>
      </c>
      <c r="K2748" s="31" t="str">
        <f aca="false">IF(F2748="","",IF(H2748&lt;&gt;"",H2748,MAX('Vade Sapması'!$D$3,G2748)))</f>
        <v/>
      </c>
      <c r="L2748" s="30" t="str">
        <f aca="false">IF(F2748="","",K2748-B2748)</f>
        <v/>
      </c>
      <c r="M2748" s="30" t="str">
        <f aca="false">IF(F2748="","",L2748-J2748)</f>
        <v/>
      </c>
      <c r="N2748" s="32" t="str">
        <f aca="false">IF(F2748="","",IF(H2748&lt;&gt;"","Kapandı",IF('Vade Sapması'!$D$3&gt;G2748,"Açık · vadesi geçti","Açık · vadesi gelmedi")))</f>
        <v/>
      </c>
      <c r="O2748" s="30" t="str">
        <f aca="false">IF(F2748="","",IF(AND(H2748="",'Vade Sapması'!$D$3&gt;G2748),'Vade Sapması'!$D$3-G2748,0))</f>
        <v/>
      </c>
      <c r="P2748" s="33" t="str">
        <f aca="false">IF(F2748="","",F2748*J2748)</f>
        <v/>
      </c>
      <c r="Q2748" s="33" t="str">
        <f aca="false">IF(F2748="","",F2748*L2748)</f>
        <v/>
      </c>
      <c r="R2748" s="33" t="str">
        <f aca="false">IF(F2748="","",IF(H2748="",F2748,0))</f>
        <v/>
      </c>
      <c r="S2748" s="32" t="str">
        <f aca="false">IF(F2748="","",IF(N(O2748)=0,"",IF(O2748&lt;=30,"1-30",IF(O2748&lt;=60,"31-60",IF(O2748&lt;=90,"61-90","90+")))))</f>
        <v/>
      </c>
      <c r="T2748" s="32" t="str">
        <f aca="false">IF(F2748="","",IF(E2748="","Diğer",E2748))</f>
        <v/>
      </c>
      <c r="U2748" s="32" t="str">
        <f aca="false">IF(OR(F2748="",C2748=""),"",IF(COUNTIF($C$2:C2748,C2748)=1,MAX($U$1:U2747)+1,""))</f>
        <v/>
      </c>
    </row>
    <row r="2749" customFormat="false" ht="15" hidden="false" customHeight="false" outlineLevel="0" collapsed="false">
      <c r="A2749" s="34"/>
      <c r="B2749" s="9"/>
      <c r="C2749" s="34"/>
      <c r="D2749" s="34"/>
      <c r="E2749" s="34"/>
      <c r="F2749" s="35"/>
      <c r="G2749" s="9"/>
      <c r="H2749" s="9"/>
      <c r="I2749" s="34"/>
      <c r="J2749" s="30" t="str">
        <f aca="false">IF(F2749="","",G2749-B2749)</f>
        <v/>
      </c>
      <c r="K2749" s="31" t="str">
        <f aca="false">IF(F2749="","",IF(H2749&lt;&gt;"",H2749,MAX('Vade Sapması'!$D$3,G2749)))</f>
        <v/>
      </c>
      <c r="L2749" s="30" t="str">
        <f aca="false">IF(F2749="","",K2749-B2749)</f>
        <v/>
      </c>
      <c r="M2749" s="30" t="str">
        <f aca="false">IF(F2749="","",L2749-J2749)</f>
        <v/>
      </c>
      <c r="N2749" s="32" t="str">
        <f aca="false">IF(F2749="","",IF(H2749&lt;&gt;"","Kapandı",IF('Vade Sapması'!$D$3&gt;G2749,"Açık · vadesi geçti","Açık · vadesi gelmedi")))</f>
        <v/>
      </c>
      <c r="O2749" s="30" t="str">
        <f aca="false">IF(F2749="","",IF(AND(H2749="",'Vade Sapması'!$D$3&gt;G2749),'Vade Sapması'!$D$3-G2749,0))</f>
        <v/>
      </c>
      <c r="P2749" s="33" t="str">
        <f aca="false">IF(F2749="","",F2749*J2749)</f>
        <v/>
      </c>
      <c r="Q2749" s="33" t="str">
        <f aca="false">IF(F2749="","",F2749*L2749)</f>
        <v/>
      </c>
      <c r="R2749" s="33" t="str">
        <f aca="false">IF(F2749="","",IF(H2749="",F2749,0))</f>
        <v/>
      </c>
      <c r="S2749" s="32" t="str">
        <f aca="false">IF(F2749="","",IF(N(O2749)=0,"",IF(O2749&lt;=30,"1-30",IF(O2749&lt;=60,"31-60",IF(O2749&lt;=90,"61-90","90+")))))</f>
        <v/>
      </c>
      <c r="T2749" s="32" t="str">
        <f aca="false">IF(F2749="","",IF(E2749="","Diğer",E2749))</f>
        <v/>
      </c>
      <c r="U2749" s="32" t="str">
        <f aca="false">IF(OR(F2749="",C2749=""),"",IF(COUNTIF($C$2:C2749,C2749)=1,MAX($U$1:U2748)+1,""))</f>
        <v/>
      </c>
    </row>
    <row r="2750" customFormat="false" ht="15" hidden="false" customHeight="false" outlineLevel="0" collapsed="false">
      <c r="A2750" s="34"/>
      <c r="B2750" s="9"/>
      <c r="C2750" s="34"/>
      <c r="D2750" s="34"/>
      <c r="E2750" s="34"/>
      <c r="F2750" s="35"/>
      <c r="G2750" s="9"/>
      <c r="H2750" s="9"/>
      <c r="I2750" s="34"/>
      <c r="J2750" s="30" t="str">
        <f aca="false">IF(F2750="","",G2750-B2750)</f>
        <v/>
      </c>
      <c r="K2750" s="31" t="str">
        <f aca="false">IF(F2750="","",IF(H2750&lt;&gt;"",H2750,MAX('Vade Sapması'!$D$3,G2750)))</f>
        <v/>
      </c>
      <c r="L2750" s="30" t="str">
        <f aca="false">IF(F2750="","",K2750-B2750)</f>
        <v/>
      </c>
      <c r="M2750" s="30" t="str">
        <f aca="false">IF(F2750="","",L2750-J2750)</f>
        <v/>
      </c>
      <c r="N2750" s="32" t="str">
        <f aca="false">IF(F2750="","",IF(H2750&lt;&gt;"","Kapandı",IF('Vade Sapması'!$D$3&gt;G2750,"Açık · vadesi geçti","Açık · vadesi gelmedi")))</f>
        <v/>
      </c>
      <c r="O2750" s="30" t="str">
        <f aca="false">IF(F2750="","",IF(AND(H2750="",'Vade Sapması'!$D$3&gt;G2750),'Vade Sapması'!$D$3-G2750,0))</f>
        <v/>
      </c>
      <c r="P2750" s="33" t="str">
        <f aca="false">IF(F2750="","",F2750*J2750)</f>
        <v/>
      </c>
      <c r="Q2750" s="33" t="str">
        <f aca="false">IF(F2750="","",F2750*L2750)</f>
        <v/>
      </c>
      <c r="R2750" s="33" t="str">
        <f aca="false">IF(F2750="","",IF(H2750="",F2750,0))</f>
        <v/>
      </c>
      <c r="S2750" s="32" t="str">
        <f aca="false">IF(F2750="","",IF(N(O2750)=0,"",IF(O2750&lt;=30,"1-30",IF(O2750&lt;=60,"31-60",IF(O2750&lt;=90,"61-90","90+")))))</f>
        <v/>
      </c>
      <c r="T2750" s="32" t="str">
        <f aca="false">IF(F2750="","",IF(E2750="","Diğer",E2750))</f>
        <v/>
      </c>
      <c r="U2750" s="32" t="str">
        <f aca="false">IF(OR(F2750="",C2750=""),"",IF(COUNTIF($C$2:C2750,C2750)=1,MAX($U$1:U2749)+1,""))</f>
        <v/>
      </c>
    </row>
    <row r="2751" customFormat="false" ht="15" hidden="false" customHeight="false" outlineLevel="0" collapsed="false">
      <c r="A2751" s="34"/>
      <c r="B2751" s="9"/>
      <c r="C2751" s="34"/>
      <c r="D2751" s="34"/>
      <c r="E2751" s="34"/>
      <c r="F2751" s="35"/>
      <c r="G2751" s="9"/>
      <c r="H2751" s="9"/>
      <c r="I2751" s="34"/>
      <c r="J2751" s="30" t="str">
        <f aca="false">IF(F2751="","",G2751-B2751)</f>
        <v/>
      </c>
      <c r="K2751" s="31" t="str">
        <f aca="false">IF(F2751="","",IF(H2751&lt;&gt;"",H2751,MAX('Vade Sapması'!$D$3,G2751)))</f>
        <v/>
      </c>
      <c r="L2751" s="30" t="str">
        <f aca="false">IF(F2751="","",K2751-B2751)</f>
        <v/>
      </c>
      <c r="M2751" s="30" t="str">
        <f aca="false">IF(F2751="","",L2751-J2751)</f>
        <v/>
      </c>
      <c r="N2751" s="32" t="str">
        <f aca="false">IF(F2751="","",IF(H2751&lt;&gt;"","Kapandı",IF('Vade Sapması'!$D$3&gt;G2751,"Açık · vadesi geçti","Açık · vadesi gelmedi")))</f>
        <v/>
      </c>
      <c r="O2751" s="30" t="str">
        <f aca="false">IF(F2751="","",IF(AND(H2751="",'Vade Sapması'!$D$3&gt;G2751),'Vade Sapması'!$D$3-G2751,0))</f>
        <v/>
      </c>
      <c r="P2751" s="33" t="str">
        <f aca="false">IF(F2751="","",F2751*J2751)</f>
        <v/>
      </c>
      <c r="Q2751" s="33" t="str">
        <f aca="false">IF(F2751="","",F2751*L2751)</f>
        <v/>
      </c>
      <c r="R2751" s="33" t="str">
        <f aca="false">IF(F2751="","",IF(H2751="",F2751,0))</f>
        <v/>
      </c>
      <c r="S2751" s="32" t="str">
        <f aca="false">IF(F2751="","",IF(N(O2751)=0,"",IF(O2751&lt;=30,"1-30",IF(O2751&lt;=60,"31-60",IF(O2751&lt;=90,"61-90","90+")))))</f>
        <v/>
      </c>
      <c r="T2751" s="32" t="str">
        <f aca="false">IF(F2751="","",IF(E2751="","Diğer",E2751))</f>
        <v/>
      </c>
      <c r="U2751" s="32" t="str">
        <f aca="false">IF(OR(F2751="",C2751=""),"",IF(COUNTIF($C$2:C2751,C2751)=1,MAX($U$1:U2750)+1,""))</f>
        <v/>
      </c>
    </row>
    <row r="2752" customFormat="false" ht="15" hidden="false" customHeight="false" outlineLevel="0" collapsed="false">
      <c r="A2752" s="34"/>
      <c r="B2752" s="9"/>
      <c r="C2752" s="34"/>
      <c r="D2752" s="34"/>
      <c r="E2752" s="34"/>
      <c r="F2752" s="35"/>
      <c r="G2752" s="9"/>
      <c r="H2752" s="9"/>
      <c r="I2752" s="34"/>
      <c r="J2752" s="30" t="str">
        <f aca="false">IF(F2752="","",G2752-B2752)</f>
        <v/>
      </c>
      <c r="K2752" s="31" t="str">
        <f aca="false">IF(F2752="","",IF(H2752&lt;&gt;"",H2752,MAX('Vade Sapması'!$D$3,G2752)))</f>
        <v/>
      </c>
      <c r="L2752" s="30" t="str">
        <f aca="false">IF(F2752="","",K2752-B2752)</f>
        <v/>
      </c>
      <c r="M2752" s="30" t="str">
        <f aca="false">IF(F2752="","",L2752-J2752)</f>
        <v/>
      </c>
      <c r="N2752" s="32" t="str">
        <f aca="false">IF(F2752="","",IF(H2752&lt;&gt;"","Kapandı",IF('Vade Sapması'!$D$3&gt;G2752,"Açık · vadesi geçti","Açık · vadesi gelmedi")))</f>
        <v/>
      </c>
      <c r="O2752" s="30" t="str">
        <f aca="false">IF(F2752="","",IF(AND(H2752="",'Vade Sapması'!$D$3&gt;G2752),'Vade Sapması'!$D$3-G2752,0))</f>
        <v/>
      </c>
      <c r="P2752" s="33" t="str">
        <f aca="false">IF(F2752="","",F2752*J2752)</f>
        <v/>
      </c>
      <c r="Q2752" s="33" t="str">
        <f aca="false">IF(F2752="","",F2752*L2752)</f>
        <v/>
      </c>
      <c r="R2752" s="33" t="str">
        <f aca="false">IF(F2752="","",IF(H2752="",F2752,0))</f>
        <v/>
      </c>
      <c r="S2752" s="32" t="str">
        <f aca="false">IF(F2752="","",IF(N(O2752)=0,"",IF(O2752&lt;=30,"1-30",IF(O2752&lt;=60,"31-60",IF(O2752&lt;=90,"61-90","90+")))))</f>
        <v/>
      </c>
      <c r="T2752" s="32" t="str">
        <f aca="false">IF(F2752="","",IF(E2752="","Diğer",E2752))</f>
        <v/>
      </c>
      <c r="U2752" s="32" t="str">
        <f aca="false">IF(OR(F2752="",C2752=""),"",IF(COUNTIF($C$2:C2752,C2752)=1,MAX($U$1:U2751)+1,""))</f>
        <v/>
      </c>
    </row>
    <row r="2753" customFormat="false" ht="15" hidden="false" customHeight="false" outlineLevel="0" collapsed="false">
      <c r="A2753" s="34"/>
      <c r="B2753" s="9"/>
      <c r="C2753" s="34"/>
      <c r="D2753" s="34"/>
      <c r="E2753" s="34"/>
      <c r="F2753" s="35"/>
      <c r="G2753" s="9"/>
      <c r="H2753" s="9"/>
      <c r="I2753" s="34"/>
      <c r="J2753" s="30" t="str">
        <f aca="false">IF(F2753="","",G2753-B2753)</f>
        <v/>
      </c>
      <c r="K2753" s="31" t="str">
        <f aca="false">IF(F2753="","",IF(H2753&lt;&gt;"",H2753,MAX('Vade Sapması'!$D$3,G2753)))</f>
        <v/>
      </c>
      <c r="L2753" s="30" t="str">
        <f aca="false">IF(F2753="","",K2753-B2753)</f>
        <v/>
      </c>
      <c r="M2753" s="30" t="str">
        <f aca="false">IF(F2753="","",L2753-J2753)</f>
        <v/>
      </c>
      <c r="N2753" s="32" t="str">
        <f aca="false">IF(F2753="","",IF(H2753&lt;&gt;"","Kapandı",IF('Vade Sapması'!$D$3&gt;G2753,"Açık · vadesi geçti","Açık · vadesi gelmedi")))</f>
        <v/>
      </c>
      <c r="O2753" s="30" t="str">
        <f aca="false">IF(F2753="","",IF(AND(H2753="",'Vade Sapması'!$D$3&gt;G2753),'Vade Sapması'!$D$3-G2753,0))</f>
        <v/>
      </c>
      <c r="P2753" s="33" t="str">
        <f aca="false">IF(F2753="","",F2753*J2753)</f>
        <v/>
      </c>
      <c r="Q2753" s="33" t="str">
        <f aca="false">IF(F2753="","",F2753*L2753)</f>
        <v/>
      </c>
      <c r="R2753" s="33" t="str">
        <f aca="false">IF(F2753="","",IF(H2753="",F2753,0))</f>
        <v/>
      </c>
      <c r="S2753" s="32" t="str">
        <f aca="false">IF(F2753="","",IF(N(O2753)=0,"",IF(O2753&lt;=30,"1-30",IF(O2753&lt;=60,"31-60",IF(O2753&lt;=90,"61-90","90+")))))</f>
        <v/>
      </c>
      <c r="T2753" s="32" t="str">
        <f aca="false">IF(F2753="","",IF(E2753="","Diğer",E2753))</f>
        <v/>
      </c>
      <c r="U2753" s="32" t="str">
        <f aca="false">IF(OR(F2753="",C2753=""),"",IF(COUNTIF($C$2:C2753,C2753)=1,MAX($U$1:U2752)+1,""))</f>
        <v/>
      </c>
    </row>
    <row r="2754" customFormat="false" ht="15" hidden="false" customHeight="false" outlineLevel="0" collapsed="false">
      <c r="A2754" s="34"/>
      <c r="B2754" s="9"/>
      <c r="C2754" s="34"/>
      <c r="D2754" s="34"/>
      <c r="E2754" s="34"/>
      <c r="F2754" s="35"/>
      <c r="G2754" s="9"/>
      <c r="H2754" s="9"/>
      <c r="I2754" s="34"/>
      <c r="J2754" s="30" t="str">
        <f aca="false">IF(F2754="","",G2754-B2754)</f>
        <v/>
      </c>
      <c r="K2754" s="31" t="str">
        <f aca="false">IF(F2754="","",IF(H2754&lt;&gt;"",H2754,MAX('Vade Sapması'!$D$3,G2754)))</f>
        <v/>
      </c>
      <c r="L2754" s="30" t="str">
        <f aca="false">IF(F2754="","",K2754-B2754)</f>
        <v/>
      </c>
      <c r="M2754" s="30" t="str">
        <f aca="false">IF(F2754="","",L2754-J2754)</f>
        <v/>
      </c>
      <c r="N2754" s="32" t="str">
        <f aca="false">IF(F2754="","",IF(H2754&lt;&gt;"","Kapandı",IF('Vade Sapması'!$D$3&gt;G2754,"Açık · vadesi geçti","Açık · vadesi gelmedi")))</f>
        <v/>
      </c>
      <c r="O2754" s="30" t="str">
        <f aca="false">IF(F2754="","",IF(AND(H2754="",'Vade Sapması'!$D$3&gt;G2754),'Vade Sapması'!$D$3-G2754,0))</f>
        <v/>
      </c>
      <c r="P2754" s="33" t="str">
        <f aca="false">IF(F2754="","",F2754*J2754)</f>
        <v/>
      </c>
      <c r="Q2754" s="33" t="str">
        <f aca="false">IF(F2754="","",F2754*L2754)</f>
        <v/>
      </c>
      <c r="R2754" s="33" t="str">
        <f aca="false">IF(F2754="","",IF(H2754="",F2754,0))</f>
        <v/>
      </c>
      <c r="S2754" s="32" t="str">
        <f aca="false">IF(F2754="","",IF(N(O2754)=0,"",IF(O2754&lt;=30,"1-30",IF(O2754&lt;=60,"31-60",IF(O2754&lt;=90,"61-90","90+")))))</f>
        <v/>
      </c>
      <c r="T2754" s="32" t="str">
        <f aca="false">IF(F2754="","",IF(E2754="","Diğer",E2754))</f>
        <v/>
      </c>
      <c r="U2754" s="32" t="str">
        <f aca="false">IF(OR(F2754="",C2754=""),"",IF(COUNTIF($C$2:C2754,C2754)=1,MAX($U$1:U2753)+1,""))</f>
        <v/>
      </c>
    </row>
    <row r="2755" customFormat="false" ht="15" hidden="false" customHeight="false" outlineLevel="0" collapsed="false">
      <c r="A2755" s="34"/>
      <c r="B2755" s="9"/>
      <c r="C2755" s="34"/>
      <c r="D2755" s="34"/>
      <c r="E2755" s="34"/>
      <c r="F2755" s="35"/>
      <c r="G2755" s="9"/>
      <c r="H2755" s="9"/>
      <c r="I2755" s="34"/>
      <c r="J2755" s="30" t="str">
        <f aca="false">IF(F2755="","",G2755-B2755)</f>
        <v/>
      </c>
      <c r="K2755" s="31" t="str">
        <f aca="false">IF(F2755="","",IF(H2755&lt;&gt;"",H2755,MAX('Vade Sapması'!$D$3,G2755)))</f>
        <v/>
      </c>
      <c r="L2755" s="30" t="str">
        <f aca="false">IF(F2755="","",K2755-B2755)</f>
        <v/>
      </c>
      <c r="M2755" s="30" t="str">
        <f aca="false">IF(F2755="","",L2755-J2755)</f>
        <v/>
      </c>
      <c r="N2755" s="32" t="str">
        <f aca="false">IF(F2755="","",IF(H2755&lt;&gt;"","Kapandı",IF('Vade Sapması'!$D$3&gt;G2755,"Açık · vadesi geçti","Açık · vadesi gelmedi")))</f>
        <v/>
      </c>
      <c r="O2755" s="30" t="str">
        <f aca="false">IF(F2755="","",IF(AND(H2755="",'Vade Sapması'!$D$3&gt;G2755),'Vade Sapması'!$D$3-G2755,0))</f>
        <v/>
      </c>
      <c r="P2755" s="33" t="str">
        <f aca="false">IF(F2755="","",F2755*J2755)</f>
        <v/>
      </c>
      <c r="Q2755" s="33" t="str">
        <f aca="false">IF(F2755="","",F2755*L2755)</f>
        <v/>
      </c>
      <c r="R2755" s="33" t="str">
        <f aca="false">IF(F2755="","",IF(H2755="",F2755,0))</f>
        <v/>
      </c>
      <c r="S2755" s="32" t="str">
        <f aca="false">IF(F2755="","",IF(N(O2755)=0,"",IF(O2755&lt;=30,"1-30",IF(O2755&lt;=60,"31-60",IF(O2755&lt;=90,"61-90","90+")))))</f>
        <v/>
      </c>
      <c r="T2755" s="32" t="str">
        <f aca="false">IF(F2755="","",IF(E2755="","Diğer",E2755))</f>
        <v/>
      </c>
      <c r="U2755" s="32" t="str">
        <f aca="false">IF(OR(F2755="",C2755=""),"",IF(COUNTIF($C$2:C2755,C2755)=1,MAX($U$1:U2754)+1,""))</f>
        <v/>
      </c>
    </row>
    <row r="2756" customFormat="false" ht="15" hidden="false" customHeight="false" outlineLevel="0" collapsed="false">
      <c r="A2756" s="34"/>
      <c r="B2756" s="9"/>
      <c r="C2756" s="34"/>
      <c r="D2756" s="34"/>
      <c r="E2756" s="34"/>
      <c r="F2756" s="35"/>
      <c r="G2756" s="9"/>
      <c r="H2756" s="9"/>
      <c r="I2756" s="34"/>
      <c r="J2756" s="30" t="str">
        <f aca="false">IF(F2756="","",G2756-B2756)</f>
        <v/>
      </c>
      <c r="K2756" s="31" t="str">
        <f aca="false">IF(F2756="","",IF(H2756&lt;&gt;"",H2756,MAX('Vade Sapması'!$D$3,G2756)))</f>
        <v/>
      </c>
      <c r="L2756" s="30" t="str">
        <f aca="false">IF(F2756="","",K2756-B2756)</f>
        <v/>
      </c>
      <c r="M2756" s="30" t="str">
        <f aca="false">IF(F2756="","",L2756-J2756)</f>
        <v/>
      </c>
      <c r="N2756" s="32" t="str">
        <f aca="false">IF(F2756="","",IF(H2756&lt;&gt;"","Kapandı",IF('Vade Sapması'!$D$3&gt;G2756,"Açık · vadesi geçti","Açık · vadesi gelmedi")))</f>
        <v/>
      </c>
      <c r="O2756" s="30" t="str">
        <f aca="false">IF(F2756="","",IF(AND(H2756="",'Vade Sapması'!$D$3&gt;G2756),'Vade Sapması'!$D$3-G2756,0))</f>
        <v/>
      </c>
      <c r="P2756" s="33" t="str">
        <f aca="false">IF(F2756="","",F2756*J2756)</f>
        <v/>
      </c>
      <c r="Q2756" s="33" t="str">
        <f aca="false">IF(F2756="","",F2756*L2756)</f>
        <v/>
      </c>
      <c r="R2756" s="33" t="str">
        <f aca="false">IF(F2756="","",IF(H2756="",F2756,0))</f>
        <v/>
      </c>
      <c r="S2756" s="32" t="str">
        <f aca="false">IF(F2756="","",IF(N(O2756)=0,"",IF(O2756&lt;=30,"1-30",IF(O2756&lt;=60,"31-60",IF(O2756&lt;=90,"61-90","90+")))))</f>
        <v/>
      </c>
      <c r="T2756" s="32" t="str">
        <f aca="false">IF(F2756="","",IF(E2756="","Diğer",E2756))</f>
        <v/>
      </c>
      <c r="U2756" s="32" t="str">
        <f aca="false">IF(OR(F2756="",C2756=""),"",IF(COUNTIF($C$2:C2756,C2756)=1,MAX($U$1:U2755)+1,""))</f>
        <v/>
      </c>
    </row>
    <row r="2757" customFormat="false" ht="15" hidden="false" customHeight="false" outlineLevel="0" collapsed="false">
      <c r="A2757" s="34"/>
      <c r="B2757" s="9"/>
      <c r="C2757" s="34"/>
      <c r="D2757" s="34"/>
      <c r="E2757" s="34"/>
      <c r="F2757" s="35"/>
      <c r="G2757" s="9"/>
      <c r="H2757" s="9"/>
      <c r="I2757" s="34"/>
      <c r="J2757" s="30" t="str">
        <f aca="false">IF(F2757="","",G2757-B2757)</f>
        <v/>
      </c>
      <c r="K2757" s="31" t="str">
        <f aca="false">IF(F2757="","",IF(H2757&lt;&gt;"",H2757,MAX('Vade Sapması'!$D$3,G2757)))</f>
        <v/>
      </c>
      <c r="L2757" s="30" t="str">
        <f aca="false">IF(F2757="","",K2757-B2757)</f>
        <v/>
      </c>
      <c r="M2757" s="30" t="str">
        <f aca="false">IF(F2757="","",L2757-J2757)</f>
        <v/>
      </c>
      <c r="N2757" s="32" t="str">
        <f aca="false">IF(F2757="","",IF(H2757&lt;&gt;"","Kapandı",IF('Vade Sapması'!$D$3&gt;G2757,"Açık · vadesi geçti","Açık · vadesi gelmedi")))</f>
        <v/>
      </c>
      <c r="O2757" s="30" t="str">
        <f aca="false">IF(F2757="","",IF(AND(H2757="",'Vade Sapması'!$D$3&gt;G2757),'Vade Sapması'!$D$3-G2757,0))</f>
        <v/>
      </c>
      <c r="P2757" s="33" t="str">
        <f aca="false">IF(F2757="","",F2757*J2757)</f>
        <v/>
      </c>
      <c r="Q2757" s="33" t="str">
        <f aca="false">IF(F2757="","",F2757*L2757)</f>
        <v/>
      </c>
      <c r="R2757" s="33" t="str">
        <f aca="false">IF(F2757="","",IF(H2757="",F2757,0))</f>
        <v/>
      </c>
      <c r="S2757" s="32" t="str">
        <f aca="false">IF(F2757="","",IF(N(O2757)=0,"",IF(O2757&lt;=30,"1-30",IF(O2757&lt;=60,"31-60",IF(O2757&lt;=90,"61-90","90+")))))</f>
        <v/>
      </c>
      <c r="T2757" s="32" t="str">
        <f aca="false">IF(F2757="","",IF(E2757="","Diğer",E2757))</f>
        <v/>
      </c>
      <c r="U2757" s="32" t="str">
        <f aca="false">IF(OR(F2757="",C2757=""),"",IF(COUNTIF($C$2:C2757,C2757)=1,MAX($U$1:U2756)+1,""))</f>
        <v/>
      </c>
    </row>
    <row r="2758" customFormat="false" ht="15" hidden="false" customHeight="false" outlineLevel="0" collapsed="false">
      <c r="A2758" s="34"/>
      <c r="B2758" s="9"/>
      <c r="C2758" s="34"/>
      <c r="D2758" s="34"/>
      <c r="E2758" s="34"/>
      <c r="F2758" s="35"/>
      <c r="G2758" s="9"/>
      <c r="H2758" s="9"/>
      <c r="I2758" s="34"/>
      <c r="J2758" s="30" t="str">
        <f aca="false">IF(F2758="","",G2758-B2758)</f>
        <v/>
      </c>
      <c r="K2758" s="31" t="str">
        <f aca="false">IF(F2758="","",IF(H2758&lt;&gt;"",H2758,MAX('Vade Sapması'!$D$3,G2758)))</f>
        <v/>
      </c>
      <c r="L2758" s="30" t="str">
        <f aca="false">IF(F2758="","",K2758-B2758)</f>
        <v/>
      </c>
      <c r="M2758" s="30" t="str">
        <f aca="false">IF(F2758="","",L2758-J2758)</f>
        <v/>
      </c>
      <c r="N2758" s="32" t="str">
        <f aca="false">IF(F2758="","",IF(H2758&lt;&gt;"","Kapandı",IF('Vade Sapması'!$D$3&gt;G2758,"Açık · vadesi geçti","Açık · vadesi gelmedi")))</f>
        <v/>
      </c>
      <c r="O2758" s="30" t="str">
        <f aca="false">IF(F2758="","",IF(AND(H2758="",'Vade Sapması'!$D$3&gt;G2758),'Vade Sapması'!$D$3-G2758,0))</f>
        <v/>
      </c>
      <c r="P2758" s="33" t="str">
        <f aca="false">IF(F2758="","",F2758*J2758)</f>
        <v/>
      </c>
      <c r="Q2758" s="33" t="str">
        <f aca="false">IF(F2758="","",F2758*L2758)</f>
        <v/>
      </c>
      <c r="R2758" s="33" t="str">
        <f aca="false">IF(F2758="","",IF(H2758="",F2758,0))</f>
        <v/>
      </c>
      <c r="S2758" s="32" t="str">
        <f aca="false">IF(F2758="","",IF(N(O2758)=0,"",IF(O2758&lt;=30,"1-30",IF(O2758&lt;=60,"31-60",IF(O2758&lt;=90,"61-90","90+")))))</f>
        <v/>
      </c>
      <c r="T2758" s="32" t="str">
        <f aca="false">IF(F2758="","",IF(E2758="","Diğer",E2758))</f>
        <v/>
      </c>
      <c r="U2758" s="32" t="str">
        <f aca="false">IF(OR(F2758="",C2758=""),"",IF(COUNTIF($C$2:C2758,C2758)=1,MAX($U$1:U2757)+1,""))</f>
        <v/>
      </c>
    </row>
    <row r="2759" customFormat="false" ht="15" hidden="false" customHeight="false" outlineLevel="0" collapsed="false">
      <c r="A2759" s="34"/>
      <c r="B2759" s="9"/>
      <c r="C2759" s="34"/>
      <c r="D2759" s="34"/>
      <c r="E2759" s="34"/>
      <c r="F2759" s="35"/>
      <c r="G2759" s="9"/>
      <c r="H2759" s="9"/>
      <c r="I2759" s="34"/>
      <c r="J2759" s="30" t="str">
        <f aca="false">IF(F2759="","",G2759-B2759)</f>
        <v/>
      </c>
      <c r="K2759" s="31" t="str">
        <f aca="false">IF(F2759="","",IF(H2759&lt;&gt;"",H2759,MAX('Vade Sapması'!$D$3,G2759)))</f>
        <v/>
      </c>
      <c r="L2759" s="30" t="str">
        <f aca="false">IF(F2759="","",K2759-B2759)</f>
        <v/>
      </c>
      <c r="M2759" s="30" t="str">
        <f aca="false">IF(F2759="","",L2759-J2759)</f>
        <v/>
      </c>
      <c r="N2759" s="32" t="str">
        <f aca="false">IF(F2759="","",IF(H2759&lt;&gt;"","Kapandı",IF('Vade Sapması'!$D$3&gt;G2759,"Açık · vadesi geçti","Açık · vadesi gelmedi")))</f>
        <v/>
      </c>
      <c r="O2759" s="30" t="str">
        <f aca="false">IF(F2759="","",IF(AND(H2759="",'Vade Sapması'!$D$3&gt;G2759),'Vade Sapması'!$D$3-G2759,0))</f>
        <v/>
      </c>
      <c r="P2759" s="33" t="str">
        <f aca="false">IF(F2759="","",F2759*J2759)</f>
        <v/>
      </c>
      <c r="Q2759" s="33" t="str">
        <f aca="false">IF(F2759="","",F2759*L2759)</f>
        <v/>
      </c>
      <c r="R2759" s="33" t="str">
        <f aca="false">IF(F2759="","",IF(H2759="",F2759,0))</f>
        <v/>
      </c>
      <c r="S2759" s="32" t="str">
        <f aca="false">IF(F2759="","",IF(N(O2759)=0,"",IF(O2759&lt;=30,"1-30",IF(O2759&lt;=60,"31-60",IF(O2759&lt;=90,"61-90","90+")))))</f>
        <v/>
      </c>
      <c r="T2759" s="32" t="str">
        <f aca="false">IF(F2759="","",IF(E2759="","Diğer",E2759))</f>
        <v/>
      </c>
      <c r="U2759" s="32" t="str">
        <f aca="false">IF(OR(F2759="",C2759=""),"",IF(COUNTIF($C$2:C2759,C2759)=1,MAX($U$1:U2758)+1,""))</f>
        <v/>
      </c>
    </row>
    <row r="2760" customFormat="false" ht="15" hidden="false" customHeight="false" outlineLevel="0" collapsed="false">
      <c r="A2760" s="34"/>
      <c r="B2760" s="9"/>
      <c r="C2760" s="34"/>
      <c r="D2760" s="34"/>
      <c r="E2760" s="34"/>
      <c r="F2760" s="35"/>
      <c r="G2760" s="9"/>
      <c r="H2760" s="9"/>
      <c r="I2760" s="34"/>
      <c r="J2760" s="30" t="str">
        <f aca="false">IF(F2760="","",G2760-B2760)</f>
        <v/>
      </c>
      <c r="K2760" s="31" t="str">
        <f aca="false">IF(F2760="","",IF(H2760&lt;&gt;"",H2760,MAX('Vade Sapması'!$D$3,G2760)))</f>
        <v/>
      </c>
      <c r="L2760" s="30" t="str">
        <f aca="false">IF(F2760="","",K2760-B2760)</f>
        <v/>
      </c>
      <c r="M2760" s="30" t="str">
        <f aca="false">IF(F2760="","",L2760-J2760)</f>
        <v/>
      </c>
      <c r="N2760" s="32" t="str">
        <f aca="false">IF(F2760="","",IF(H2760&lt;&gt;"","Kapandı",IF('Vade Sapması'!$D$3&gt;G2760,"Açık · vadesi geçti","Açık · vadesi gelmedi")))</f>
        <v/>
      </c>
      <c r="O2760" s="30" t="str">
        <f aca="false">IF(F2760="","",IF(AND(H2760="",'Vade Sapması'!$D$3&gt;G2760),'Vade Sapması'!$D$3-G2760,0))</f>
        <v/>
      </c>
      <c r="P2760" s="33" t="str">
        <f aca="false">IF(F2760="","",F2760*J2760)</f>
        <v/>
      </c>
      <c r="Q2760" s="33" t="str">
        <f aca="false">IF(F2760="","",F2760*L2760)</f>
        <v/>
      </c>
      <c r="R2760" s="33" t="str">
        <f aca="false">IF(F2760="","",IF(H2760="",F2760,0))</f>
        <v/>
      </c>
      <c r="S2760" s="32" t="str">
        <f aca="false">IF(F2760="","",IF(N(O2760)=0,"",IF(O2760&lt;=30,"1-30",IF(O2760&lt;=60,"31-60",IF(O2760&lt;=90,"61-90","90+")))))</f>
        <v/>
      </c>
      <c r="T2760" s="32" t="str">
        <f aca="false">IF(F2760="","",IF(E2760="","Diğer",E2760))</f>
        <v/>
      </c>
      <c r="U2760" s="32" t="str">
        <f aca="false">IF(OR(F2760="",C2760=""),"",IF(COUNTIF($C$2:C2760,C2760)=1,MAX($U$1:U2759)+1,""))</f>
        <v/>
      </c>
    </row>
    <row r="2761" customFormat="false" ht="15" hidden="false" customHeight="false" outlineLevel="0" collapsed="false">
      <c r="A2761" s="34"/>
      <c r="B2761" s="9"/>
      <c r="C2761" s="34"/>
      <c r="D2761" s="34"/>
      <c r="E2761" s="34"/>
      <c r="F2761" s="35"/>
      <c r="G2761" s="9"/>
      <c r="H2761" s="9"/>
      <c r="I2761" s="34"/>
      <c r="J2761" s="30" t="str">
        <f aca="false">IF(F2761="","",G2761-B2761)</f>
        <v/>
      </c>
      <c r="K2761" s="31" t="str">
        <f aca="false">IF(F2761="","",IF(H2761&lt;&gt;"",H2761,MAX('Vade Sapması'!$D$3,G2761)))</f>
        <v/>
      </c>
      <c r="L2761" s="30" t="str">
        <f aca="false">IF(F2761="","",K2761-B2761)</f>
        <v/>
      </c>
      <c r="M2761" s="30" t="str">
        <f aca="false">IF(F2761="","",L2761-J2761)</f>
        <v/>
      </c>
      <c r="N2761" s="32" t="str">
        <f aca="false">IF(F2761="","",IF(H2761&lt;&gt;"","Kapandı",IF('Vade Sapması'!$D$3&gt;G2761,"Açık · vadesi geçti","Açık · vadesi gelmedi")))</f>
        <v/>
      </c>
      <c r="O2761" s="30" t="str">
        <f aca="false">IF(F2761="","",IF(AND(H2761="",'Vade Sapması'!$D$3&gt;G2761),'Vade Sapması'!$D$3-G2761,0))</f>
        <v/>
      </c>
      <c r="P2761" s="33" t="str">
        <f aca="false">IF(F2761="","",F2761*J2761)</f>
        <v/>
      </c>
      <c r="Q2761" s="33" t="str">
        <f aca="false">IF(F2761="","",F2761*L2761)</f>
        <v/>
      </c>
      <c r="R2761" s="33" t="str">
        <f aca="false">IF(F2761="","",IF(H2761="",F2761,0))</f>
        <v/>
      </c>
      <c r="S2761" s="32" t="str">
        <f aca="false">IF(F2761="","",IF(N(O2761)=0,"",IF(O2761&lt;=30,"1-30",IF(O2761&lt;=60,"31-60",IF(O2761&lt;=90,"61-90","90+")))))</f>
        <v/>
      </c>
      <c r="T2761" s="32" t="str">
        <f aca="false">IF(F2761="","",IF(E2761="","Diğer",E2761))</f>
        <v/>
      </c>
      <c r="U2761" s="32" t="str">
        <f aca="false">IF(OR(F2761="",C2761=""),"",IF(COUNTIF($C$2:C2761,C2761)=1,MAX($U$1:U2760)+1,""))</f>
        <v/>
      </c>
    </row>
    <row r="2762" customFormat="false" ht="15" hidden="false" customHeight="false" outlineLevel="0" collapsed="false">
      <c r="A2762" s="34"/>
      <c r="B2762" s="9"/>
      <c r="C2762" s="34"/>
      <c r="D2762" s="34"/>
      <c r="E2762" s="34"/>
      <c r="F2762" s="35"/>
      <c r="G2762" s="9"/>
      <c r="H2762" s="9"/>
      <c r="I2762" s="34"/>
      <c r="J2762" s="30" t="str">
        <f aca="false">IF(F2762="","",G2762-B2762)</f>
        <v/>
      </c>
      <c r="K2762" s="31" t="str">
        <f aca="false">IF(F2762="","",IF(H2762&lt;&gt;"",H2762,MAX('Vade Sapması'!$D$3,G2762)))</f>
        <v/>
      </c>
      <c r="L2762" s="30" t="str">
        <f aca="false">IF(F2762="","",K2762-B2762)</f>
        <v/>
      </c>
      <c r="M2762" s="30" t="str">
        <f aca="false">IF(F2762="","",L2762-J2762)</f>
        <v/>
      </c>
      <c r="N2762" s="32" t="str">
        <f aca="false">IF(F2762="","",IF(H2762&lt;&gt;"","Kapandı",IF('Vade Sapması'!$D$3&gt;G2762,"Açık · vadesi geçti","Açık · vadesi gelmedi")))</f>
        <v/>
      </c>
      <c r="O2762" s="30" t="str">
        <f aca="false">IF(F2762="","",IF(AND(H2762="",'Vade Sapması'!$D$3&gt;G2762),'Vade Sapması'!$D$3-G2762,0))</f>
        <v/>
      </c>
      <c r="P2762" s="33" t="str">
        <f aca="false">IF(F2762="","",F2762*J2762)</f>
        <v/>
      </c>
      <c r="Q2762" s="33" t="str">
        <f aca="false">IF(F2762="","",F2762*L2762)</f>
        <v/>
      </c>
      <c r="R2762" s="33" t="str">
        <f aca="false">IF(F2762="","",IF(H2762="",F2762,0))</f>
        <v/>
      </c>
      <c r="S2762" s="32" t="str">
        <f aca="false">IF(F2762="","",IF(N(O2762)=0,"",IF(O2762&lt;=30,"1-30",IF(O2762&lt;=60,"31-60",IF(O2762&lt;=90,"61-90","90+")))))</f>
        <v/>
      </c>
      <c r="T2762" s="32" t="str">
        <f aca="false">IF(F2762="","",IF(E2762="","Diğer",E2762))</f>
        <v/>
      </c>
      <c r="U2762" s="32" t="str">
        <f aca="false">IF(OR(F2762="",C2762=""),"",IF(COUNTIF($C$2:C2762,C2762)=1,MAX($U$1:U2761)+1,""))</f>
        <v/>
      </c>
    </row>
    <row r="2763" customFormat="false" ht="15" hidden="false" customHeight="false" outlineLevel="0" collapsed="false">
      <c r="A2763" s="34"/>
      <c r="B2763" s="9"/>
      <c r="C2763" s="34"/>
      <c r="D2763" s="34"/>
      <c r="E2763" s="34"/>
      <c r="F2763" s="35"/>
      <c r="G2763" s="9"/>
      <c r="H2763" s="9"/>
      <c r="I2763" s="34"/>
      <c r="J2763" s="30" t="str">
        <f aca="false">IF(F2763="","",G2763-B2763)</f>
        <v/>
      </c>
      <c r="K2763" s="31" t="str">
        <f aca="false">IF(F2763="","",IF(H2763&lt;&gt;"",H2763,MAX('Vade Sapması'!$D$3,G2763)))</f>
        <v/>
      </c>
      <c r="L2763" s="30" t="str">
        <f aca="false">IF(F2763="","",K2763-B2763)</f>
        <v/>
      </c>
      <c r="M2763" s="30" t="str">
        <f aca="false">IF(F2763="","",L2763-J2763)</f>
        <v/>
      </c>
      <c r="N2763" s="32" t="str">
        <f aca="false">IF(F2763="","",IF(H2763&lt;&gt;"","Kapandı",IF('Vade Sapması'!$D$3&gt;G2763,"Açık · vadesi geçti","Açık · vadesi gelmedi")))</f>
        <v/>
      </c>
      <c r="O2763" s="30" t="str">
        <f aca="false">IF(F2763="","",IF(AND(H2763="",'Vade Sapması'!$D$3&gt;G2763),'Vade Sapması'!$D$3-G2763,0))</f>
        <v/>
      </c>
      <c r="P2763" s="33" t="str">
        <f aca="false">IF(F2763="","",F2763*J2763)</f>
        <v/>
      </c>
      <c r="Q2763" s="33" t="str">
        <f aca="false">IF(F2763="","",F2763*L2763)</f>
        <v/>
      </c>
      <c r="R2763" s="33" t="str">
        <f aca="false">IF(F2763="","",IF(H2763="",F2763,0))</f>
        <v/>
      </c>
      <c r="S2763" s="32" t="str">
        <f aca="false">IF(F2763="","",IF(N(O2763)=0,"",IF(O2763&lt;=30,"1-30",IF(O2763&lt;=60,"31-60",IF(O2763&lt;=90,"61-90","90+")))))</f>
        <v/>
      </c>
      <c r="T2763" s="32" t="str">
        <f aca="false">IF(F2763="","",IF(E2763="","Diğer",E2763))</f>
        <v/>
      </c>
      <c r="U2763" s="32" t="str">
        <f aca="false">IF(OR(F2763="",C2763=""),"",IF(COUNTIF($C$2:C2763,C2763)=1,MAX($U$1:U2762)+1,""))</f>
        <v/>
      </c>
    </row>
    <row r="2764" customFormat="false" ht="15" hidden="false" customHeight="false" outlineLevel="0" collapsed="false">
      <c r="A2764" s="34"/>
      <c r="B2764" s="9"/>
      <c r="C2764" s="34"/>
      <c r="D2764" s="34"/>
      <c r="E2764" s="34"/>
      <c r="F2764" s="35"/>
      <c r="G2764" s="9"/>
      <c r="H2764" s="9"/>
      <c r="I2764" s="34"/>
      <c r="J2764" s="30" t="str">
        <f aca="false">IF(F2764="","",G2764-B2764)</f>
        <v/>
      </c>
      <c r="K2764" s="31" t="str">
        <f aca="false">IF(F2764="","",IF(H2764&lt;&gt;"",H2764,MAX('Vade Sapması'!$D$3,G2764)))</f>
        <v/>
      </c>
      <c r="L2764" s="30" t="str">
        <f aca="false">IF(F2764="","",K2764-B2764)</f>
        <v/>
      </c>
      <c r="M2764" s="30" t="str">
        <f aca="false">IF(F2764="","",L2764-J2764)</f>
        <v/>
      </c>
      <c r="N2764" s="32" t="str">
        <f aca="false">IF(F2764="","",IF(H2764&lt;&gt;"","Kapandı",IF('Vade Sapması'!$D$3&gt;G2764,"Açık · vadesi geçti","Açık · vadesi gelmedi")))</f>
        <v/>
      </c>
      <c r="O2764" s="30" t="str">
        <f aca="false">IF(F2764="","",IF(AND(H2764="",'Vade Sapması'!$D$3&gt;G2764),'Vade Sapması'!$D$3-G2764,0))</f>
        <v/>
      </c>
      <c r="P2764" s="33" t="str">
        <f aca="false">IF(F2764="","",F2764*J2764)</f>
        <v/>
      </c>
      <c r="Q2764" s="33" t="str">
        <f aca="false">IF(F2764="","",F2764*L2764)</f>
        <v/>
      </c>
      <c r="R2764" s="33" t="str">
        <f aca="false">IF(F2764="","",IF(H2764="",F2764,0))</f>
        <v/>
      </c>
      <c r="S2764" s="32" t="str">
        <f aca="false">IF(F2764="","",IF(N(O2764)=0,"",IF(O2764&lt;=30,"1-30",IF(O2764&lt;=60,"31-60",IF(O2764&lt;=90,"61-90","90+")))))</f>
        <v/>
      </c>
      <c r="T2764" s="32" t="str">
        <f aca="false">IF(F2764="","",IF(E2764="","Diğer",E2764))</f>
        <v/>
      </c>
      <c r="U2764" s="32" t="str">
        <f aca="false">IF(OR(F2764="",C2764=""),"",IF(COUNTIF($C$2:C2764,C2764)=1,MAX($U$1:U2763)+1,""))</f>
        <v/>
      </c>
    </row>
    <row r="2765" customFormat="false" ht="15" hidden="false" customHeight="false" outlineLevel="0" collapsed="false">
      <c r="A2765" s="34"/>
      <c r="B2765" s="9"/>
      <c r="C2765" s="34"/>
      <c r="D2765" s="34"/>
      <c r="E2765" s="34"/>
      <c r="F2765" s="35"/>
      <c r="G2765" s="9"/>
      <c r="H2765" s="9"/>
      <c r="I2765" s="34"/>
      <c r="J2765" s="30" t="str">
        <f aca="false">IF(F2765="","",G2765-B2765)</f>
        <v/>
      </c>
      <c r="K2765" s="31" t="str">
        <f aca="false">IF(F2765="","",IF(H2765&lt;&gt;"",H2765,MAX('Vade Sapması'!$D$3,G2765)))</f>
        <v/>
      </c>
      <c r="L2765" s="30" t="str">
        <f aca="false">IF(F2765="","",K2765-B2765)</f>
        <v/>
      </c>
      <c r="M2765" s="30" t="str">
        <f aca="false">IF(F2765="","",L2765-J2765)</f>
        <v/>
      </c>
      <c r="N2765" s="32" t="str">
        <f aca="false">IF(F2765="","",IF(H2765&lt;&gt;"","Kapandı",IF('Vade Sapması'!$D$3&gt;G2765,"Açık · vadesi geçti","Açık · vadesi gelmedi")))</f>
        <v/>
      </c>
      <c r="O2765" s="30" t="str">
        <f aca="false">IF(F2765="","",IF(AND(H2765="",'Vade Sapması'!$D$3&gt;G2765),'Vade Sapması'!$D$3-G2765,0))</f>
        <v/>
      </c>
      <c r="P2765" s="33" t="str">
        <f aca="false">IF(F2765="","",F2765*J2765)</f>
        <v/>
      </c>
      <c r="Q2765" s="33" t="str">
        <f aca="false">IF(F2765="","",F2765*L2765)</f>
        <v/>
      </c>
      <c r="R2765" s="33" t="str">
        <f aca="false">IF(F2765="","",IF(H2765="",F2765,0))</f>
        <v/>
      </c>
      <c r="S2765" s="32" t="str">
        <f aca="false">IF(F2765="","",IF(N(O2765)=0,"",IF(O2765&lt;=30,"1-30",IF(O2765&lt;=60,"31-60",IF(O2765&lt;=90,"61-90","90+")))))</f>
        <v/>
      </c>
      <c r="T2765" s="32" t="str">
        <f aca="false">IF(F2765="","",IF(E2765="","Diğer",E2765))</f>
        <v/>
      </c>
      <c r="U2765" s="32" t="str">
        <f aca="false">IF(OR(F2765="",C2765=""),"",IF(COUNTIF($C$2:C2765,C2765)=1,MAX($U$1:U2764)+1,""))</f>
        <v/>
      </c>
    </row>
    <row r="2766" customFormat="false" ht="15" hidden="false" customHeight="false" outlineLevel="0" collapsed="false">
      <c r="A2766" s="34"/>
      <c r="B2766" s="9"/>
      <c r="C2766" s="34"/>
      <c r="D2766" s="34"/>
      <c r="E2766" s="34"/>
      <c r="F2766" s="35"/>
      <c r="G2766" s="9"/>
      <c r="H2766" s="9"/>
      <c r="I2766" s="34"/>
      <c r="J2766" s="30" t="str">
        <f aca="false">IF(F2766="","",G2766-B2766)</f>
        <v/>
      </c>
      <c r="K2766" s="31" t="str">
        <f aca="false">IF(F2766="","",IF(H2766&lt;&gt;"",H2766,MAX('Vade Sapması'!$D$3,G2766)))</f>
        <v/>
      </c>
      <c r="L2766" s="30" t="str">
        <f aca="false">IF(F2766="","",K2766-B2766)</f>
        <v/>
      </c>
      <c r="M2766" s="30" t="str">
        <f aca="false">IF(F2766="","",L2766-J2766)</f>
        <v/>
      </c>
      <c r="N2766" s="32" t="str">
        <f aca="false">IF(F2766="","",IF(H2766&lt;&gt;"","Kapandı",IF('Vade Sapması'!$D$3&gt;G2766,"Açık · vadesi geçti","Açık · vadesi gelmedi")))</f>
        <v/>
      </c>
      <c r="O2766" s="30" t="str">
        <f aca="false">IF(F2766="","",IF(AND(H2766="",'Vade Sapması'!$D$3&gt;G2766),'Vade Sapması'!$D$3-G2766,0))</f>
        <v/>
      </c>
      <c r="P2766" s="33" t="str">
        <f aca="false">IF(F2766="","",F2766*J2766)</f>
        <v/>
      </c>
      <c r="Q2766" s="33" t="str">
        <f aca="false">IF(F2766="","",F2766*L2766)</f>
        <v/>
      </c>
      <c r="R2766" s="33" t="str">
        <f aca="false">IF(F2766="","",IF(H2766="",F2766,0))</f>
        <v/>
      </c>
      <c r="S2766" s="32" t="str">
        <f aca="false">IF(F2766="","",IF(N(O2766)=0,"",IF(O2766&lt;=30,"1-30",IF(O2766&lt;=60,"31-60",IF(O2766&lt;=90,"61-90","90+")))))</f>
        <v/>
      </c>
      <c r="T2766" s="32" t="str">
        <f aca="false">IF(F2766="","",IF(E2766="","Diğer",E2766))</f>
        <v/>
      </c>
      <c r="U2766" s="32" t="str">
        <f aca="false">IF(OR(F2766="",C2766=""),"",IF(COUNTIF($C$2:C2766,C2766)=1,MAX($U$1:U2765)+1,""))</f>
        <v/>
      </c>
    </row>
    <row r="2767" customFormat="false" ht="15" hidden="false" customHeight="false" outlineLevel="0" collapsed="false">
      <c r="A2767" s="34"/>
      <c r="B2767" s="9"/>
      <c r="C2767" s="34"/>
      <c r="D2767" s="34"/>
      <c r="E2767" s="34"/>
      <c r="F2767" s="35"/>
      <c r="G2767" s="9"/>
      <c r="H2767" s="9"/>
      <c r="I2767" s="34"/>
      <c r="J2767" s="30" t="str">
        <f aca="false">IF(F2767="","",G2767-B2767)</f>
        <v/>
      </c>
      <c r="K2767" s="31" t="str">
        <f aca="false">IF(F2767="","",IF(H2767&lt;&gt;"",H2767,MAX('Vade Sapması'!$D$3,G2767)))</f>
        <v/>
      </c>
      <c r="L2767" s="30" t="str">
        <f aca="false">IF(F2767="","",K2767-B2767)</f>
        <v/>
      </c>
      <c r="M2767" s="30" t="str">
        <f aca="false">IF(F2767="","",L2767-J2767)</f>
        <v/>
      </c>
      <c r="N2767" s="32" t="str">
        <f aca="false">IF(F2767="","",IF(H2767&lt;&gt;"","Kapandı",IF('Vade Sapması'!$D$3&gt;G2767,"Açık · vadesi geçti","Açık · vadesi gelmedi")))</f>
        <v/>
      </c>
      <c r="O2767" s="30" t="str">
        <f aca="false">IF(F2767="","",IF(AND(H2767="",'Vade Sapması'!$D$3&gt;G2767),'Vade Sapması'!$D$3-G2767,0))</f>
        <v/>
      </c>
      <c r="P2767" s="33" t="str">
        <f aca="false">IF(F2767="","",F2767*J2767)</f>
        <v/>
      </c>
      <c r="Q2767" s="33" t="str">
        <f aca="false">IF(F2767="","",F2767*L2767)</f>
        <v/>
      </c>
      <c r="R2767" s="33" t="str">
        <f aca="false">IF(F2767="","",IF(H2767="",F2767,0))</f>
        <v/>
      </c>
      <c r="S2767" s="32" t="str">
        <f aca="false">IF(F2767="","",IF(N(O2767)=0,"",IF(O2767&lt;=30,"1-30",IF(O2767&lt;=60,"31-60",IF(O2767&lt;=90,"61-90","90+")))))</f>
        <v/>
      </c>
      <c r="T2767" s="32" t="str">
        <f aca="false">IF(F2767="","",IF(E2767="","Diğer",E2767))</f>
        <v/>
      </c>
      <c r="U2767" s="32" t="str">
        <f aca="false">IF(OR(F2767="",C2767=""),"",IF(COUNTIF($C$2:C2767,C2767)=1,MAX($U$1:U2766)+1,""))</f>
        <v/>
      </c>
    </row>
    <row r="2768" customFormat="false" ht="15" hidden="false" customHeight="false" outlineLevel="0" collapsed="false">
      <c r="A2768" s="34"/>
      <c r="B2768" s="9"/>
      <c r="C2768" s="34"/>
      <c r="D2768" s="34"/>
      <c r="E2768" s="34"/>
      <c r="F2768" s="35"/>
      <c r="G2768" s="9"/>
      <c r="H2768" s="9"/>
      <c r="I2768" s="34"/>
      <c r="J2768" s="30" t="str">
        <f aca="false">IF(F2768="","",G2768-B2768)</f>
        <v/>
      </c>
      <c r="K2768" s="31" t="str">
        <f aca="false">IF(F2768="","",IF(H2768&lt;&gt;"",H2768,MAX('Vade Sapması'!$D$3,G2768)))</f>
        <v/>
      </c>
      <c r="L2768" s="30" t="str">
        <f aca="false">IF(F2768="","",K2768-B2768)</f>
        <v/>
      </c>
      <c r="M2768" s="30" t="str">
        <f aca="false">IF(F2768="","",L2768-J2768)</f>
        <v/>
      </c>
      <c r="N2768" s="32" t="str">
        <f aca="false">IF(F2768="","",IF(H2768&lt;&gt;"","Kapandı",IF('Vade Sapması'!$D$3&gt;G2768,"Açık · vadesi geçti","Açık · vadesi gelmedi")))</f>
        <v/>
      </c>
      <c r="O2768" s="30" t="str">
        <f aca="false">IF(F2768="","",IF(AND(H2768="",'Vade Sapması'!$D$3&gt;G2768),'Vade Sapması'!$D$3-G2768,0))</f>
        <v/>
      </c>
      <c r="P2768" s="33" t="str">
        <f aca="false">IF(F2768="","",F2768*J2768)</f>
        <v/>
      </c>
      <c r="Q2768" s="33" t="str">
        <f aca="false">IF(F2768="","",F2768*L2768)</f>
        <v/>
      </c>
      <c r="R2768" s="33" t="str">
        <f aca="false">IF(F2768="","",IF(H2768="",F2768,0))</f>
        <v/>
      </c>
      <c r="S2768" s="32" t="str">
        <f aca="false">IF(F2768="","",IF(N(O2768)=0,"",IF(O2768&lt;=30,"1-30",IF(O2768&lt;=60,"31-60",IF(O2768&lt;=90,"61-90","90+")))))</f>
        <v/>
      </c>
      <c r="T2768" s="32" t="str">
        <f aca="false">IF(F2768="","",IF(E2768="","Diğer",E2768))</f>
        <v/>
      </c>
      <c r="U2768" s="32" t="str">
        <f aca="false">IF(OR(F2768="",C2768=""),"",IF(COUNTIF($C$2:C2768,C2768)=1,MAX($U$1:U2767)+1,""))</f>
        <v/>
      </c>
    </row>
    <row r="2769" customFormat="false" ht="15" hidden="false" customHeight="false" outlineLevel="0" collapsed="false">
      <c r="A2769" s="34"/>
      <c r="B2769" s="9"/>
      <c r="C2769" s="34"/>
      <c r="D2769" s="34"/>
      <c r="E2769" s="34"/>
      <c r="F2769" s="35"/>
      <c r="G2769" s="9"/>
      <c r="H2769" s="9"/>
      <c r="I2769" s="34"/>
      <c r="J2769" s="30" t="str">
        <f aca="false">IF(F2769="","",G2769-B2769)</f>
        <v/>
      </c>
      <c r="K2769" s="31" t="str">
        <f aca="false">IF(F2769="","",IF(H2769&lt;&gt;"",H2769,MAX('Vade Sapması'!$D$3,G2769)))</f>
        <v/>
      </c>
      <c r="L2769" s="30" t="str">
        <f aca="false">IF(F2769="","",K2769-B2769)</f>
        <v/>
      </c>
      <c r="M2769" s="30" t="str">
        <f aca="false">IF(F2769="","",L2769-J2769)</f>
        <v/>
      </c>
      <c r="N2769" s="32" t="str">
        <f aca="false">IF(F2769="","",IF(H2769&lt;&gt;"","Kapandı",IF('Vade Sapması'!$D$3&gt;G2769,"Açık · vadesi geçti","Açık · vadesi gelmedi")))</f>
        <v/>
      </c>
      <c r="O2769" s="30" t="str">
        <f aca="false">IF(F2769="","",IF(AND(H2769="",'Vade Sapması'!$D$3&gt;G2769),'Vade Sapması'!$D$3-G2769,0))</f>
        <v/>
      </c>
      <c r="P2769" s="33" t="str">
        <f aca="false">IF(F2769="","",F2769*J2769)</f>
        <v/>
      </c>
      <c r="Q2769" s="33" t="str">
        <f aca="false">IF(F2769="","",F2769*L2769)</f>
        <v/>
      </c>
      <c r="R2769" s="33" t="str">
        <f aca="false">IF(F2769="","",IF(H2769="",F2769,0))</f>
        <v/>
      </c>
      <c r="S2769" s="32" t="str">
        <f aca="false">IF(F2769="","",IF(N(O2769)=0,"",IF(O2769&lt;=30,"1-30",IF(O2769&lt;=60,"31-60",IF(O2769&lt;=90,"61-90","90+")))))</f>
        <v/>
      </c>
      <c r="T2769" s="32" t="str">
        <f aca="false">IF(F2769="","",IF(E2769="","Diğer",E2769))</f>
        <v/>
      </c>
      <c r="U2769" s="32" t="str">
        <f aca="false">IF(OR(F2769="",C2769=""),"",IF(COUNTIF($C$2:C2769,C2769)=1,MAX($U$1:U2768)+1,""))</f>
        <v/>
      </c>
    </row>
    <row r="2770" customFormat="false" ht="15" hidden="false" customHeight="false" outlineLevel="0" collapsed="false">
      <c r="A2770" s="34"/>
      <c r="B2770" s="9"/>
      <c r="C2770" s="34"/>
      <c r="D2770" s="34"/>
      <c r="E2770" s="34"/>
      <c r="F2770" s="35"/>
      <c r="G2770" s="9"/>
      <c r="H2770" s="9"/>
      <c r="I2770" s="34"/>
      <c r="J2770" s="30" t="str">
        <f aca="false">IF(F2770="","",G2770-B2770)</f>
        <v/>
      </c>
      <c r="K2770" s="31" t="str">
        <f aca="false">IF(F2770="","",IF(H2770&lt;&gt;"",H2770,MAX('Vade Sapması'!$D$3,G2770)))</f>
        <v/>
      </c>
      <c r="L2770" s="30" t="str">
        <f aca="false">IF(F2770="","",K2770-B2770)</f>
        <v/>
      </c>
      <c r="M2770" s="30" t="str">
        <f aca="false">IF(F2770="","",L2770-J2770)</f>
        <v/>
      </c>
      <c r="N2770" s="32" t="str">
        <f aca="false">IF(F2770="","",IF(H2770&lt;&gt;"","Kapandı",IF('Vade Sapması'!$D$3&gt;G2770,"Açık · vadesi geçti","Açık · vadesi gelmedi")))</f>
        <v/>
      </c>
      <c r="O2770" s="30" t="str">
        <f aca="false">IF(F2770="","",IF(AND(H2770="",'Vade Sapması'!$D$3&gt;G2770),'Vade Sapması'!$D$3-G2770,0))</f>
        <v/>
      </c>
      <c r="P2770" s="33" t="str">
        <f aca="false">IF(F2770="","",F2770*J2770)</f>
        <v/>
      </c>
      <c r="Q2770" s="33" t="str">
        <f aca="false">IF(F2770="","",F2770*L2770)</f>
        <v/>
      </c>
      <c r="R2770" s="33" t="str">
        <f aca="false">IF(F2770="","",IF(H2770="",F2770,0))</f>
        <v/>
      </c>
      <c r="S2770" s="32" t="str">
        <f aca="false">IF(F2770="","",IF(N(O2770)=0,"",IF(O2770&lt;=30,"1-30",IF(O2770&lt;=60,"31-60",IF(O2770&lt;=90,"61-90","90+")))))</f>
        <v/>
      </c>
      <c r="T2770" s="32" t="str">
        <f aca="false">IF(F2770="","",IF(E2770="","Diğer",E2770))</f>
        <v/>
      </c>
      <c r="U2770" s="32" t="str">
        <f aca="false">IF(OR(F2770="",C2770=""),"",IF(COUNTIF($C$2:C2770,C2770)=1,MAX($U$1:U2769)+1,""))</f>
        <v/>
      </c>
    </row>
    <row r="2771" customFormat="false" ht="15" hidden="false" customHeight="false" outlineLevel="0" collapsed="false">
      <c r="A2771" s="34"/>
      <c r="B2771" s="9"/>
      <c r="C2771" s="34"/>
      <c r="D2771" s="34"/>
      <c r="E2771" s="34"/>
      <c r="F2771" s="35"/>
      <c r="G2771" s="9"/>
      <c r="H2771" s="9"/>
      <c r="I2771" s="34"/>
      <c r="J2771" s="30" t="str">
        <f aca="false">IF(F2771="","",G2771-B2771)</f>
        <v/>
      </c>
      <c r="K2771" s="31" t="str">
        <f aca="false">IF(F2771="","",IF(H2771&lt;&gt;"",H2771,MAX('Vade Sapması'!$D$3,G2771)))</f>
        <v/>
      </c>
      <c r="L2771" s="30" t="str">
        <f aca="false">IF(F2771="","",K2771-B2771)</f>
        <v/>
      </c>
      <c r="M2771" s="30" t="str">
        <f aca="false">IF(F2771="","",L2771-J2771)</f>
        <v/>
      </c>
      <c r="N2771" s="32" t="str">
        <f aca="false">IF(F2771="","",IF(H2771&lt;&gt;"","Kapandı",IF('Vade Sapması'!$D$3&gt;G2771,"Açık · vadesi geçti","Açık · vadesi gelmedi")))</f>
        <v/>
      </c>
      <c r="O2771" s="30" t="str">
        <f aca="false">IF(F2771="","",IF(AND(H2771="",'Vade Sapması'!$D$3&gt;G2771),'Vade Sapması'!$D$3-G2771,0))</f>
        <v/>
      </c>
      <c r="P2771" s="33" t="str">
        <f aca="false">IF(F2771="","",F2771*J2771)</f>
        <v/>
      </c>
      <c r="Q2771" s="33" t="str">
        <f aca="false">IF(F2771="","",F2771*L2771)</f>
        <v/>
      </c>
      <c r="R2771" s="33" t="str">
        <f aca="false">IF(F2771="","",IF(H2771="",F2771,0))</f>
        <v/>
      </c>
      <c r="S2771" s="32" t="str">
        <f aca="false">IF(F2771="","",IF(N(O2771)=0,"",IF(O2771&lt;=30,"1-30",IF(O2771&lt;=60,"31-60",IF(O2771&lt;=90,"61-90","90+")))))</f>
        <v/>
      </c>
      <c r="T2771" s="32" t="str">
        <f aca="false">IF(F2771="","",IF(E2771="","Diğer",E2771))</f>
        <v/>
      </c>
      <c r="U2771" s="32" t="str">
        <f aca="false">IF(OR(F2771="",C2771=""),"",IF(COUNTIF($C$2:C2771,C2771)=1,MAX($U$1:U2770)+1,""))</f>
        <v/>
      </c>
    </row>
    <row r="2772" customFormat="false" ht="15" hidden="false" customHeight="false" outlineLevel="0" collapsed="false">
      <c r="A2772" s="34"/>
      <c r="B2772" s="9"/>
      <c r="C2772" s="34"/>
      <c r="D2772" s="34"/>
      <c r="E2772" s="34"/>
      <c r="F2772" s="35"/>
      <c r="G2772" s="9"/>
      <c r="H2772" s="9"/>
      <c r="I2772" s="34"/>
      <c r="J2772" s="30" t="str">
        <f aca="false">IF(F2772="","",G2772-B2772)</f>
        <v/>
      </c>
      <c r="K2772" s="31" t="str">
        <f aca="false">IF(F2772="","",IF(H2772&lt;&gt;"",H2772,MAX('Vade Sapması'!$D$3,G2772)))</f>
        <v/>
      </c>
      <c r="L2772" s="30" t="str">
        <f aca="false">IF(F2772="","",K2772-B2772)</f>
        <v/>
      </c>
      <c r="M2772" s="30" t="str">
        <f aca="false">IF(F2772="","",L2772-J2772)</f>
        <v/>
      </c>
      <c r="N2772" s="32" t="str">
        <f aca="false">IF(F2772="","",IF(H2772&lt;&gt;"","Kapandı",IF('Vade Sapması'!$D$3&gt;G2772,"Açık · vadesi geçti","Açık · vadesi gelmedi")))</f>
        <v/>
      </c>
      <c r="O2772" s="30" t="str">
        <f aca="false">IF(F2772="","",IF(AND(H2772="",'Vade Sapması'!$D$3&gt;G2772),'Vade Sapması'!$D$3-G2772,0))</f>
        <v/>
      </c>
      <c r="P2772" s="33" t="str">
        <f aca="false">IF(F2772="","",F2772*J2772)</f>
        <v/>
      </c>
      <c r="Q2772" s="33" t="str">
        <f aca="false">IF(F2772="","",F2772*L2772)</f>
        <v/>
      </c>
      <c r="R2772" s="33" t="str">
        <f aca="false">IF(F2772="","",IF(H2772="",F2772,0))</f>
        <v/>
      </c>
      <c r="S2772" s="32" t="str">
        <f aca="false">IF(F2772="","",IF(N(O2772)=0,"",IF(O2772&lt;=30,"1-30",IF(O2772&lt;=60,"31-60",IF(O2772&lt;=90,"61-90","90+")))))</f>
        <v/>
      </c>
      <c r="T2772" s="32" t="str">
        <f aca="false">IF(F2772="","",IF(E2772="","Diğer",E2772))</f>
        <v/>
      </c>
      <c r="U2772" s="32" t="str">
        <f aca="false">IF(OR(F2772="",C2772=""),"",IF(COUNTIF($C$2:C2772,C2772)=1,MAX($U$1:U2771)+1,""))</f>
        <v/>
      </c>
    </row>
    <row r="2773" customFormat="false" ht="15" hidden="false" customHeight="false" outlineLevel="0" collapsed="false">
      <c r="A2773" s="34"/>
      <c r="B2773" s="9"/>
      <c r="C2773" s="34"/>
      <c r="D2773" s="34"/>
      <c r="E2773" s="34"/>
      <c r="F2773" s="35"/>
      <c r="G2773" s="9"/>
      <c r="H2773" s="9"/>
      <c r="I2773" s="34"/>
      <c r="J2773" s="30" t="str">
        <f aca="false">IF(F2773="","",G2773-B2773)</f>
        <v/>
      </c>
      <c r="K2773" s="31" t="str">
        <f aca="false">IF(F2773="","",IF(H2773&lt;&gt;"",H2773,MAX('Vade Sapması'!$D$3,G2773)))</f>
        <v/>
      </c>
      <c r="L2773" s="30" t="str">
        <f aca="false">IF(F2773="","",K2773-B2773)</f>
        <v/>
      </c>
      <c r="M2773" s="30" t="str">
        <f aca="false">IF(F2773="","",L2773-J2773)</f>
        <v/>
      </c>
      <c r="N2773" s="32" t="str">
        <f aca="false">IF(F2773="","",IF(H2773&lt;&gt;"","Kapandı",IF('Vade Sapması'!$D$3&gt;G2773,"Açık · vadesi geçti","Açık · vadesi gelmedi")))</f>
        <v/>
      </c>
      <c r="O2773" s="30" t="str">
        <f aca="false">IF(F2773="","",IF(AND(H2773="",'Vade Sapması'!$D$3&gt;G2773),'Vade Sapması'!$D$3-G2773,0))</f>
        <v/>
      </c>
      <c r="P2773" s="33" t="str">
        <f aca="false">IF(F2773="","",F2773*J2773)</f>
        <v/>
      </c>
      <c r="Q2773" s="33" t="str">
        <f aca="false">IF(F2773="","",F2773*L2773)</f>
        <v/>
      </c>
      <c r="R2773" s="33" t="str">
        <f aca="false">IF(F2773="","",IF(H2773="",F2773,0))</f>
        <v/>
      </c>
      <c r="S2773" s="32" t="str">
        <f aca="false">IF(F2773="","",IF(N(O2773)=0,"",IF(O2773&lt;=30,"1-30",IF(O2773&lt;=60,"31-60",IF(O2773&lt;=90,"61-90","90+")))))</f>
        <v/>
      </c>
      <c r="T2773" s="32" t="str">
        <f aca="false">IF(F2773="","",IF(E2773="","Diğer",E2773))</f>
        <v/>
      </c>
      <c r="U2773" s="32" t="str">
        <f aca="false">IF(OR(F2773="",C2773=""),"",IF(COUNTIF($C$2:C2773,C2773)=1,MAX($U$1:U2772)+1,""))</f>
        <v/>
      </c>
    </row>
    <row r="2774" customFormat="false" ht="15" hidden="false" customHeight="false" outlineLevel="0" collapsed="false">
      <c r="A2774" s="34"/>
      <c r="B2774" s="9"/>
      <c r="C2774" s="34"/>
      <c r="D2774" s="34"/>
      <c r="E2774" s="34"/>
      <c r="F2774" s="35"/>
      <c r="G2774" s="9"/>
      <c r="H2774" s="9"/>
      <c r="I2774" s="34"/>
      <c r="J2774" s="30" t="str">
        <f aca="false">IF(F2774="","",G2774-B2774)</f>
        <v/>
      </c>
      <c r="K2774" s="31" t="str">
        <f aca="false">IF(F2774="","",IF(H2774&lt;&gt;"",H2774,MAX('Vade Sapması'!$D$3,G2774)))</f>
        <v/>
      </c>
      <c r="L2774" s="30" t="str">
        <f aca="false">IF(F2774="","",K2774-B2774)</f>
        <v/>
      </c>
      <c r="M2774" s="30" t="str">
        <f aca="false">IF(F2774="","",L2774-J2774)</f>
        <v/>
      </c>
      <c r="N2774" s="32" t="str">
        <f aca="false">IF(F2774="","",IF(H2774&lt;&gt;"","Kapandı",IF('Vade Sapması'!$D$3&gt;G2774,"Açık · vadesi geçti","Açık · vadesi gelmedi")))</f>
        <v/>
      </c>
      <c r="O2774" s="30" t="str">
        <f aca="false">IF(F2774="","",IF(AND(H2774="",'Vade Sapması'!$D$3&gt;G2774),'Vade Sapması'!$D$3-G2774,0))</f>
        <v/>
      </c>
      <c r="P2774" s="33" t="str">
        <f aca="false">IF(F2774="","",F2774*J2774)</f>
        <v/>
      </c>
      <c r="Q2774" s="33" t="str">
        <f aca="false">IF(F2774="","",F2774*L2774)</f>
        <v/>
      </c>
      <c r="R2774" s="33" t="str">
        <f aca="false">IF(F2774="","",IF(H2774="",F2774,0))</f>
        <v/>
      </c>
      <c r="S2774" s="32" t="str">
        <f aca="false">IF(F2774="","",IF(N(O2774)=0,"",IF(O2774&lt;=30,"1-30",IF(O2774&lt;=60,"31-60",IF(O2774&lt;=90,"61-90","90+")))))</f>
        <v/>
      </c>
      <c r="T2774" s="32" t="str">
        <f aca="false">IF(F2774="","",IF(E2774="","Diğer",E2774))</f>
        <v/>
      </c>
      <c r="U2774" s="32" t="str">
        <f aca="false">IF(OR(F2774="",C2774=""),"",IF(COUNTIF($C$2:C2774,C2774)=1,MAX($U$1:U2773)+1,""))</f>
        <v/>
      </c>
    </row>
    <row r="2775" customFormat="false" ht="15" hidden="false" customHeight="false" outlineLevel="0" collapsed="false">
      <c r="A2775" s="34"/>
      <c r="B2775" s="9"/>
      <c r="C2775" s="34"/>
      <c r="D2775" s="34"/>
      <c r="E2775" s="34"/>
      <c r="F2775" s="35"/>
      <c r="G2775" s="9"/>
      <c r="H2775" s="9"/>
      <c r="I2775" s="34"/>
      <c r="J2775" s="30" t="str">
        <f aca="false">IF(F2775="","",G2775-B2775)</f>
        <v/>
      </c>
      <c r="K2775" s="31" t="str">
        <f aca="false">IF(F2775="","",IF(H2775&lt;&gt;"",H2775,MAX('Vade Sapması'!$D$3,G2775)))</f>
        <v/>
      </c>
      <c r="L2775" s="30" t="str">
        <f aca="false">IF(F2775="","",K2775-B2775)</f>
        <v/>
      </c>
      <c r="M2775" s="30" t="str">
        <f aca="false">IF(F2775="","",L2775-J2775)</f>
        <v/>
      </c>
      <c r="N2775" s="32" t="str">
        <f aca="false">IF(F2775="","",IF(H2775&lt;&gt;"","Kapandı",IF('Vade Sapması'!$D$3&gt;G2775,"Açık · vadesi geçti","Açık · vadesi gelmedi")))</f>
        <v/>
      </c>
      <c r="O2775" s="30" t="str">
        <f aca="false">IF(F2775="","",IF(AND(H2775="",'Vade Sapması'!$D$3&gt;G2775),'Vade Sapması'!$D$3-G2775,0))</f>
        <v/>
      </c>
      <c r="P2775" s="33" t="str">
        <f aca="false">IF(F2775="","",F2775*J2775)</f>
        <v/>
      </c>
      <c r="Q2775" s="33" t="str">
        <f aca="false">IF(F2775="","",F2775*L2775)</f>
        <v/>
      </c>
      <c r="R2775" s="33" t="str">
        <f aca="false">IF(F2775="","",IF(H2775="",F2775,0))</f>
        <v/>
      </c>
      <c r="S2775" s="32" t="str">
        <f aca="false">IF(F2775="","",IF(N(O2775)=0,"",IF(O2775&lt;=30,"1-30",IF(O2775&lt;=60,"31-60",IF(O2775&lt;=90,"61-90","90+")))))</f>
        <v/>
      </c>
      <c r="T2775" s="32" t="str">
        <f aca="false">IF(F2775="","",IF(E2775="","Diğer",E2775))</f>
        <v/>
      </c>
      <c r="U2775" s="32" t="str">
        <f aca="false">IF(OR(F2775="",C2775=""),"",IF(COUNTIF($C$2:C2775,C2775)=1,MAX($U$1:U2774)+1,""))</f>
        <v/>
      </c>
    </row>
    <row r="2776" customFormat="false" ht="15" hidden="false" customHeight="false" outlineLevel="0" collapsed="false">
      <c r="A2776" s="34"/>
      <c r="B2776" s="9"/>
      <c r="C2776" s="34"/>
      <c r="D2776" s="34"/>
      <c r="E2776" s="34"/>
      <c r="F2776" s="35"/>
      <c r="G2776" s="9"/>
      <c r="H2776" s="9"/>
      <c r="I2776" s="34"/>
      <c r="J2776" s="30" t="str">
        <f aca="false">IF(F2776="","",G2776-B2776)</f>
        <v/>
      </c>
      <c r="K2776" s="31" t="str">
        <f aca="false">IF(F2776="","",IF(H2776&lt;&gt;"",H2776,MAX('Vade Sapması'!$D$3,G2776)))</f>
        <v/>
      </c>
      <c r="L2776" s="30" t="str">
        <f aca="false">IF(F2776="","",K2776-B2776)</f>
        <v/>
      </c>
      <c r="M2776" s="30" t="str">
        <f aca="false">IF(F2776="","",L2776-J2776)</f>
        <v/>
      </c>
      <c r="N2776" s="32" t="str">
        <f aca="false">IF(F2776="","",IF(H2776&lt;&gt;"","Kapandı",IF('Vade Sapması'!$D$3&gt;G2776,"Açık · vadesi geçti","Açık · vadesi gelmedi")))</f>
        <v/>
      </c>
      <c r="O2776" s="30" t="str">
        <f aca="false">IF(F2776="","",IF(AND(H2776="",'Vade Sapması'!$D$3&gt;G2776),'Vade Sapması'!$D$3-G2776,0))</f>
        <v/>
      </c>
      <c r="P2776" s="33" t="str">
        <f aca="false">IF(F2776="","",F2776*J2776)</f>
        <v/>
      </c>
      <c r="Q2776" s="33" t="str">
        <f aca="false">IF(F2776="","",F2776*L2776)</f>
        <v/>
      </c>
      <c r="R2776" s="33" t="str">
        <f aca="false">IF(F2776="","",IF(H2776="",F2776,0))</f>
        <v/>
      </c>
      <c r="S2776" s="32" t="str">
        <f aca="false">IF(F2776="","",IF(N(O2776)=0,"",IF(O2776&lt;=30,"1-30",IF(O2776&lt;=60,"31-60",IF(O2776&lt;=90,"61-90","90+")))))</f>
        <v/>
      </c>
      <c r="T2776" s="32" t="str">
        <f aca="false">IF(F2776="","",IF(E2776="","Diğer",E2776))</f>
        <v/>
      </c>
      <c r="U2776" s="32" t="str">
        <f aca="false">IF(OR(F2776="",C2776=""),"",IF(COUNTIF($C$2:C2776,C2776)=1,MAX($U$1:U2775)+1,""))</f>
        <v/>
      </c>
    </row>
    <row r="2777" customFormat="false" ht="15" hidden="false" customHeight="false" outlineLevel="0" collapsed="false">
      <c r="A2777" s="34"/>
      <c r="B2777" s="9"/>
      <c r="C2777" s="34"/>
      <c r="D2777" s="34"/>
      <c r="E2777" s="34"/>
      <c r="F2777" s="35"/>
      <c r="G2777" s="9"/>
      <c r="H2777" s="9"/>
      <c r="I2777" s="34"/>
      <c r="J2777" s="30" t="str">
        <f aca="false">IF(F2777="","",G2777-B2777)</f>
        <v/>
      </c>
      <c r="K2777" s="31" t="str">
        <f aca="false">IF(F2777="","",IF(H2777&lt;&gt;"",H2777,MAX('Vade Sapması'!$D$3,G2777)))</f>
        <v/>
      </c>
      <c r="L2777" s="30" t="str">
        <f aca="false">IF(F2777="","",K2777-B2777)</f>
        <v/>
      </c>
      <c r="M2777" s="30" t="str">
        <f aca="false">IF(F2777="","",L2777-J2777)</f>
        <v/>
      </c>
      <c r="N2777" s="32" t="str">
        <f aca="false">IF(F2777="","",IF(H2777&lt;&gt;"","Kapandı",IF('Vade Sapması'!$D$3&gt;G2777,"Açık · vadesi geçti","Açık · vadesi gelmedi")))</f>
        <v/>
      </c>
      <c r="O2777" s="30" t="str">
        <f aca="false">IF(F2777="","",IF(AND(H2777="",'Vade Sapması'!$D$3&gt;G2777),'Vade Sapması'!$D$3-G2777,0))</f>
        <v/>
      </c>
      <c r="P2777" s="33" t="str">
        <f aca="false">IF(F2777="","",F2777*J2777)</f>
        <v/>
      </c>
      <c r="Q2777" s="33" t="str">
        <f aca="false">IF(F2777="","",F2777*L2777)</f>
        <v/>
      </c>
      <c r="R2777" s="33" t="str">
        <f aca="false">IF(F2777="","",IF(H2777="",F2777,0))</f>
        <v/>
      </c>
      <c r="S2777" s="32" t="str">
        <f aca="false">IF(F2777="","",IF(N(O2777)=0,"",IF(O2777&lt;=30,"1-30",IF(O2777&lt;=60,"31-60",IF(O2777&lt;=90,"61-90","90+")))))</f>
        <v/>
      </c>
      <c r="T2777" s="32" t="str">
        <f aca="false">IF(F2777="","",IF(E2777="","Diğer",E2777))</f>
        <v/>
      </c>
      <c r="U2777" s="32" t="str">
        <f aca="false">IF(OR(F2777="",C2777=""),"",IF(COUNTIF($C$2:C2777,C2777)=1,MAX($U$1:U2776)+1,""))</f>
        <v/>
      </c>
    </row>
    <row r="2778" customFormat="false" ht="15" hidden="false" customHeight="false" outlineLevel="0" collapsed="false">
      <c r="A2778" s="34"/>
      <c r="B2778" s="9"/>
      <c r="C2778" s="34"/>
      <c r="D2778" s="34"/>
      <c r="E2778" s="34"/>
      <c r="F2778" s="35"/>
      <c r="G2778" s="9"/>
      <c r="H2778" s="9"/>
      <c r="I2778" s="34"/>
      <c r="J2778" s="30" t="str">
        <f aca="false">IF(F2778="","",G2778-B2778)</f>
        <v/>
      </c>
      <c r="K2778" s="31" t="str">
        <f aca="false">IF(F2778="","",IF(H2778&lt;&gt;"",H2778,MAX('Vade Sapması'!$D$3,G2778)))</f>
        <v/>
      </c>
      <c r="L2778" s="30" t="str">
        <f aca="false">IF(F2778="","",K2778-B2778)</f>
        <v/>
      </c>
      <c r="M2778" s="30" t="str">
        <f aca="false">IF(F2778="","",L2778-J2778)</f>
        <v/>
      </c>
      <c r="N2778" s="32" t="str">
        <f aca="false">IF(F2778="","",IF(H2778&lt;&gt;"","Kapandı",IF('Vade Sapması'!$D$3&gt;G2778,"Açık · vadesi geçti","Açık · vadesi gelmedi")))</f>
        <v/>
      </c>
      <c r="O2778" s="30" t="str">
        <f aca="false">IF(F2778="","",IF(AND(H2778="",'Vade Sapması'!$D$3&gt;G2778),'Vade Sapması'!$D$3-G2778,0))</f>
        <v/>
      </c>
      <c r="P2778" s="33" t="str">
        <f aca="false">IF(F2778="","",F2778*J2778)</f>
        <v/>
      </c>
      <c r="Q2778" s="33" t="str">
        <f aca="false">IF(F2778="","",F2778*L2778)</f>
        <v/>
      </c>
      <c r="R2778" s="33" t="str">
        <f aca="false">IF(F2778="","",IF(H2778="",F2778,0))</f>
        <v/>
      </c>
      <c r="S2778" s="32" t="str">
        <f aca="false">IF(F2778="","",IF(N(O2778)=0,"",IF(O2778&lt;=30,"1-30",IF(O2778&lt;=60,"31-60",IF(O2778&lt;=90,"61-90","90+")))))</f>
        <v/>
      </c>
      <c r="T2778" s="32" t="str">
        <f aca="false">IF(F2778="","",IF(E2778="","Diğer",E2778))</f>
        <v/>
      </c>
      <c r="U2778" s="32" t="str">
        <f aca="false">IF(OR(F2778="",C2778=""),"",IF(COUNTIF($C$2:C2778,C2778)=1,MAX($U$1:U2777)+1,""))</f>
        <v/>
      </c>
    </row>
    <row r="2779" customFormat="false" ht="15" hidden="false" customHeight="false" outlineLevel="0" collapsed="false">
      <c r="A2779" s="34"/>
      <c r="B2779" s="9"/>
      <c r="C2779" s="34"/>
      <c r="D2779" s="34"/>
      <c r="E2779" s="34"/>
      <c r="F2779" s="35"/>
      <c r="G2779" s="9"/>
      <c r="H2779" s="9"/>
      <c r="I2779" s="34"/>
      <c r="J2779" s="30" t="str">
        <f aca="false">IF(F2779="","",G2779-B2779)</f>
        <v/>
      </c>
      <c r="K2779" s="31" t="str">
        <f aca="false">IF(F2779="","",IF(H2779&lt;&gt;"",H2779,MAX('Vade Sapması'!$D$3,G2779)))</f>
        <v/>
      </c>
      <c r="L2779" s="30" t="str">
        <f aca="false">IF(F2779="","",K2779-B2779)</f>
        <v/>
      </c>
      <c r="M2779" s="30" t="str">
        <f aca="false">IF(F2779="","",L2779-J2779)</f>
        <v/>
      </c>
      <c r="N2779" s="32" t="str">
        <f aca="false">IF(F2779="","",IF(H2779&lt;&gt;"","Kapandı",IF('Vade Sapması'!$D$3&gt;G2779,"Açık · vadesi geçti","Açık · vadesi gelmedi")))</f>
        <v/>
      </c>
      <c r="O2779" s="30" t="str">
        <f aca="false">IF(F2779="","",IF(AND(H2779="",'Vade Sapması'!$D$3&gt;G2779),'Vade Sapması'!$D$3-G2779,0))</f>
        <v/>
      </c>
      <c r="P2779" s="33" t="str">
        <f aca="false">IF(F2779="","",F2779*J2779)</f>
        <v/>
      </c>
      <c r="Q2779" s="33" t="str">
        <f aca="false">IF(F2779="","",F2779*L2779)</f>
        <v/>
      </c>
      <c r="R2779" s="33" t="str">
        <f aca="false">IF(F2779="","",IF(H2779="",F2779,0))</f>
        <v/>
      </c>
      <c r="S2779" s="32" t="str">
        <f aca="false">IF(F2779="","",IF(N(O2779)=0,"",IF(O2779&lt;=30,"1-30",IF(O2779&lt;=60,"31-60",IF(O2779&lt;=90,"61-90","90+")))))</f>
        <v/>
      </c>
      <c r="T2779" s="32" t="str">
        <f aca="false">IF(F2779="","",IF(E2779="","Diğer",E2779))</f>
        <v/>
      </c>
      <c r="U2779" s="32" t="str">
        <f aca="false">IF(OR(F2779="",C2779=""),"",IF(COUNTIF($C$2:C2779,C2779)=1,MAX($U$1:U2778)+1,""))</f>
        <v/>
      </c>
    </row>
    <row r="2780" customFormat="false" ht="15" hidden="false" customHeight="false" outlineLevel="0" collapsed="false">
      <c r="A2780" s="34"/>
      <c r="B2780" s="9"/>
      <c r="C2780" s="34"/>
      <c r="D2780" s="34"/>
      <c r="E2780" s="34"/>
      <c r="F2780" s="35"/>
      <c r="G2780" s="9"/>
      <c r="H2780" s="9"/>
      <c r="I2780" s="34"/>
      <c r="J2780" s="30" t="str">
        <f aca="false">IF(F2780="","",G2780-B2780)</f>
        <v/>
      </c>
      <c r="K2780" s="31" t="str">
        <f aca="false">IF(F2780="","",IF(H2780&lt;&gt;"",H2780,MAX('Vade Sapması'!$D$3,G2780)))</f>
        <v/>
      </c>
      <c r="L2780" s="30" t="str">
        <f aca="false">IF(F2780="","",K2780-B2780)</f>
        <v/>
      </c>
      <c r="M2780" s="30" t="str">
        <f aca="false">IF(F2780="","",L2780-J2780)</f>
        <v/>
      </c>
      <c r="N2780" s="32" t="str">
        <f aca="false">IF(F2780="","",IF(H2780&lt;&gt;"","Kapandı",IF('Vade Sapması'!$D$3&gt;G2780,"Açık · vadesi geçti","Açık · vadesi gelmedi")))</f>
        <v/>
      </c>
      <c r="O2780" s="30" t="str">
        <f aca="false">IF(F2780="","",IF(AND(H2780="",'Vade Sapması'!$D$3&gt;G2780),'Vade Sapması'!$D$3-G2780,0))</f>
        <v/>
      </c>
      <c r="P2780" s="33" t="str">
        <f aca="false">IF(F2780="","",F2780*J2780)</f>
        <v/>
      </c>
      <c r="Q2780" s="33" t="str">
        <f aca="false">IF(F2780="","",F2780*L2780)</f>
        <v/>
      </c>
      <c r="R2780" s="33" t="str">
        <f aca="false">IF(F2780="","",IF(H2780="",F2780,0))</f>
        <v/>
      </c>
      <c r="S2780" s="32" t="str">
        <f aca="false">IF(F2780="","",IF(N(O2780)=0,"",IF(O2780&lt;=30,"1-30",IF(O2780&lt;=60,"31-60",IF(O2780&lt;=90,"61-90","90+")))))</f>
        <v/>
      </c>
      <c r="T2780" s="32" t="str">
        <f aca="false">IF(F2780="","",IF(E2780="","Diğer",E2780))</f>
        <v/>
      </c>
      <c r="U2780" s="32" t="str">
        <f aca="false">IF(OR(F2780="",C2780=""),"",IF(COUNTIF($C$2:C2780,C2780)=1,MAX($U$1:U2779)+1,""))</f>
        <v/>
      </c>
    </row>
    <row r="2781" customFormat="false" ht="15" hidden="false" customHeight="false" outlineLevel="0" collapsed="false">
      <c r="A2781" s="34"/>
      <c r="B2781" s="9"/>
      <c r="C2781" s="34"/>
      <c r="D2781" s="34"/>
      <c r="E2781" s="34"/>
      <c r="F2781" s="35"/>
      <c r="G2781" s="9"/>
      <c r="H2781" s="9"/>
      <c r="I2781" s="34"/>
      <c r="J2781" s="30" t="str">
        <f aca="false">IF(F2781="","",G2781-B2781)</f>
        <v/>
      </c>
      <c r="K2781" s="31" t="str">
        <f aca="false">IF(F2781="","",IF(H2781&lt;&gt;"",H2781,MAX('Vade Sapması'!$D$3,G2781)))</f>
        <v/>
      </c>
      <c r="L2781" s="30" t="str">
        <f aca="false">IF(F2781="","",K2781-B2781)</f>
        <v/>
      </c>
      <c r="M2781" s="30" t="str">
        <f aca="false">IF(F2781="","",L2781-J2781)</f>
        <v/>
      </c>
      <c r="N2781" s="32" t="str">
        <f aca="false">IF(F2781="","",IF(H2781&lt;&gt;"","Kapandı",IF('Vade Sapması'!$D$3&gt;G2781,"Açık · vadesi geçti","Açık · vadesi gelmedi")))</f>
        <v/>
      </c>
      <c r="O2781" s="30" t="str">
        <f aca="false">IF(F2781="","",IF(AND(H2781="",'Vade Sapması'!$D$3&gt;G2781),'Vade Sapması'!$D$3-G2781,0))</f>
        <v/>
      </c>
      <c r="P2781" s="33" t="str">
        <f aca="false">IF(F2781="","",F2781*J2781)</f>
        <v/>
      </c>
      <c r="Q2781" s="33" t="str">
        <f aca="false">IF(F2781="","",F2781*L2781)</f>
        <v/>
      </c>
      <c r="R2781" s="33" t="str">
        <f aca="false">IF(F2781="","",IF(H2781="",F2781,0))</f>
        <v/>
      </c>
      <c r="S2781" s="32" t="str">
        <f aca="false">IF(F2781="","",IF(N(O2781)=0,"",IF(O2781&lt;=30,"1-30",IF(O2781&lt;=60,"31-60",IF(O2781&lt;=90,"61-90","90+")))))</f>
        <v/>
      </c>
      <c r="T2781" s="32" t="str">
        <f aca="false">IF(F2781="","",IF(E2781="","Diğer",E2781))</f>
        <v/>
      </c>
      <c r="U2781" s="32" t="str">
        <f aca="false">IF(OR(F2781="",C2781=""),"",IF(COUNTIF($C$2:C2781,C2781)=1,MAX($U$1:U2780)+1,""))</f>
        <v/>
      </c>
    </row>
    <row r="2782" customFormat="false" ht="15" hidden="false" customHeight="false" outlineLevel="0" collapsed="false">
      <c r="A2782" s="34"/>
      <c r="B2782" s="9"/>
      <c r="C2782" s="34"/>
      <c r="D2782" s="34"/>
      <c r="E2782" s="34"/>
      <c r="F2782" s="35"/>
      <c r="G2782" s="9"/>
      <c r="H2782" s="9"/>
      <c r="I2782" s="34"/>
      <c r="J2782" s="30" t="str">
        <f aca="false">IF(F2782="","",G2782-B2782)</f>
        <v/>
      </c>
      <c r="K2782" s="31" t="str">
        <f aca="false">IF(F2782="","",IF(H2782&lt;&gt;"",H2782,MAX('Vade Sapması'!$D$3,G2782)))</f>
        <v/>
      </c>
      <c r="L2782" s="30" t="str">
        <f aca="false">IF(F2782="","",K2782-B2782)</f>
        <v/>
      </c>
      <c r="M2782" s="30" t="str">
        <f aca="false">IF(F2782="","",L2782-J2782)</f>
        <v/>
      </c>
      <c r="N2782" s="32" t="str">
        <f aca="false">IF(F2782="","",IF(H2782&lt;&gt;"","Kapandı",IF('Vade Sapması'!$D$3&gt;G2782,"Açık · vadesi geçti","Açık · vadesi gelmedi")))</f>
        <v/>
      </c>
      <c r="O2782" s="30" t="str">
        <f aca="false">IF(F2782="","",IF(AND(H2782="",'Vade Sapması'!$D$3&gt;G2782),'Vade Sapması'!$D$3-G2782,0))</f>
        <v/>
      </c>
      <c r="P2782" s="33" t="str">
        <f aca="false">IF(F2782="","",F2782*J2782)</f>
        <v/>
      </c>
      <c r="Q2782" s="33" t="str">
        <f aca="false">IF(F2782="","",F2782*L2782)</f>
        <v/>
      </c>
      <c r="R2782" s="33" t="str">
        <f aca="false">IF(F2782="","",IF(H2782="",F2782,0))</f>
        <v/>
      </c>
      <c r="S2782" s="32" t="str">
        <f aca="false">IF(F2782="","",IF(N(O2782)=0,"",IF(O2782&lt;=30,"1-30",IF(O2782&lt;=60,"31-60",IF(O2782&lt;=90,"61-90","90+")))))</f>
        <v/>
      </c>
      <c r="T2782" s="32" t="str">
        <f aca="false">IF(F2782="","",IF(E2782="","Diğer",E2782))</f>
        <v/>
      </c>
      <c r="U2782" s="32" t="str">
        <f aca="false">IF(OR(F2782="",C2782=""),"",IF(COUNTIF($C$2:C2782,C2782)=1,MAX($U$1:U2781)+1,""))</f>
        <v/>
      </c>
    </row>
    <row r="2783" customFormat="false" ht="15" hidden="false" customHeight="false" outlineLevel="0" collapsed="false">
      <c r="A2783" s="34"/>
      <c r="B2783" s="9"/>
      <c r="C2783" s="34"/>
      <c r="D2783" s="34"/>
      <c r="E2783" s="34"/>
      <c r="F2783" s="35"/>
      <c r="G2783" s="9"/>
      <c r="H2783" s="9"/>
      <c r="I2783" s="34"/>
      <c r="J2783" s="30" t="str">
        <f aca="false">IF(F2783="","",G2783-B2783)</f>
        <v/>
      </c>
      <c r="K2783" s="31" t="str">
        <f aca="false">IF(F2783="","",IF(H2783&lt;&gt;"",H2783,MAX('Vade Sapması'!$D$3,G2783)))</f>
        <v/>
      </c>
      <c r="L2783" s="30" t="str">
        <f aca="false">IF(F2783="","",K2783-B2783)</f>
        <v/>
      </c>
      <c r="M2783" s="30" t="str">
        <f aca="false">IF(F2783="","",L2783-J2783)</f>
        <v/>
      </c>
      <c r="N2783" s="32" t="str">
        <f aca="false">IF(F2783="","",IF(H2783&lt;&gt;"","Kapandı",IF('Vade Sapması'!$D$3&gt;G2783,"Açık · vadesi geçti","Açık · vadesi gelmedi")))</f>
        <v/>
      </c>
      <c r="O2783" s="30" t="str">
        <f aca="false">IF(F2783="","",IF(AND(H2783="",'Vade Sapması'!$D$3&gt;G2783),'Vade Sapması'!$D$3-G2783,0))</f>
        <v/>
      </c>
      <c r="P2783" s="33" t="str">
        <f aca="false">IF(F2783="","",F2783*J2783)</f>
        <v/>
      </c>
      <c r="Q2783" s="33" t="str">
        <f aca="false">IF(F2783="","",F2783*L2783)</f>
        <v/>
      </c>
      <c r="R2783" s="33" t="str">
        <f aca="false">IF(F2783="","",IF(H2783="",F2783,0))</f>
        <v/>
      </c>
      <c r="S2783" s="32" t="str">
        <f aca="false">IF(F2783="","",IF(N(O2783)=0,"",IF(O2783&lt;=30,"1-30",IF(O2783&lt;=60,"31-60",IF(O2783&lt;=90,"61-90","90+")))))</f>
        <v/>
      </c>
      <c r="T2783" s="32" t="str">
        <f aca="false">IF(F2783="","",IF(E2783="","Diğer",E2783))</f>
        <v/>
      </c>
      <c r="U2783" s="32" t="str">
        <f aca="false">IF(OR(F2783="",C2783=""),"",IF(COUNTIF($C$2:C2783,C2783)=1,MAX($U$1:U2782)+1,""))</f>
        <v/>
      </c>
    </row>
    <row r="2784" customFormat="false" ht="15" hidden="false" customHeight="false" outlineLevel="0" collapsed="false">
      <c r="A2784" s="34"/>
      <c r="B2784" s="9"/>
      <c r="C2784" s="34"/>
      <c r="D2784" s="34"/>
      <c r="E2784" s="34"/>
      <c r="F2784" s="35"/>
      <c r="G2784" s="9"/>
      <c r="H2784" s="9"/>
      <c r="I2784" s="34"/>
      <c r="J2784" s="30" t="str">
        <f aca="false">IF(F2784="","",G2784-B2784)</f>
        <v/>
      </c>
      <c r="K2784" s="31" t="str">
        <f aca="false">IF(F2784="","",IF(H2784&lt;&gt;"",H2784,MAX('Vade Sapması'!$D$3,G2784)))</f>
        <v/>
      </c>
      <c r="L2784" s="30" t="str">
        <f aca="false">IF(F2784="","",K2784-B2784)</f>
        <v/>
      </c>
      <c r="M2784" s="30" t="str">
        <f aca="false">IF(F2784="","",L2784-J2784)</f>
        <v/>
      </c>
      <c r="N2784" s="32" t="str">
        <f aca="false">IF(F2784="","",IF(H2784&lt;&gt;"","Kapandı",IF('Vade Sapması'!$D$3&gt;G2784,"Açık · vadesi geçti","Açık · vadesi gelmedi")))</f>
        <v/>
      </c>
      <c r="O2784" s="30" t="str">
        <f aca="false">IF(F2784="","",IF(AND(H2784="",'Vade Sapması'!$D$3&gt;G2784),'Vade Sapması'!$D$3-G2784,0))</f>
        <v/>
      </c>
      <c r="P2784" s="33" t="str">
        <f aca="false">IF(F2784="","",F2784*J2784)</f>
        <v/>
      </c>
      <c r="Q2784" s="33" t="str">
        <f aca="false">IF(F2784="","",F2784*L2784)</f>
        <v/>
      </c>
      <c r="R2784" s="33" t="str">
        <f aca="false">IF(F2784="","",IF(H2784="",F2784,0))</f>
        <v/>
      </c>
      <c r="S2784" s="32" t="str">
        <f aca="false">IF(F2784="","",IF(N(O2784)=0,"",IF(O2784&lt;=30,"1-30",IF(O2784&lt;=60,"31-60",IF(O2784&lt;=90,"61-90","90+")))))</f>
        <v/>
      </c>
      <c r="T2784" s="32" t="str">
        <f aca="false">IF(F2784="","",IF(E2784="","Diğer",E2784))</f>
        <v/>
      </c>
      <c r="U2784" s="32" t="str">
        <f aca="false">IF(OR(F2784="",C2784=""),"",IF(COUNTIF($C$2:C2784,C2784)=1,MAX($U$1:U2783)+1,""))</f>
        <v/>
      </c>
    </row>
    <row r="2785" customFormat="false" ht="15" hidden="false" customHeight="false" outlineLevel="0" collapsed="false">
      <c r="A2785" s="34"/>
      <c r="B2785" s="9"/>
      <c r="C2785" s="34"/>
      <c r="D2785" s="34"/>
      <c r="E2785" s="34"/>
      <c r="F2785" s="35"/>
      <c r="G2785" s="9"/>
      <c r="H2785" s="9"/>
      <c r="I2785" s="34"/>
      <c r="J2785" s="30" t="str">
        <f aca="false">IF(F2785="","",G2785-B2785)</f>
        <v/>
      </c>
      <c r="K2785" s="31" t="str">
        <f aca="false">IF(F2785="","",IF(H2785&lt;&gt;"",H2785,MAX('Vade Sapması'!$D$3,G2785)))</f>
        <v/>
      </c>
      <c r="L2785" s="30" t="str">
        <f aca="false">IF(F2785="","",K2785-B2785)</f>
        <v/>
      </c>
      <c r="M2785" s="30" t="str">
        <f aca="false">IF(F2785="","",L2785-J2785)</f>
        <v/>
      </c>
      <c r="N2785" s="32" t="str">
        <f aca="false">IF(F2785="","",IF(H2785&lt;&gt;"","Kapandı",IF('Vade Sapması'!$D$3&gt;G2785,"Açık · vadesi geçti","Açık · vadesi gelmedi")))</f>
        <v/>
      </c>
      <c r="O2785" s="30" t="str">
        <f aca="false">IF(F2785="","",IF(AND(H2785="",'Vade Sapması'!$D$3&gt;G2785),'Vade Sapması'!$D$3-G2785,0))</f>
        <v/>
      </c>
      <c r="P2785" s="33" t="str">
        <f aca="false">IF(F2785="","",F2785*J2785)</f>
        <v/>
      </c>
      <c r="Q2785" s="33" t="str">
        <f aca="false">IF(F2785="","",F2785*L2785)</f>
        <v/>
      </c>
      <c r="R2785" s="33" t="str">
        <f aca="false">IF(F2785="","",IF(H2785="",F2785,0))</f>
        <v/>
      </c>
      <c r="S2785" s="32" t="str">
        <f aca="false">IF(F2785="","",IF(N(O2785)=0,"",IF(O2785&lt;=30,"1-30",IF(O2785&lt;=60,"31-60",IF(O2785&lt;=90,"61-90","90+")))))</f>
        <v/>
      </c>
      <c r="T2785" s="32" t="str">
        <f aca="false">IF(F2785="","",IF(E2785="","Diğer",E2785))</f>
        <v/>
      </c>
      <c r="U2785" s="32" t="str">
        <f aca="false">IF(OR(F2785="",C2785=""),"",IF(COUNTIF($C$2:C2785,C2785)=1,MAX($U$1:U2784)+1,""))</f>
        <v/>
      </c>
    </row>
    <row r="2786" customFormat="false" ht="15" hidden="false" customHeight="false" outlineLevel="0" collapsed="false">
      <c r="A2786" s="34"/>
      <c r="B2786" s="9"/>
      <c r="C2786" s="34"/>
      <c r="D2786" s="34"/>
      <c r="E2786" s="34"/>
      <c r="F2786" s="35"/>
      <c r="G2786" s="9"/>
      <c r="H2786" s="9"/>
      <c r="I2786" s="34"/>
      <c r="J2786" s="30" t="str">
        <f aca="false">IF(F2786="","",G2786-B2786)</f>
        <v/>
      </c>
      <c r="K2786" s="31" t="str">
        <f aca="false">IF(F2786="","",IF(H2786&lt;&gt;"",H2786,MAX('Vade Sapması'!$D$3,G2786)))</f>
        <v/>
      </c>
      <c r="L2786" s="30" t="str">
        <f aca="false">IF(F2786="","",K2786-B2786)</f>
        <v/>
      </c>
      <c r="M2786" s="30" t="str">
        <f aca="false">IF(F2786="","",L2786-J2786)</f>
        <v/>
      </c>
      <c r="N2786" s="32" t="str">
        <f aca="false">IF(F2786="","",IF(H2786&lt;&gt;"","Kapandı",IF('Vade Sapması'!$D$3&gt;G2786,"Açık · vadesi geçti","Açık · vadesi gelmedi")))</f>
        <v/>
      </c>
      <c r="O2786" s="30" t="str">
        <f aca="false">IF(F2786="","",IF(AND(H2786="",'Vade Sapması'!$D$3&gt;G2786),'Vade Sapması'!$D$3-G2786,0))</f>
        <v/>
      </c>
      <c r="P2786" s="33" t="str">
        <f aca="false">IF(F2786="","",F2786*J2786)</f>
        <v/>
      </c>
      <c r="Q2786" s="33" t="str">
        <f aca="false">IF(F2786="","",F2786*L2786)</f>
        <v/>
      </c>
      <c r="R2786" s="33" t="str">
        <f aca="false">IF(F2786="","",IF(H2786="",F2786,0))</f>
        <v/>
      </c>
      <c r="S2786" s="32" t="str">
        <f aca="false">IF(F2786="","",IF(N(O2786)=0,"",IF(O2786&lt;=30,"1-30",IF(O2786&lt;=60,"31-60",IF(O2786&lt;=90,"61-90","90+")))))</f>
        <v/>
      </c>
      <c r="T2786" s="32" t="str">
        <f aca="false">IF(F2786="","",IF(E2786="","Diğer",E2786))</f>
        <v/>
      </c>
      <c r="U2786" s="32" t="str">
        <f aca="false">IF(OR(F2786="",C2786=""),"",IF(COUNTIF($C$2:C2786,C2786)=1,MAX($U$1:U2785)+1,""))</f>
        <v/>
      </c>
    </row>
    <row r="2787" customFormat="false" ht="15" hidden="false" customHeight="false" outlineLevel="0" collapsed="false">
      <c r="A2787" s="34"/>
      <c r="B2787" s="9"/>
      <c r="C2787" s="34"/>
      <c r="D2787" s="34"/>
      <c r="E2787" s="34"/>
      <c r="F2787" s="35"/>
      <c r="G2787" s="9"/>
      <c r="H2787" s="9"/>
      <c r="I2787" s="34"/>
      <c r="J2787" s="30" t="str">
        <f aca="false">IF(F2787="","",G2787-B2787)</f>
        <v/>
      </c>
      <c r="K2787" s="31" t="str">
        <f aca="false">IF(F2787="","",IF(H2787&lt;&gt;"",H2787,MAX('Vade Sapması'!$D$3,G2787)))</f>
        <v/>
      </c>
      <c r="L2787" s="30" t="str">
        <f aca="false">IF(F2787="","",K2787-B2787)</f>
        <v/>
      </c>
      <c r="M2787" s="30" t="str">
        <f aca="false">IF(F2787="","",L2787-J2787)</f>
        <v/>
      </c>
      <c r="N2787" s="32" t="str">
        <f aca="false">IF(F2787="","",IF(H2787&lt;&gt;"","Kapandı",IF('Vade Sapması'!$D$3&gt;G2787,"Açık · vadesi geçti","Açık · vadesi gelmedi")))</f>
        <v/>
      </c>
      <c r="O2787" s="30" t="str">
        <f aca="false">IF(F2787="","",IF(AND(H2787="",'Vade Sapması'!$D$3&gt;G2787),'Vade Sapması'!$D$3-G2787,0))</f>
        <v/>
      </c>
      <c r="P2787" s="33" t="str">
        <f aca="false">IF(F2787="","",F2787*J2787)</f>
        <v/>
      </c>
      <c r="Q2787" s="33" t="str">
        <f aca="false">IF(F2787="","",F2787*L2787)</f>
        <v/>
      </c>
      <c r="R2787" s="33" t="str">
        <f aca="false">IF(F2787="","",IF(H2787="",F2787,0))</f>
        <v/>
      </c>
      <c r="S2787" s="32" t="str">
        <f aca="false">IF(F2787="","",IF(N(O2787)=0,"",IF(O2787&lt;=30,"1-30",IF(O2787&lt;=60,"31-60",IF(O2787&lt;=90,"61-90","90+")))))</f>
        <v/>
      </c>
      <c r="T2787" s="32" t="str">
        <f aca="false">IF(F2787="","",IF(E2787="","Diğer",E2787))</f>
        <v/>
      </c>
      <c r="U2787" s="32" t="str">
        <f aca="false">IF(OR(F2787="",C2787=""),"",IF(COUNTIF($C$2:C2787,C2787)=1,MAX($U$1:U2786)+1,""))</f>
        <v/>
      </c>
    </row>
    <row r="2788" customFormat="false" ht="15" hidden="false" customHeight="false" outlineLevel="0" collapsed="false">
      <c r="A2788" s="34"/>
      <c r="B2788" s="9"/>
      <c r="C2788" s="34"/>
      <c r="D2788" s="34"/>
      <c r="E2788" s="34"/>
      <c r="F2788" s="35"/>
      <c r="G2788" s="9"/>
      <c r="H2788" s="9"/>
      <c r="I2788" s="34"/>
      <c r="J2788" s="30" t="str">
        <f aca="false">IF(F2788="","",G2788-B2788)</f>
        <v/>
      </c>
      <c r="K2788" s="31" t="str">
        <f aca="false">IF(F2788="","",IF(H2788&lt;&gt;"",H2788,MAX('Vade Sapması'!$D$3,G2788)))</f>
        <v/>
      </c>
      <c r="L2788" s="30" t="str">
        <f aca="false">IF(F2788="","",K2788-B2788)</f>
        <v/>
      </c>
      <c r="M2788" s="30" t="str">
        <f aca="false">IF(F2788="","",L2788-J2788)</f>
        <v/>
      </c>
      <c r="N2788" s="32" t="str">
        <f aca="false">IF(F2788="","",IF(H2788&lt;&gt;"","Kapandı",IF('Vade Sapması'!$D$3&gt;G2788,"Açık · vadesi geçti","Açık · vadesi gelmedi")))</f>
        <v/>
      </c>
      <c r="O2788" s="30" t="str">
        <f aca="false">IF(F2788="","",IF(AND(H2788="",'Vade Sapması'!$D$3&gt;G2788),'Vade Sapması'!$D$3-G2788,0))</f>
        <v/>
      </c>
      <c r="P2788" s="33" t="str">
        <f aca="false">IF(F2788="","",F2788*J2788)</f>
        <v/>
      </c>
      <c r="Q2788" s="33" t="str">
        <f aca="false">IF(F2788="","",F2788*L2788)</f>
        <v/>
      </c>
      <c r="R2788" s="33" t="str">
        <f aca="false">IF(F2788="","",IF(H2788="",F2788,0))</f>
        <v/>
      </c>
      <c r="S2788" s="32" t="str">
        <f aca="false">IF(F2788="","",IF(N(O2788)=0,"",IF(O2788&lt;=30,"1-30",IF(O2788&lt;=60,"31-60",IF(O2788&lt;=90,"61-90","90+")))))</f>
        <v/>
      </c>
      <c r="T2788" s="32" t="str">
        <f aca="false">IF(F2788="","",IF(E2788="","Diğer",E2788))</f>
        <v/>
      </c>
      <c r="U2788" s="32" t="str">
        <f aca="false">IF(OR(F2788="",C2788=""),"",IF(COUNTIF($C$2:C2788,C2788)=1,MAX($U$1:U2787)+1,""))</f>
        <v/>
      </c>
    </row>
    <row r="2789" customFormat="false" ht="15" hidden="false" customHeight="false" outlineLevel="0" collapsed="false">
      <c r="A2789" s="34"/>
      <c r="B2789" s="9"/>
      <c r="C2789" s="34"/>
      <c r="D2789" s="34"/>
      <c r="E2789" s="34"/>
      <c r="F2789" s="35"/>
      <c r="G2789" s="9"/>
      <c r="H2789" s="9"/>
      <c r="I2789" s="34"/>
      <c r="J2789" s="30" t="str">
        <f aca="false">IF(F2789="","",G2789-B2789)</f>
        <v/>
      </c>
      <c r="K2789" s="31" t="str">
        <f aca="false">IF(F2789="","",IF(H2789&lt;&gt;"",H2789,MAX('Vade Sapması'!$D$3,G2789)))</f>
        <v/>
      </c>
      <c r="L2789" s="30" t="str">
        <f aca="false">IF(F2789="","",K2789-B2789)</f>
        <v/>
      </c>
      <c r="M2789" s="30" t="str">
        <f aca="false">IF(F2789="","",L2789-J2789)</f>
        <v/>
      </c>
      <c r="N2789" s="32" t="str">
        <f aca="false">IF(F2789="","",IF(H2789&lt;&gt;"","Kapandı",IF('Vade Sapması'!$D$3&gt;G2789,"Açık · vadesi geçti","Açık · vadesi gelmedi")))</f>
        <v/>
      </c>
      <c r="O2789" s="30" t="str">
        <f aca="false">IF(F2789="","",IF(AND(H2789="",'Vade Sapması'!$D$3&gt;G2789),'Vade Sapması'!$D$3-G2789,0))</f>
        <v/>
      </c>
      <c r="P2789" s="33" t="str">
        <f aca="false">IF(F2789="","",F2789*J2789)</f>
        <v/>
      </c>
      <c r="Q2789" s="33" t="str">
        <f aca="false">IF(F2789="","",F2789*L2789)</f>
        <v/>
      </c>
      <c r="R2789" s="33" t="str">
        <f aca="false">IF(F2789="","",IF(H2789="",F2789,0))</f>
        <v/>
      </c>
      <c r="S2789" s="32" t="str">
        <f aca="false">IF(F2789="","",IF(N(O2789)=0,"",IF(O2789&lt;=30,"1-30",IF(O2789&lt;=60,"31-60",IF(O2789&lt;=90,"61-90","90+")))))</f>
        <v/>
      </c>
      <c r="T2789" s="32" t="str">
        <f aca="false">IF(F2789="","",IF(E2789="","Diğer",E2789))</f>
        <v/>
      </c>
      <c r="U2789" s="32" t="str">
        <f aca="false">IF(OR(F2789="",C2789=""),"",IF(COUNTIF($C$2:C2789,C2789)=1,MAX($U$1:U2788)+1,""))</f>
        <v/>
      </c>
    </row>
    <row r="2790" customFormat="false" ht="15" hidden="false" customHeight="false" outlineLevel="0" collapsed="false">
      <c r="A2790" s="34"/>
      <c r="B2790" s="9"/>
      <c r="C2790" s="34"/>
      <c r="D2790" s="34"/>
      <c r="E2790" s="34"/>
      <c r="F2790" s="35"/>
      <c r="G2790" s="9"/>
      <c r="H2790" s="9"/>
      <c r="I2790" s="34"/>
      <c r="J2790" s="30" t="str">
        <f aca="false">IF(F2790="","",G2790-B2790)</f>
        <v/>
      </c>
      <c r="K2790" s="31" t="str">
        <f aca="false">IF(F2790="","",IF(H2790&lt;&gt;"",H2790,MAX('Vade Sapması'!$D$3,G2790)))</f>
        <v/>
      </c>
      <c r="L2790" s="30" t="str">
        <f aca="false">IF(F2790="","",K2790-B2790)</f>
        <v/>
      </c>
      <c r="M2790" s="30" t="str">
        <f aca="false">IF(F2790="","",L2790-J2790)</f>
        <v/>
      </c>
      <c r="N2790" s="32" t="str">
        <f aca="false">IF(F2790="","",IF(H2790&lt;&gt;"","Kapandı",IF('Vade Sapması'!$D$3&gt;G2790,"Açık · vadesi geçti","Açık · vadesi gelmedi")))</f>
        <v/>
      </c>
      <c r="O2790" s="30" t="str">
        <f aca="false">IF(F2790="","",IF(AND(H2790="",'Vade Sapması'!$D$3&gt;G2790),'Vade Sapması'!$D$3-G2790,0))</f>
        <v/>
      </c>
      <c r="P2790" s="33" t="str">
        <f aca="false">IF(F2790="","",F2790*J2790)</f>
        <v/>
      </c>
      <c r="Q2790" s="33" t="str">
        <f aca="false">IF(F2790="","",F2790*L2790)</f>
        <v/>
      </c>
      <c r="R2790" s="33" t="str">
        <f aca="false">IF(F2790="","",IF(H2790="",F2790,0))</f>
        <v/>
      </c>
      <c r="S2790" s="32" t="str">
        <f aca="false">IF(F2790="","",IF(N(O2790)=0,"",IF(O2790&lt;=30,"1-30",IF(O2790&lt;=60,"31-60",IF(O2790&lt;=90,"61-90","90+")))))</f>
        <v/>
      </c>
      <c r="T2790" s="32" t="str">
        <f aca="false">IF(F2790="","",IF(E2790="","Diğer",E2790))</f>
        <v/>
      </c>
      <c r="U2790" s="32" t="str">
        <f aca="false">IF(OR(F2790="",C2790=""),"",IF(COUNTIF($C$2:C2790,C2790)=1,MAX($U$1:U2789)+1,""))</f>
        <v/>
      </c>
    </row>
    <row r="2791" customFormat="false" ht="15" hidden="false" customHeight="false" outlineLevel="0" collapsed="false">
      <c r="A2791" s="34"/>
      <c r="B2791" s="9"/>
      <c r="C2791" s="34"/>
      <c r="D2791" s="34"/>
      <c r="E2791" s="34"/>
      <c r="F2791" s="35"/>
      <c r="G2791" s="9"/>
      <c r="H2791" s="9"/>
      <c r="I2791" s="34"/>
      <c r="J2791" s="30" t="str">
        <f aca="false">IF(F2791="","",G2791-B2791)</f>
        <v/>
      </c>
      <c r="K2791" s="31" t="str">
        <f aca="false">IF(F2791="","",IF(H2791&lt;&gt;"",H2791,MAX('Vade Sapması'!$D$3,G2791)))</f>
        <v/>
      </c>
      <c r="L2791" s="30" t="str">
        <f aca="false">IF(F2791="","",K2791-B2791)</f>
        <v/>
      </c>
      <c r="M2791" s="30" t="str">
        <f aca="false">IF(F2791="","",L2791-J2791)</f>
        <v/>
      </c>
      <c r="N2791" s="32" t="str">
        <f aca="false">IF(F2791="","",IF(H2791&lt;&gt;"","Kapandı",IF('Vade Sapması'!$D$3&gt;G2791,"Açık · vadesi geçti","Açık · vadesi gelmedi")))</f>
        <v/>
      </c>
      <c r="O2791" s="30" t="str">
        <f aca="false">IF(F2791="","",IF(AND(H2791="",'Vade Sapması'!$D$3&gt;G2791),'Vade Sapması'!$D$3-G2791,0))</f>
        <v/>
      </c>
      <c r="P2791" s="33" t="str">
        <f aca="false">IF(F2791="","",F2791*J2791)</f>
        <v/>
      </c>
      <c r="Q2791" s="33" t="str">
        <f aca="false">IF(F2791="","",F2791*L2791)</f>
        <v/>
      </c>
      <c r="R2791" s="33" t="str">
        <f aca="false">IF(F2791="","",IF(H2791="",F2791,0))</f>
        <v/>
      </c>
      <c r="S2791" s="32" t="str">
        <f aca="false">IF(F2791="","",IF(N(O2791)=0,"",IF(O2791&lt;=30,"1-30",IF(O2791&lt;=60,"31-60",IF(O2791&lt;=90,"61-90","90+")))))</f>
        <v/>
      </c>
      <c r="T2791" s="32" t="str">
        <f aca="false">IF(F2791="","",IF(E2791="","Diğer",E2791))</f>
        <v/>
      </c>
      <c r="U2791" s="32" t="str">
        <f aca="false">IF(OR(F2791="",C2791=""),"",IF(COUNTIF($C$2:C2791,C2791)=1,MAX($U$1:U2790)+1,""))</f>
        <v/>
      </c>
    </row>
    <row r="2792" customFormat="false" ht="15" hidden="false" customHeight="false" outlineLevel="0" collapsed="false">
      <c r="A2792" s="34"/>
      <c r="B2792" s="9"/>
      <c r="C2792" s="34"/>
      <c r="D2792" s="34"/>
      <c r="E2792" s="34"/>
      <c r="F2792" s="35"/>
      <c r="G2792" s="9"/>
      <c r="H2792" s="9"/>
      <c r="I2792" s="34"/>
      <c r="J2792" s="30" t="str">
        <f aca="false">IF(F2792="","",G2792-B2792)</f>
        <v/>
      </c>
      <c r="K2792" s="31" t="str">
        <f aca="false">IF(F2792="","",IF(H2792&lt;&gt;"",H2792,MAX('Vade Sapması'!$D$3,G2792)))</f>
        <v/>
      </c>
      <c r="L2792" s="30" t="str">
        <f aca="false">IF(F2792="","",K2792-B2792)</f>
        <v/>
      </c>
      <c r="M2792" s="30" t="str">
        <f aca="false">IF(F2792="","",L2792-J2792)</f>
        <v/>
      </c>
      <c r="N2792" s="32" t="str">
        <f aca="false">IF(F2792="","",IF(H2792&lt;&gt;"","Kapandı",IF('Vade Sapması'!$D$3&gt;G2792,"Açık · vadesi geçti","Açık · vadesi gelmedi")))</f>
        <v/>
      </c>
      <c r="O2792" s="30" t="str">
        <f aca="false">IF(F2792="","",IF(AND(H2792="",'Vade Sapması'!$D$3&gt;G2792),'Vade Sapması'!$D$3-G2792,0))</f>
        <v/>
      </c>
      <c r="P2792" s="33" t="str">
        <f aca="false">IF(F2792="","",F2792*J2792)</f>
        <v/>
      </c>
      <c r="Q2792" s="33" t="str">
        <f aca="false">IF(F2792="","",F2792*L2792)</f>
        <v/>
      </c>
      <c r="R2792" s="33" t="str">
        <f aca="false">IF(F2792="","",IF(H2792="",F2792,0))</f>
        <v/>
      </c>
      <c r="S2792" s="32" t="str">
        <f aca="false">IF(F2792="","",IF(N(O2792)=0,"",IF(O2792&lt;=30,"1-30",IF(O2792&lt;=60,"31-60",IF(O2792&lt;=90,"61-90","90+")))))</f>
        <v/>
      </c>
      <c r="T2792" s="32" t="str">
        <f aca="false">IF(F2792="","",IF(E2792="","Diğer",E2792))</f>
        <v/>
      </c>
      <c r="U2792" s="32" t="str">
        <f aca="false">IF(OR(F2792="",C2792=""),"",IF(COUNTIF($C$2:C2792,C2792)=1,MAX($U$1:U2791)+1,""))</f>
        <v/>
      </c>
    </row>
    <row r="2793" customFormat="false" ht="15" hidden="false" customHeight="false" outlineLevel="0" collapsed="false">
      <c r="A2793" s="34"/>
      <c r="B2793" s="9"/>
      <c r="C2793" s="34"/>
      <c r="D2793" s="34"/>
      <c r="E2793" s="34"/>
      <c r="F2793" s="35"/>
      <c r="G2793" s="9"/>
      <c r="H2793" s="9"/>
      <c r="I2793" s="34"/>
      <c r="J2793" s="30" t="str">
        <f aca="false">IF(F2793="","",G2793-B2793)</f>
        <v/>
      </c>
      <c r="K2793" s="31" t="str">
        <f aca="false">IF(F2793="","",IF(H2793&lt;&gt;"",H2793,MAX('Vade Sapması'!$D$3,G2793)))</f>
        <v/>
      </c>
      <c r="L2793" s="30" t="str">
        <f aca="false">IF(F2793="","",K2793-B2793)</f>
        <v/>
      </c>
      <c r="M2793" s="30" t="str">
        <f aca="false">IF(F2793="","",L2793-J2793)</f>
        <v/>
      </c>
      <c r="N2793" s="32" t="str">
        <f aca="false">IF(F2793="","",IF(H2793&lt;&gt;"","Kapandı",IF('Vade Sapması'!$D$3&gt;G2793,"Açık · vadesi geçti","Açık · vadesi gelmedi")))</f>
        <v/>
      </c>
      <c r="O2793" s="30" t="str">
        <f aca="false">IF(F2793="","",IF(AND(H2793="",'Vade Sapması'!$D$3&gt;G2793),'Vade Sapması'!$D$3-G2793,0))</f>
        <v/>
      </c>
      <c r="P2793" s="33" t="str">
        <f aca="false">IF(F2793="","",F2793*J2793)</f>
        <v/>
      </c>
      <c r="Q2793" s="33" t="str">
        <f aca="false">IF(F2793="","",F2793*L2793)</f>
        <v/>
      </c>
      <c r="R2793" s="33" t="str">
        <f aca="false">IF(F2793="","",IF(H2793="",F2793,0))</f>
        <v/>
      </c>
      <c r="S2793" s="32" t="str">
        <f aca="false">IF(F2793="","",IF(N(O2793)=0,"",IF(O2793&lt;=30,"1-30",IF(O2793&lt;=60,"31-60",IF(O2793&lt;=90,"61-90","90+")))))</f>
        <v/>
      </c>
      <c r="T2793" s="32" t="str">
        <f aca="false">IF(F2793="","",IF(E2793="","Diğer",E2793))</f>
        <v/>
      </c>
      <c r="U2793" s="32" t="str">
        <f aca="false">IF(OR(F2793="",C2793=""),"",IF(COUNTIF($C$2:C2793,C2793)=1,MAX($U$1:U2792)+1,""))</f>
        <v/>
      </c>
    </row>
    <row r="2794" customFormat="false" ht="15" hidden="false" customHeight="false" outlineLevel="0" collapsed="false">
      <c r="A2794" s="34"/>
      <c r="B2794" s="9"/>
      <c r="C2794" s="34"/>
      <c r="D2794" s="34"/>
      <c r="E2794" s="34"/>
      <c r="F2794" s="35"/>
      <c r="G2794" s="9"/>
      <c r="H2794" s="9"/>
      <c r="I2794" s="34"/>
      <c r="J2794" s="30" t="str">
        <f aca="false">IF(F2794="","",G2794-B2794)</f>
        <v/>
      </c>
      <c r="K2794" s="31" t="str">
        <f aca="false">IF(F2794="","",IF(H2794&lt;&gt;"",H2794,MAX('Vade Sapması'!$D$3,G2794)))</f>
        <v/>
      </c>
      <c r="L2794" s="30" t="str">
        <f aca="false">IF(F2794="","",K2794-B2794)</f>
        <v/>
      </c>
      <c r="M2794" s="30" t="str">
        <f aca="false">IF(F2794="","",L2794-J2794)</f>
        <v/>
      </c>
      <c r="N2794" s="32" t="str">
        <f aca="false">IF(F2794="","",IF(H2794&lt;&gt;"","Kapandı",IF('Vade Sapması'!$D$3&gt;G2794,"Açık · vadesi geçti","Açık · vadesi gelmedi")))</f>
        <v/>
      </c>
      <c r="O2794" s="30" t="str">
        <f aca="false">IF(F2794="","",IF(AND(H2794="",'Vade Sapması'!$D$3&gt;G2794),'Vade Sapması'!$D$3-G2794,0))</f>
        <v/>
      </c>
      <c r="P2794" s="33" t="str">
        <f aca="false">IF(F2794="","",F2794*J2794)</f>
        <v/>
      </c>
      <c r="Q2794" s="33" t="str">
        <f aca="false">IF(F2794="","",F2794*L2794)</f>
        <v/>
      </c>
      <c r="R2794" s="33" t="str">
        <f aca="false">IF(F2794="","",IF(H2794="",F2794,0))</f>
        <v/>
      </c>
      <c r="S2794" s="32" t="str">
        <f aca="false">IF(F2794="","",IF(N(O2794)=0,"",IF(O2794&lt;=30,"1-30",IF(O2794&lt;=60,"31-60",IF(O2794&lt;=90,"61-90","90+")))))</f>
        <v/>
      </c>
      <c r="T2794" s="32" t="str">
        <f aca="false">IF(F2794="","",IF(E2794="","Diğer",E2794))</f>
        <v/>
      </c>
      <c r="U2794" s="32" t="str">
        <f aca="false">IF(OR(F2794="",C2794=""),"",IF(COUNTIF($C$2:C2794,C2794)=1,MAX($U$1:U2793)+1,""))</f>
        <v/>
      </c>
    </row>
    <row r="2795" customFormat="false" ht="15" hidden="false" customHeight="false" outlineLevel="0" collapsed="false">
      <c r="A2795" s="34"/>
      <c r="B2795" s="9"/>
      <c r="C2795" s="34"/>
      <c r="D2795" s="34"/>
      <c r="E2795" s="34"/>
      <c r="F2795" s="35"/>
      <c r="G2795" s="9"/>
      <c r="H2795" s="9"/>
      <c r="I2795" s="34"/>
      <c r="J2795" s="30" t="str">
        <f aca="false">IF(F2795="","",G2795-B2795)</f>
        <v/>
      </c>
      <c r="K2795" s="31" t="str">
        <f aca="false">IF(F2795="","",IF(H2795&lt;&gt;"",H2795,MAX('Vade Sapması'!$D$3,G2795)))</f>
        <v/>
      </c>
      <c r="L2795" s="30" t="str">
        <f aca="false">IF(F2795="","",K2795-B2795)</f>
        <v/>
      </c>
      <c r="M2795" s="30" t="str">
        <f aca="false">IF(F2795="","",L2795-J2795)</f>
        <v/>
      </c>
      <c r="N2795" s="32" t="str">
        <f aca="false">IF(F2795="","",IF(H2795&lt;&gt;"","Kapandı",IF('Vade Sapması'!$D$3&gt;G2795,"Açık · vadesi geçti","Açık · vadesi gelmedi")))</f>
        <v/>
      </c>
      <c r="O2795" s="30" t="str">
        <f aca="false">IF(F2795="","",IF(AND(H2795="",'Vade Sapması'!$D$3&gt;G2795),'Vade Sapması'!$D$3-G2795,0))</f>
        <v/>
      </c>
      <c r="P2795" s="33" t="str">
        <f aca="false">IF(F2795="","",F2795*J2795)</f>
        <v/>
      </c>
      <c r="Q2795" s="33" t="str">
        <f aca="false">IF(F2795="","",F2795*L2795)</f>
        <v/>
      </c>
      <c r="R2795" s="33" t="str">
        <f aca="false">IF(F2795="","",IF(H2795="",F2795,0))</f>
        <v/>
      </c>
      <c r="S2795" s="32" t="str">
        <f aca="false">IF(F2795="","",IF(N(O2795)=0,"",IF(O2795&lt;=30,"1-30",IF(O2795&lt;=60,"31-60",IF(O2795&lt;=90,"61-90","90+")))))</f>
        <v/>
      </c>
      <c r="T2795" s="32" t="str">
        <f aca="false">IF(F2795="","",IF(E2795="","Diğer",E2795))</f>
        <v/>
      </c>
      <c r="U2795" s="32" t="str">
        <f aca="false">IF(OR(F2795="",C2795=""),"",IF(COUNTIF($C$2:C2795,C2795)=1,MAX($U$1:U2794)+1,""))</f>
        <v/>
      </c>
    </row>
    <row r="2796" customFormat="false" ht="15" hidden="false" customHeight="false" outlineLevel="0" collapsed="false">
      <c r="A2796" s="34"/>
      <c r="B2796" s="9"/>
      <c r="C2796" s="34"/>
      <c r="D2796" s="34"/>
      <c r="E2796" s="34"/>
      <c r="F2796" s="35"/>
      <c r="G2796" s="9"/>
      <c r="H2796" s="9"/>
      <c r="I2796" s="34"/>
      <c r="J2796" s="30" t="str">
        <f aca="false">IF(F2796="","",G2796-B2796)</f>
        <v/>
      </c>
      <c r="K2796" s="31" t="str">
        <f aca="false">IF(F2796="","",IF(H2796&lt;&gt;"",H2796,MAX('Vade Sapması'!$D$3,G2796)))</f>
        <v/>
      </c>
      <c r="L2796" s="30" t="str">
        <f aca="false">IF(F2796="","",K2796-B2796)</f>
        <v/>
      </c>
      <c r="M2796" s="30" t="str">
        <f aca="false">IF(F2796="","",L2796-J2796)</f>
        <v/>
      </c>
      <c r="N2796" s="32" t="str">
        <f aca="false">IF(F2796="","",IF(H2796&lt;&gt;"","Kapandı",IF('Vade Sapması'!$D$3&gt;G2796,"Açık · vadesi geçti","Açık · vadesi gelmedi")))</f>
        <v/>
      </c>
      <c r="O2796" s="30" t="str">
        <f aca="false">IF(F2796="","",IF(AND(H2796="",'Vade Sapması'!$D$3&gt;G2796),'Vade Sapması'!$D$3-G2796,0))</f>
        <v/>
      </c>
      <c r="P2796" s="33" t="str">
        <f aca="false">IF(F2796="","",F2796*J2796)</f>
        <v/>
      </c>
      <c r="Q2796" s="33" t="str">
        <f aca="false">IF(F2796="","",F2796*L2796)</f>
        <v/>
      </c>
      <c r="R2796" s="33" t="str">
        <f aca="false">IF(F2796="","",IF(H2796="",F2796,0))</f>
        <v/>
      </c>
      <c r="S2796" s="32" t="str">
        <f aca="false">IF(F2796="","",IF(N(O2796)=0,"",IF(O2796&lt;=30,"1-30",IF(O2796&lt;=60,"31-60",IF(O2796&lt;=90,"61-90","90+")))))</f>
        <v/>
      </c>
      <c r="T2796" s="32" t="str">
        <f aca="false">IF(F2796="","",IF(E2796="","Diğer",E2796))</f>
        <v/>
      </c>
      <c r="U2796" s="32" t="str">
        <f aca="false">IF(OR(F2796="",C2796=""),"",IF(COUNTIF($C$2:C2796,C2796)=1,MAX($U$1:U2795)+1,""))</f>
        <v/>
      </c>
    </row>
    <row r="2797" customFormat="false" ht="15" hidden="false" customHeight="false" outlineLevel="0" collapsed="false">
      <c r="A2797" s="34"/>
      <c r="B2797" s="9"/>
      <c r="C2797" s="34"/>
      <c r="D2797" s="34"/>
      <c r="E2797" s="34"/>
      <c r="F2797" s="35"/>
      <c r="G2797" s="9"/>
      <c r="H2797" s="9"/>
      <c r="I2797" s="34"/>
      <c r="J2797" s="30" t="str">
        <f aca="false">IF(F2797="","",G2797-B2797)</f>
        <v/>
      </c>
      <c r="K2797" s="31" t="str">
        <f aca="false">IF(F2797="","",IF(H2797&lt;&gt;"",H2797,MAX('Vade Sapması'!$D$3,G2797)))</f>
        <v/>
      </c>
      <c r="L2797" s="30" t="str">
        <f aca="false">IF(F2797="","",K2797-B2797)</f>
        <v/>
      </c>
      <c r="M2797" s="30" t="str">
        <f aca="false">IF(F2797="","",L2797-J2797)</f>
        <v/>
      </c>
      <c r="N2797" s="32" t="str">
        <f aca="false">IF(F2797="","",IF(H2797&lt;&gt;"","Kapandı",IF('Vade Sapması'!$D$3&gt;G2797,"Açık · vadesi geçti","Açık · vadesi gelmedi")))</f>
        <v/>
      </c>
      <c r="O2797" s="30" t="str">
        <f aca="false">IF(F2797="","",IF(AND(H2797="",'Vade Sapması'!$D$3&gt;G2797),'Vade Sapması'!$D$3-G2797,0))</f>
        <v/>
      </c>
      <c r="P2797" s="33" t="str">
        <f aca="false">IF(F2797="","",F2797*J2797)</f>
        <v/>
      </c>
      <c r="Q2797" s="33" t="str">
        <f aca="false">IF(F2797="","",F2797*L2797)</f>
        <v/>
      </c>
      <c r="R2797" s="33" t="str">
        <f aca="false">IF(F2797="","",IF(H2797="",F2797,0))</f>
        <v/>
      </c>
      <c r="S2797" s="32" t="str">
        <f aca="false">IF(F2797="","",IF(N(O2797)=0,"",IF(O2797&lt;=30,"1-30",IF(O2797&lt;=60,"31-60",IF(O2797&lt;=90,"61-90","90+")))))</f>
        <v/>
      </c>
      <c r="T2797" s="32" t="str">
        <f aca="false">IF(F2797="","",IF(E2797="","Diğer",E2797))</f>
        <v/>
      </c>
      <c r="U2797" s="32" t="str">
        <f aca="false">IF(OR(F2797="",C2797=""),"",IF(COUNTIF($C$2:C2797,C2797)=1,MAX($U$1:U2796)+1,""))</f>
        <v/>
      </c>
    </row>
    <row r="2798" customFormat="false" ht="15" hidden="false" customHeight="false" outlineLevel="0" collapsed="false">
      <c r="A2798" s="34"/>
      <c r="B2798" s="9"/>
      <c r="C2798" s="34"/>
      <c r="D2798" s="34"/>
      <c r="E2798" s="34"/>
      <c r="F2798" s="35"/>
      <c r="G2798" s="9"/>
      <c r="H2798" s="9"/>
      <c r="I2798" s="34"/>
      <c r="J2798" s="30" t="str">
        <f aca="false">IF(F2798="","",G2798-B2798)</f>
        <v/>
      </c>
      <c r="K2798" s="31" t="str">
        <f aca="false">IF(F2798="","",IF(H2798&lt;&gt;"",H2798,MAX('Vade Sapması'!$D$3,G2798)))</f>
        <v/>
      </c>
      <c r="L2798" s="30" t="str">
        <f aca="false">IF(F2798="","",K2798-B2798)</f>
        <v/>
      </c>
      <c r="M2798" s="30" t="str">
        <f aca="false">IF(F2798="","",L2798-J2798)</f>
        <v/>
      </c>
      <c r="N2798" s="32" t="str">
        <f aca="false">IF(F2798="","",IF(H2798&lt;&gt;"","Kapandı",IF('Vade Sapması'!$D$3&gt;G2798,"Açık · vadesi geçti","Açık · vadesi gelmedi")))</f>
        <v/>
      </c>
      <c r="O2798" s="30" t="str">
        <f aca="false">IF(F2798="","",IF(AND(H2798="",'Vade Sapması'!$D$3&gt;G2798),'Vade Sapması'!$D$3-G2798,0))</f>
        <v/>
      </c>
      <c r="P2798" s="33" t="str">
        <f aca="false">IF(F2798="","",F2798*J2798)</f>
        <v/>
      </c>
      <c r="Q2798" s="33" t="str">
        <f aca="false">IF(F2798="","",F2798*L2798)</f>
        <v/>
      </c>
      <c r="R2798" s="33" t="str">
        <f aca="false">IF(F2798="","",IF(H2798="",F2798,0))</f>
        <v/>
      </c>
      <c r="S2798" s="32" t="str">
        <f aca="false">IF(F2798="","",IF(N(O2798)=0,"",IF(O2798&lt;=30,"1-30",IF(O2798&lt;=60,"31-60",IF(O2798&lt;=90,"61-90","90+")))))</f>
        <v/>
      </c>
      <c r="T2798" s="32" t="str">
        <f aca="false">IF(F2798="","",IF(E2798="","Diğer",E2798))</f>
        <v/>
      </c>
      <c r="U2798" s="32" t="str">
        <f aca="false">IF(OR(F2798="",C2798=""),"",IF(COUNTIF($C$2:C2798,C2798)=1,MAX($U$1:U2797)+1,""))</f>
        <v/>
      </c>
    </row>
    <row r="2799" customFormat="false" ht="15" hidden="false" customHeight="false" outlineLevel="0" collapsed="false">
      <c r="A2799" s="34"/>
      <c r="B2799" s="9"/>
      <c r="C2799" s="34"/>
      <c r="D2799" s="34"/>
      <c r="E2799" s="34"/>
      <c r="F2799" s="35"/>
      <c r="G2799" s="9"/>
      <c r="H2799" s="9"/>
      <c r="I2799" s="34"/>
      <c r="J2799" s="30" t="str">
        <f aca="false">IF(F2799="","",G2799-B2799)</f>
        <v/>
      </c>
      <c r="K2799" s="31" t="str">
        <f aca="false">IF(F2799="","",IF(H2799&lt;&gt;"",H2799,MAX('Vade Sapması'!$D$3,G2799)))</f>
        <v/>
      </c>
      <c r="L2799" s="30" t="str">
        <f aca="false">IF(F2799="","",K2799-B2799)</f>
        <v/>
      </c>
      <c r="M2799" s="30" t="str">
        <f aca="false">IF(F2799="","",L2799-J2799)</f>
        <v/>
      </c>
      <c r="N2799" s="32" t="str">
        <f aca="false">IF(F2799="","",IF(H2799&lt;&gt;"","Kapandı",IF('Vade Sapması'!$D$3&gt;G2799,"Açık · vadesi geçti","Açık · vadesi gelmedi")))</f>
        <v/>
      </c>
      <c r="O2799" s="30" t="str">
        <f aca="false">IF(F2799="","",IF(AND(H2799="",'Vade Sapması'!$D$3&gt;G2799),'Vade Sapması'!$D$3-G2799,0))</f>
        <v/>
      </c>
      <c r="P2799" s="33" t="str">
        <f aca="false">IF(F2799="","",F2799*J2799)</f>
        <v/>
      </c>
      <c r="Q2799" s="33" t="str">
        <f aca="false">IF(F2799="","",F2799*L2799)</f>
        <v/>
      </c>
      <c r="R2799" s="33" t="str">
        <f aca="false">IF(F2799="","",IF(H2799="",F2799,0))</f>
        <v/>
      </c>
      <c r="S2799" s="32" t="str">
        <f aca="false">IF(F2799="","",IF(N(O2799)=0,"",IF(O2799&lt;=30,"1-30",IF(O2799&lt;=60,"31-60",IF(O2799&lt;=90,"61-90","90+")))))</f>
        <v/>
      </c>
      <c r="T2799" s="32" t="str">
        <f aca="false">IF(F2799="","",IF(E2799="","Diğer",E2799))</f>
        <v/>
      </c>
      <c r="U2799" s="32" t="str">
        <f aca="false">IF(OR(F2799="",C2799=""),"",IF(COUNTIF($C$2:C2799,C2799)=1,MAX($U$1:U2798)+1,""))</f>
        <v/>
      </c>
    </row>
    <row r="2800" customFormat="false" ht="15" hidden="false" customHeight="false" outlineLevel="0" collapsed="false">
      <c r="A2800" s="34"/>
      <c r="B2800" s="9"/>
      <c r="C2800" s="34"/>
      <c r="D2800" s="34"/>
      <c r="E2800" s="34"/>
      <c r="F2800" s="35"/>
      <c r="G2800" s="9"/>
      <c r="H2800" s="9"/>
      <c r="I2800" s="34"/>
      <c r="J2800" s="30" t="str">
        <f aca="false">IF(F2800="","",G2800-B2800)</f>
        <v/>
      </c>
      <c r="K2800" s="31" t="str">
        <f aca="false">IF(F2800="","",IF(H2800&lt;&gt;"",H2800,MAX('Vade Sapması'!$D$3,G2800)))</f>
        <v/>
      </c>
      <c r="L2800" s="30" t="str">
        <f aca="false">IF(F2800="","",K2800-B2800)</f>
        <v/>
      </c>
      <c r="M2800" s="30" t="str">
        <f aca="false">IF(F2800="","",L2800-J2800)</f>
        <v/>
      </c>
      <c r="N2800" s="32" t="str">
        <f aca="false">IF(F2800="","",IF(H2800&lt;&gt;"","Kapandı",IF('Vade Sapması'!$D$3&gt;G2800,"Açık · vadesi geçti","Açık · vadesi gelmedi")))</f>
        <v/>
      </c>
      <c r="O2800" s="30" t="str">
        <f aca="false">IF(F2800="","",IF(AND(H2800="",'Vade Sapması'!$D$3&gt;G2800),'Vade Sapması'!$D$3-G2800,0))</f>
        <v/>
      </c>
      <c r="P2800" s="33" t="str">
        <f aca="false">IF(F2800="","",F2800*J2800)</f>
        <v/>
      </c>
      <c r="Q2800" s="33" t="str">
        <f aca="false">IF(F2800="","",F2800*L2800)</f>
        <v/>
      </c>
      <c r="R2800" s="33" t="str">
        <f aca="false">IF(F2800="","",IF(H2800="",F2800,0))</f>
        <v/>
      </c>
      <c r="S2800" s="32" t="str">
        <f aca="false">IF(F2800="","",IF(N(O2800)=0,"",IF(O2800&lt;=30,"1-30",IF(O2800&lt;=60,"31-60",IF(O2800&lt;=90,"61-90","90+")))))</f>
        <v/>
      </c>
      <c r="T2800" s="32" t="str">
        <f aca="false">IF(F2800="","",IF(E2800="","Diğer",E2800))</f>
        <v/>
      </c>
      <c r="U2800" s="32" t="str">
        <f aca="false">IF(OR(F2800="",C2800=""),"",IF(COUNTIF($C$2:C2800,C2800)=1,MAX($U$1:U2799)+1,""))</f>
        <v/>
      </c>
    </row>
    <row r="2801" customFormat="false" ht="15" hidden="false" customHeight="false" outlineLevel="0" collapsed="false">
      <c r="A2801" s="34"/>
      <c r="B2801" s="9"/>
      <c r="C2801" s="34"/>
      <c r="D2801" s="34"/>
      <c r="E2801" s="34"/>
      <c r="F2801" s="35"/>
      <c r="G2801" s="9"/>
      <c r="H2801" s="9"/>
      <c r="I2801" s="34"/>
      <c r="J2801" s="30" t="str">
        <f aca="false">IF(F2801="","",G2801-B2801)</f>
        <v/>
      </c>
      <c r="K2801" s="31" t="str">
        <f aca="false">IF(F2801="","",IF(H2801&lt;&gt;"",H2801,MAX('Vade Sapması'!$D$3,G2801)))</f>
        <v/>
      </c>
      <c r="L2801" s="30" t="str">
        <f aca="false">IF(F2801="","",K2801-B2801)</f>
        <v/>
      </c>
      <c r="M2801" s="30" t="str">
        <f aca="false">IF(F2801="","",L2801-J2801)</f>
        <v/>
      </c>
      <c r="N2801" s="32" t="str">
        <f aca="false">IF(F2801="","",IF(H2801&lt;&gt;"","Kapandı",IF('Vade Sapması'!$D$3&gt;G2801,"Açık · vadesi geçti","Açık · vadesi gelmedi")))</f>
        <v/>
      </c>
      <c r="O2801" s="30" t="str">
        <f aca="false">IF(F2801="","",IF(AND(H2801="",'Vade Sapması'!$D$3&gt;G2801),'Vade Sapması'!$D$3-G2801,0))</f>
        <v/>
      </c>
      <c r="P2801" s="33" t="str">
        <f aca="false">IF(F2801="","",F2801*J2801)</f>
        <v/>
      </c>
      <c r="Q2801" s="33" t="str">
        <f aca="false">IF(F2801="","",F2801*L2801)</f>
        <v/>
      </c>
      <c r="R2801" s="33" t="str">
        <f aca="false">IF(F2801="","",IF(H2801="",F2801,0))</f>
        <v/>
      </c>
      <c r="S2801" s="32" t="str">
        <f aca="false">IF(F2801="","",IF(N(O2801)=0,"",IF(O2801&lt;=30,"1-30",IF(O2801&lt;=60,"31-60",IF(O2801&lt;=90,"61-90","90+")))))</f>
        <v/>
      </c>
      <c r="T2801" s="32" t="str">
        <f aca="false">IF(F2801="","",IF(E2801="","Diğer",E2801))</f>
        <v/>
      </c>
      <c r="U2801" s="32" t="str">
        <f aca="false">IF(OR(F2801="",C2801=""),"",IF(COUNTIF($C$2:C2801,C2801)=1,MAX($U$1:U2800)+1,""))</f>
        <v/>
      </c>
    </row>
    <row r="2802" customFormat="false" ht="15" hidden="false" customHeight="false" outlineLevel="0" collapsed="false">
      <c r="A2802" s="34"/>
      <c r="B2802" s="9"/>
      <c r="C2802" s="34"/>
      <c r="D2802" s="34"/>
      <c r="E2802" s="34"/>
      <c r="F2802" s="35"/>
      <c r="G2802" s="9"/>
      <c r="H2802" s="9"/>
      <c r="I2802" s="34"/>
      <c r="J2802" s="30" t="str">
        <f aca="false">IF(F2802="","",G2802-B2802)</f>
        <v/>
      </c>
      <c r="K2802" s="31" t="str">
        <f aca="false">IF(F2802="","",IF(H2802&lt;&gt;"",H2802,MAX('Vade Sapması'!$D$3,G2802)))</f>
        <v/>
      </c>
      <c r="L2802" s="30" t="str">
        <f aca="false">IF(F2802="","",K2802-B2802)</f>
        <v/>
      </c>
      <c r="M2802" s="30" t="str">
        <f aca="false">IF(F2802="","",L2802-J2802)</f>
        <v/>
      </c>
      <c r="N2802" s="32" t="str">
        <f aca="false">IF(F2802="","",IF(H2802&lt;&gt;"","Kapandı",IF('Vade Sapması'!$D$3&gt;G2802,"Açık · vadesi geçti","Açık · vadesi gelmedi")))</f>
        <v/>
      </c>
      <c r="O2802" s="30" t="str">
        <f aca="false">IF(F2802="","",IF(AND(H2802="",'Vade Sapması'!$D$3&gt;G2802),'Vade Sapması'!$D$3-G2802,0))</f>
        <v/>
      </c>
      <c r="P2802" s="33" t="str">
        <f aca="false">IF(F2802="","",F2802*J2802)</f>
        <v/>
      </c>
      <c r="Q2802" s="33" t="str">
        <f aca="false">IF(F2802="","",F2802*L2802)</f>
        <v/>
      </c>
      <c r="R2802" s="33" t="str">
        <f aca="false">IF(F2802="","",IF(H2802="",F2802,0))</f>
        <v/>
      </c>
      <c r="S2802" s="32" t="str">
        <f aca="false">IF(F2802="","",IF(N(O2802)=0,"",IF(O2802&lt;=30,"1-30",IF(O2802&lt;=60,"31-60",IF(O2802&lt;=90,"61-90","90+")))))</f>
        <v/>
      </c>
      <c r="T2802" s="32" t="str">
        <f aca="false">IF(F2802="","",IF(E2802="","Diğer",E2802))</f>
        <v/>
      </c>
      <c r="U2802" s="32" t="str">
        <f aca="false">IF(OR(F2802="",C2802=""),"",IF(COUNTIF($C$2:C2802,C2802)=1,MAX($U$1:U2801)+1,""))</f>
        <v/>
      </c>
    </row>
    <row r="2803" customFormat="false" ht="15" hidden="false" customHeight="false" outlineLevel="0" collapsed="false">
      <c r="A2803" s="34"/>
      <c r="B2803" s="9"/>
      <c r="C2803" s="34"/>
      <c r="D2803" s="34"/>
      <c r="E2803" s="34"/>
      <c r="F2803" s="35"/>
      <c r="G2803" s="9"/>
      <c r="H2803" s="9"/>
      <c r="I2803" s="34"/>
      <c r="J2803" s="30" t="str">
        <f aca="false">IF(F2803="","",G2803-B2803)</f>
        <v/>
      </c>
      <c r="K2803" s="31" t="str">
        <f aca="false">IF(F2803="","",IF(H2803&lt;&gt;"",H2803,MAX('Vade Sapması'!$D$3,G2803)))</f>
        <v/>
      </c>
      <c r="L2803" s="30" t="str">
        <f aca="false">IF(F2803="","",K2803-B2803)</f>
        <v/>
      </c>
      <c r="M2803" s="30" t="str">
        <f aca="false">IF(F2803="","",L2803-J2803)</f>
        <v/>
      </c>
      <c r="N2803" s="32" t="str">
        <f aca="false">IF(F2803="","",IF(H2803&lt;&gt;"","Kapandı",IF('Vade Sapması'!$D$3&gt;G2803,"Açık · vadesi geçti","Açık · vadesi gelmedi")))</f>
        <v/>
      </c>
      <c r="O2803" s="30" t="str">
        <f aca="false">IF(F2803="","",IF(AND(H2803="",'Vade Sapması'!$D$3&gt;G2803),'Vade Sapması'!$D$3-G2803,0))</f>
        <v/>
      </c>
      <c r="P2803" s="33" t="str">
        <f aca="false">IF(F2803="","",F2803*J2803)</f>
        <v/>
      </c>
      <c r="Q2803" s="33" t="str">
        <f aca="false">IF(F2803="","",F2803*L2803)</f>
        <v/>
      </c>
      <c r="R2803" s="33" t="str">
        <f aca="false">IF(F2803="","",IF(H2803="",F2803,0))</f>
        <v/>
      </c>
      <c r="S2803" s="32" t="str">
        <f aca="false">IF(F2803="","",IF(N(O2803)=0,"",IF(O2803&lt;=30,"1-30",IF(O2803&lt;=60,"31-60",IF(O2803&lt;=90,"61-90","90+")))))</f>
        <v/>
      </c>
      <c r="T2803" s="32" t="str">
        <f aca="false">IF(F2803="","",IF(E2803="","Diğer",E2803))</f>
        <v/>
      </c>
      <c r="U2803" s="32" t="str">
        <f aca="false">IF(OR(F2803="",C2803=""),"",IF(COUNTIF($C$2:C2803,C2803)=1,MAX($U$1:U2802)+1,""))</f>
        <v/>
      </c>
    </row>
    <row r="2804" customFormat="false" ht="15" hidden="false" customHeight="false" outlineLevel="0" collapsed="false">
      <c r="A2804" s="34"/>
      <c r="B2804" s="9"/>
      <c r="C2804" s="34"/>
      <c r="D2804" s="34"/>
      <c r="E2804" s="34"/>
      <c r="F2804" s="35"/>
      <c r="G2804" s="9"/>
      <c r="H2804" s="9"/>
      <c r="I2804" s="34"/>
      <c r="J2804" s="30" t="str">
        <f aca="false">IF(F2804="","",G2804-B2804)</f>
        <v/>
      </c>
      <c r="K2804" s="31" t="str">
        <f aca="false">IF(F2804="","",IF(H2804&lt;&gt;"",H2804,MAX('Vade Sapması'!$D$3,G2804)))</f>
        <v/>
      </c>
      <c r="L2804" s="30" t="str">
        <f aca="false">IF(F2804="","",K2804-B2804)</f>
        <v/>
      </c>
      <c r="M2804" s="30" t="str">
        <f aca="false">IF(F2804="","",L2804-J2804)</f>
        <v/>
      </c>
      <c r="N2804" s="32" t="str">
        <f aca="false">IF(F2804="","",IF(H2804&lt;&gt;"","Kapandı",IF('Vade Sapması'!$D$3&gt;G2804,"Açık · vadesi geçti","Açık · vadesi gelmedi")))</f>
        <v/>
      </c>
      <c r="O2804" s="30" t="str">
        <f aca="false">IF(F2804="","",IF(AND(H2804="",'Vade Sapması'!$D$3&gt;G2804),'Vade Sapması'!$D$3-G2804,0))</f>
        <v/>
      </c>
      <c r="P2804" s="33" t="str">
        <f aca="false">IF(F2804="","",F2804*J2804)</f>
        <v/>
      </c>
      <c r="Q2804" s="33" t="str">
        <f aca="false">IF(F2804="","",F2804*L2804)</f>
        <v/>
      </c>
      <c r="R2804" s="33" t="str">
        <f aca="false">IF(F2804="","",IF(H2804="",F2804,0))</f>
        <v/>
      </c>
      <c r="S2804" s="32" t="str">
        <f aca="false">IF(F2804="","",IF(N(O2804)=0,"",IF(O2804&lt;=30,"1-30",IF(O2804&lt;=60,"31-60",IF(O2804&lt;=90,"61-90","90+")))))</f>
        <v/>
      </c>
      <c r="T2804" s="32" t="str">
        <f aca="false">IF(F2804="","",IF(E2804="","Diğer",E2804))</f>
        <v/>
      </c>
      <c r="U2804" s="32" t="str">
        <f aca="false">IF(OR(F2804="",C2804=""),"",IF(COUNTIF($C$2:C2804,C2804)=1,MAX($U$1:U2803)+1,""))</f>
        <v/>
      </c>
    </row>
    <row r="2805" customFormat="false" ht="15" hidden="false" customHeight="false" outlineLevel="0" collapsed="false">
      <c r="A2805" s="34"/>
      <c r="B2805" s="9"/>
      <c r="C2805" s="34"/>
      <c r="D2805" s="34"/>
      <c r="E2805" s="34"/>
      <c r="F2805" s="35"/>
      <c r="G2805" s="9"/>
      <c r="H2805" s="9"/>
      <c r="I2805" s="34"/>
      <c r="J2805" s="30" t="str">
        <f aca="false">IF(F2805="","",G2805-B2805)</f>
        <v/>
      </c>
      <c r="K2805" s="31" t="str">
        <f aca="false">IF(F2805="","",IF(H2805&lt;&gt;"",H2805,MAX('Vade Sapması'!$D$3,G2805)))</f>
        <v/>
      </c>
      <c r="L2805" s="30" t="str">
        <f aca="false">IF(F2805="","",K2805-B2805)</f>
        <v/>
      </c>
      <c r="M2805" s="30" t="str">
        <f aca="false">IF(F2805="","",L2805-J2805)</f>
        <v/>
      </c>
      <c r="N2805" s="32" t="str">
        <f aca="false">IF(F2805="","",IF(H2805&lt;&gt;"","Kapandı",IF('Vade Sapması'!$D$3&gt;G2805,"Açık · vadesi geçti","Açık · vadesi gelmedi")))</f>
        <v/>
      </c>
      <c r="O2805" s="30" t="str">
        <f aca="false">IF(F2805="","",IF(AND(H2805="",'Vade Sapması'!$D$3&gt;G2805),'Vade Sapması'!$D$3-G2805,0))</f>
        <v/>
      </c>
      <c r="P2805" s="33" t="str">
        <f aca="false">IF(F2805="","",F2805*J2805)</f>
        <v/>
      </c>
      <c r="Q2805" s="33" t="str">
        <f aca="false">IF(F2805="","",F2805*L2805)</f>
        <v/>
      </c>
      <c r="R2805" s="33" t="str">
        <f aca="false">IF(F2805="","",IF(H2805="",F2805,0))</f>
        <v/>
      </c>
      <c r="S2805" s="32" t="str">
        <f aca="false">IF(F2805="","",IF(N(O2805)=0,"",IF(O2805&lt;=30,"1-30",IF(O2805&lt;=60,"31-60",IF(O2805&lt;=90,"61-90","90+")))))</f>
        <v/>
      </c>
      <c r="T2805" s="32" t="str">
        <f aca="false">IF(F2805="","",IF(E2805="","Diğer",E2805))</f>
        <v/>
      </c>
      <c r="U2805" s="32" t="str">
        <f aca="false">IF(OR(F2805="",C2805=""),"",IF(COUNTIF($C$2:C2805,C2805)=1,MAX($U$1:U2804)+1,""))</f>
        <v/>
      </c>
    </row>
    <row r="2806" customFormat="false" ht="15" hidden="false" customHeight="false" outlineLevel="0" collapsed="false">
      <c r="A2806" s="34"/>
      <c r="B2806" s="9"/>
      <c r="C2806" s="34"/>
      <c r="D2806" s="34"/>
      <c r="E2806" s="34"/>
      <c r="F2806" s="35"/>
      <c r="G2806" s="9"/>
      <c r="H2806" s="9"/>
      <c r="I2806" s="34"/>
      <c r="J2806" s="30" t="str">
        <f aca="false">IF(F2806="","",G2806-B2806)</f>
        <v/>
      </c>
      <c r="K2806" s="31" t="str">
        <f aca="false">IF(F2806="","",IF(H2806&lt;&gt;"",H2806,MAX('Vade Sapması'!$D$3,G2806)))</f>
        <v/>
      </c>
      <c r="L2806" s="30" t="str">
        <f aca="false">IF(F2806="","",K2806-B2806)</f>
        <v/>
      </c>
      <c r="M2806" s="30" t="str">
        <f aca="false">IF(F2806="","",L2806-J2806)</f>
        <v/>
      </c>
      <c r="N2806" s="32" t="str">
        <f aca="false">IF(F2806="","",IF(H2806&lt;&gt;"","Kapandı",IF('Vade Sapması'!$D$3&gt;G2806,"Açık · vadesi geçti","Açık · vadesi gelmedi")))</f>
        <v/>
      </c>
      <c r="O2806" s="30" t="str">
        <f aca="false">IF(F2806="","",IF(AND(H2806="",'Vade Sapması'!$D$3&gt;G2806),'Vade Sapması'!$D$3-G2806,0))</f>
        <v/>
      </c>
      <c r="P2806" s="33" t="str">
        <f aca="false">IF(F2806="","",F2806*J2806)</f>
        <v/>
      </c>
      <c r="Q2806" s="33" t="str">
        <f aca="false">IF(F2806="","",F2806*L2806)</f>
        <v/>
      </c>
      <c r="R2806" s="33" t="str">
        <f aca="false">IF(F2806="","",IF(H2806="",F2806,0))</f>
        <v/>
      </c>
      <c r="S2806" s="32" t="str">
        <f aca="false">IF(F2806="","",IF(N(O2806)=0,"",IF(O2806&lt;=30,"1-30",IF(O2806&lt;=60,"31-60",IF(O2806&lt;=90,"61-90","90+")))))</f>
        <v/>
      </c>
      <c r="T2806" s="32" t="str">
        <f aca="false">IF(F2806="","",IF(E2806="","Diğer",E2806))</f>
        <v/>
      </c>
      <c r="U2806" s="32" t="str">
        <f aca="false">IF(OR(F2806="",C2806=""),"",IF(COUNTIF($C$2:C2806,C2806)=1,MAX($U$1:U2805)+1,""))</f>
        <v/>
      </c>
    </row>
    <row r="2807" customFormat="false" ht="15" hidden="false" customHeight="false" outlineLevel="0" collapsed="false">
      <c r="A2807" s="34"/>
      <c r="B2807" s="9"/>
      <c r="C2807" s="34"/>
      <c r="D2807" s="34"/>
      <c r="E2807" s="34"/>
      <c r="F2807" s="35"/>
      <c r="G2807" s="9"/>
      <c r="H2807" s="9"/>
      <c r="I2807" s="34"/>
      <c r="J2807" s="30" t="str">
        <f aca="false">IF(F2807="","",G2807-B2807)</f>
        <v/>
      </c>
      <c r="K2807" s="31" t="str">
        <f aca="false">IF(F2807="","",IF(H2807&lt;&gt;"",H2807,MAX('Vade Sapması'!$D$3,G2807)))</f>
        <v/>
      </c>
      <c r="L2807" s="30" t="str">
        <f aca="false">IF(F2807="","",K2807-B2807)</f>
        <v/>
      </c>
      <c r="M2807" s="30" t="str">
        <f aca="false">IF(F2807="","",L2807-J2807)</f>
        <v/>
      </c>
      <c r="N2807" s="32" t="str">
        <f aca="false">IF(F2807="","",IF(H2807&lt;&gt;"","Kapandı",IF('Vade Sapması'!$D$3&gt;G2807,"Açık · vadesi geçti","Açık · vadesi gelmedi")))</f>
        <v/>
      </c>
      <c r="O2807" s="30" t="str">
        <f aca="false">IF(F2807="","",IF(AND(H2807="",'Vade Sapması'!$D$3&gt;G2807),'Vade Sapması'!$D$3-G2807,0))</f>
        <v/>
      </c>
      <c r="P2807" s="33" t="str">
        <f aca="false">IF(F2807="","",F2807*J2807)</f>
        <v/>
      </c>
      <c r="Q2807" s="33" t="str">
        <f aca="false">IF(F2807="","",F2807*L2807)</f>
        <v/>
      </c>
      <c r="R2807" s="33" t="str">
        <f aca="false">IF(F2807="","",IF(H2807="",F2807,0))</f>
        <v/>
      </c>
      <c r="S2807" s="32" t="str">
        <f aca="false">IF(F2807="","",IF(N(O2807)=0,"",IF(O2807&lt;=30,"1-30",IF(O2807&lt;=60,"31-60",IF(O2807&lt;=90,"61-90","90+")))))</f>
        <v/>
      </c>
      <c r="T2807" s="32" t="str">
        <f aca="false">IF(F2807="","",IF(E2807="","Diğer",E2807))</f>
        <v/>
      </c>
      <c r="U2807" s="32" t="str">
        <f aca="false">IF(OR(F2807="",C2807=""),"",IF(COUNTIF($C$2:C2807,C2807)=1,MAX($U$1:U2806)+1,""))</f>
        <v/>
      </c>
    </row>
    <row r="2808" customFormat="false" ht="15" hidden="false" customHeight="false" outlineLevel="0" collapsed="false">
      <c r="A2808" s="34"/>
      <c r="B2808" s="9"/>
      <c r="C2808" s="34"/>
      <c r="D2808" s="34"/>
      <c r="E2808" s="34"/>
      <c r="F2808" s="35"/>
      <c r="G2808" s="9"/>
      <c r="H2808" s="9"/>
      <c r="I2808" s="34"/>
      <c r="J2808" s="30" t="str">
        <f aca="false">IF(F2808="","",G2808-B2808)</f>
        <v/>
      </c>
      <c r="K2808" s="31" t="str">
        <f aca="false">IF(F2808="","",IF(H2808&lt;&gt;"",H2808,MAX('Vade Sapması'!$D$3,G2808)))</f>
        <v/>
      </c>
      <c r="L2808" s="30" t="str">
        <f aca="false">IF(F2808="","",K2808-B2808)</f>
        <v/>
      </c>
      <c r="M2808" s="30" t="str">
        <f aca="false">IF(F2808="","",L2808-J2808)</f>
        <v/>
      </c>
      <c r="N2808" s="32" t="str">
        <f aca="false">IF(F2808="","",IF(H2808&lt;&gt;"","Kapandı",IF('Vade Sapması'!$D$3&gt;G2808,"Açık · vadesi geçti","Açık · vadesi gelmedi")))</f>
        <v/>
      </c>
      <c r="O2808" s="30" t="str">
        <f aca="false">IF(F2808="","",IF(AND(H2808="",'Vade Sapması'!$D$3&gt;G2808),'Vade Sapması'!$D$3-G2808,0))</f>
        <v/>
      </c>
      <c r="P2808" s="33" t="str">
        <f aca="false">IF(F2808="","",F2808*J2808)</f>
        <v/>
      </c>
      <c r="Q2808" s="33" t="str">
        <f aca="false">IF(F2808="","",F2808*L2808)</f>
        <v/>
      </c>
      <c r="R2808" s="33" t="str">
        <f aca="false">IF(F2808="","",IF(H2808="",F2808,0))</f>
        <v/>
      </c>
      <c r="S2808" s="32" t="str">
        <f aca="false">IF(F2808="","",IF(N(O2808)=0,"",IF(O2808&lt;=30,"1-30",IF(O2808&lt;=60,"31-60",IF(O2808&lt;=90,"61-90","90+")))))</f>
        <v/>
      </c>
      <c r="T2808" s="32" t="str">
        <f aca="false">IF(F2808="","",IF(E2808="","Diğer",E2808))</f>
        <v/>
      </c>
      <c r="U2808" s="32" t="str">
        <f aca="false">IF(OR(F2808="",C2808=""),"",IF(COUNTIF($C$2:C2808,C2808)=1,MAX($U$1:U2807)+1,""))</f>
        <v/>
      </c>
    </row>
    <row r="2809" customFormat="false" ht="15" hidden="false" customHeight="false" outlineLevel="0" collapsed="false">
      <c r="A2809" s="34"/>
      <c r="B2809" s="9"/>
      <c r="C2809" s="34"/>
      <c r="D2809" s="34"/>
      <c r="E2809" s="34"/>
      <c r="F2809" s="35"/>
      <c r="G2809" s="9"/>
      <c r="H2809" s="9"/>
      <c r="I2809" s="34"/>
      <c r="J2809" s="30" t="str">
        <f aca="false">IF(F2809="","",G2809-B2809)</f>
        <v/>
      </c>
      <c r="K2809" s="31" t="str">
        <f aca="false">IF(F2809="","",IF(H2809&lt;&gt;"",H2809,MAX('Vade Sapması'!$D$3,G2809)))</f>
        <v/>
      </c>
      <c r="L2809" s="30" t="str">
        <f aca="false">IF(F2809="","",K2809-B2809)</f>
        <v/>
      </c>
      <c r="M2809" s="30" t="str">
        <f aca="false">IF(F2809="","",L2809-J2809)</f>
        <v/>
      </c>
      <c r="N2809" s="32" t="str">
        <f aca="false">IF(F2809="","",IF(H2809&lt;&gt;"","Kapandı",IF('Vade Sapması'!$D$3&gt;G2809,"Açık · vadesi geçti","Açık · vadesi gelmedi")))</f>
        <v/>
      </c>
      <c r="O2809" s="30" t="str">
        <f aca="false">IF(F2809="","",IF(AND(H2809="",'Vade Sapması'!$D$3&gt;G2809),'Vade Sapması'!$D$3-G2809,0))</f>
        <v/>
      </c>
      <c r="P2809" s="33" t="str">
        <f aca="false">IF(F2809="","",F2809*J2809)</f>
        <v/>
      </c>
      <c r="Q2809" s="33" t="str">
        <f aca="false">IF(F2809="","",F2809*L2809)</f>
        <v/>
      </c>
      <c r="R2809" s="33" t="str">
        <f aca="false">IF(F2809="","",IF(H2809="",F2809,0))</f>
        <v/>
      </c>
      <c r="S2809" s="32" t="str">
        <f aca="false">IF(F2809="","",IF(N(O2809)=0,"",IF(O2809&lt;=30,"1-30",IF(O2809&lt;=60,"31-60",IF(O2809&lt;=90,"61-90","90+")))))</f>
        <v/>
      </c>
      <c r="T2809" s="32" t="str">
        <f aca="false">IF(F2809="","",IF(E2809="","Diğer",E2809))</f>
        <v/>
      </c>
      <c r="U2809" s="32" t="str">
        <f aca="false">IF(OR(F2809="",C2809=""),"",IF(COUNTIF($C$2:C2809,C2809)=1,MAX($U$1:U2808)+1,""))</f>
        <v/>
      </c>
    </row>
    <row r="2810" customFormat="false" ht="15" hidden="false" customHeight="false" outlineLevel="0" collapsed="false">
      <c r="A2810" s="34"/>
      <c r="B2810" s="9"/>
      <c r="C2810" s="34"/>
      <c r="D2810" s="34"/>
      <c r="E2810" s="34"/>
      <c r="F2810" s="35"/>
      <c r="G2810" s="9"/>
      <c r="H2810" s="9"/>
      <c r="I2810" s="34"/>
      <c r="J2810" s="30" t="str">
        <f aca="false">IF(F2810="","",G2810-B2810)</f>
        <v/>
      </c>
      <c r="K2810" s="31" t="str">
        <f aca="false">IF(F2810="","",IF(H2810&lt;&gt;"",H2810,MAX('Vade Sapması'!$D$3,G2810)))</f>
        <v/>
      </c>
      <c r="L2810" s="30" t="str">
        <f aca="false">IF(F2810="","",K2810-B2810)</f>
        <v/>
      </c>
      <c r="M2810" s="30" t="str">
        <f aca="false">IF(F2810="","",L2810-J2810)</f>
        <v/>
      </c>
      <c r="N2810" s="32" t="str">
        <f aca="false">IF(F2810="","",IF(H2810&lt;&gt;"","Kapandı",IF('Vade Sapması'!$D$3&gt;G2810,"Açık · vadesi geçti","Açık · vadesi gelmedi")))</f>
        <v/>
      </c>
      <c r="O2810" s="30" t="str">
        <f aca="false">IF(F2810="","",IF(AND(H2810="",'Vade Sapması'!$D$3&gt;G2810),'Vade Sapması'!$D$3-G2810,0))</f>
        <v/>
      </c>
      <c r="P2810" s="33" t="str">
        <f aca="false">IF(F2810="","",F2810*J2810)</f>
        <v/>
      </c>
      <c r="Q2810" s="33" t="str">
        <f aca="false">IF(F2810="","",F2810*L2810)</f>
        <v/>
      </c>
      <c r="R2810" s="33" t="str">
        <f aca="false">IF(F2810="","",IF(H2810="",F2810,0))</f>
        <v/>
      </c>
      <c r="S2810" s="32" t="str">
        <f aca="false">IF(F2810="","",IF(N(O2810)=0,"",IF(O2810&lt;=30,"1-30",IF(O2810&lt;=60,"31-60",IF(O2810&lt;=90,"61-90","90+")))))</f>
        <v/>
      </c>
      <c r="T2810" s="32" t="str">
        <f aca="false">IF(F2810="","",IF(E2810="","Diğer",E2810))</f>
        <v/>
      </c>
      <c r="U2810" s="32" t="str">
        <f aca="false">IF(OR(F2810="",C2810=""),"",IF(COUNTIF($C$2:C2810,C2810)=1,MAX($U$1:U2809)+1,""))</f>
        <v/>
      </c>
    </row>
    <row r="2811" customFormat="false" ht="15" hidden="false" customHeight="false" outlineLevel="0" collapsed="false">
      <c r="A2811" s="34"/>
      <c r="B2811" s="9"/>
      <c r="C2811" s="34"/>
      <c r="D2811" s="34"/>
      <c r="E2811" s="34"/>
      <c r="F2811" s="35"/>
      <c r="G2811" s="9"/>
      <c r="H2811" s="9"/>
      <c r="I2811" s="34"/>
      <c r="J2811" s="30" t="str">
        <f aca="false">IF(F2811="","",G2811-B2811)</f>
        <v/>
      </c>
      <c r="K2811" s="31" t="str">
        <f aca="false">IF(F2811="","",IF(H2811&lt;&gt;"",H2811,MAX('Vade Sapması'!$D$3,G2811)))</f>
        <v/>
      </c>
      <c r="L2811" s="30" t="str">
        <f aca="false">IF(F2811="","",K2811-B2811)</f>
        <v/>
      </c>
      <c r="M2811" s="30" t="str">
        <f aca="false">IF(F2811="","",L2811-J2811)</f>
        <v/>
      </c>
      <c r="N2811" s="32" t="str">
        <f aca="false">IF(F2811="","",IF(H2811&lt;&gt;"","Kapandı",IF('Vade Sapması'!$D$3&gt;G2811,"Açık · vadesi geçti","Açık · vadesi gelmedi")))</f>
        <v/>
      </c>
      <c r="O2811" s="30" t="str">
        <f aca="false">IF(F2811="","",IF(AND(H2811="",'Vade Sapması'!$D$3&gt;G2811),'Vade Sapması'!$D$3-G2811,0))</f>
        <v/>
      </c>
      <c r="P2811" s="33" t="str">
        <f aca="false">IF(F2811="","",F2811*J2811)</f>
        <v/>
      </c>
      <c r="Q2811" s="33" t="str">
        <f aca="false">IF(F2811="","",F2811*L2811)</f>
        <v/>
      </c>
      <c r="R2811" s="33" t="str">
        <f aca="false">IF(F2811="","",IF(H2811="",F2811,0))</f>
        <v/>
      </c>
      <c r="S2811" s="32" t="str">
        <f aca="false">IF(F2811="","",IF(N(O2811)=0,"",IF(O2811&lt;=30,"1-30",IF(O2811&lt;=60,"31-60",IF(O2811&lt;=90,"61-90","90+")))))</f>
        <v/>
      </c>
      <c r="T2811" s="32" t="str">
        <f aca="false">IF(F2811="","",IF(E2811="","Diğer",E2811))</f>
        <v/>
      </c>
      <c r="U2811" s="32" t="str">
        <f aca="false">IF(OR(F2811="",C2811=""),"",IF(COUNTIF($C$2:C2811,C2811)=1,MAX($U$1:U2810)+1,""))</f>
        <v/>
      </c>
    </row>
    <row r="2812" customFormat="false" ht="15" hidden="false" customHeight="false" outlineLevel="0" collapsed="false">
      <c r="A2812" s="34"/>
      <c r="B2812" s="9"/>
      <c r="C2812" s="34"/>
      <c r="D2812" s="34"/>
      <c r="E2812" s="34"/>
      <c r="F2812" s="35"/>
      <c r="G2812" s="9"/>
      <c r="H2812" s="9"/>
      <c r="I2812" s="34"/>
      <c r="J2812" s="30" t="str">
        <f aca="false">IF(F2812="","",G2812-B2812)</f>
        <v/>
      </c>
      <c r="K2812" s="31" t="str">
        <f aca="false">IF(F2812="","",IF(H2812&lt;&gt;"",H2812,MAX('Vade Sapması'!$D$3,G2812)))</f>
        <v/>
      </c>
      <c r="L2812" s="30" t="str">
        <f aca="false">IF(F2812="","",K2812-B2812)</f>
        <v/>
      </c>
      <c r="M2812" s="30" t="str">
        <f aca="false">IF(F2812="","",L2812-J2812)</f>
        <v/>
      </c>
      <c r="N2812" s="32" t="str">
        <f aca="false">IF(F2812="","",IF(H2812&lt;&gt;"","Kapandı",IF('Vade Sapması'!$D$3&gt;G2812,"Açık · vadesi geçti","Açık · vadesi gelmedi")))</f>
        <v/>
      </c>
      <c r="O2812" s="30" t="str">
        <f aca="false">IF(F2812="","",IF(AND(H2812="",'Vade Sapması'!$D$3&gt;G2812),'Vade Sapması'!$D$3-G2812,0))</f>
        <v/>
      </c>
      <c r="P2812" s="33" t="str">
        <f aca="false">IF(F2812="","",F2812*J2812)</f>
        <v/>
      </c>
      <c r="Q2812" s="33" t="str">
        <f aca="false">IF(F2812="","",F2812*L2812)</f>
        <v/>
      </c>
      <c r="R2812" s="33" t="str">
        <f aca="false">IF(F2812="","",IF(H2812="",F2812,0))</f>
        <v/>
      </c>
      <c r="S2812" s="32" t="str">
        <f aca="false">IF(F2812="","",IF(N(O2812)=0,"",IF(O2812&lt;=30,"1-30",IF(O2812&lt;=60,"31-60",IF(O2812&lt;=90,"61-90","90+")))))</f>
        <v/>
      </c>
      <c r="T2812" s="32" t="str">
        <f aca="false">IF(F2812="","",IF(E2812="","Diğer",E2812))</f>
        <v/>
      </c>
      <c r="U2812" s="32" t="str">
        <f aca="false">IF(OR(F2812="",C2812=""),"",IF(COUNTIF($C$2:C2812,C2812)=1,MAX($U$1:U2811)+1,""))</f>
        <v/>
      </c>
    </row>
    <row r="2813" customFormat="false" ht="15" hidden="false" customHeight="false" outlineLevel="0" collapsed="false">
      <c r="A2813" s="34"/>
      <c r="B2813" s="9"/>
      <c r="C2813" s="34"/>
      <c r="D2813" s="34"/>
      <c r="E2813" s="34"/>
      <c r="F2813" s="35"/>
      <c r="G2813" s="9"/>
      <c r="H2813" s="9"/>
      <c r="I2813" s="34"/>
      <c r="J2813" s="30" t="str">
        <f aca="false">IF(F2813="","",G2813-B2813)</f>
        <v/>
      </c>
      <c r="K2813" s="31" t="str">
        <f aca="false">IF(F2813="","",IF(H2813&lt;&gt;"",H2813,MAX('Vade Sapması'!$D$3,G2813)))</f>
        <v/>
      </c>
      <c r="L2813" s="30" t="str">
        <f aca="false">IF(F2813="","",K2813-B2813)</f>
        <v/>
      </c>
      <c r="M2813" s="30" t="str">
        <f aca="false">IF(F2813="","",L2813-J2813)</f>
        <v/>
      </c>
      <c r="N2813" s="32" t="str">
        <f aca="false">IF(F2813="","",IF(H2813&lt;&gt;"","Kapandı",IF('Vade Sapması'!$D$3&gt;G2813,"Açık · vadesi geçti","Açık · vadesi gelmedi")))</f>
        <v/>
      </c>
      <c r="O2813" s="30" t="str">
        <f aca="false">IF(F2813="","",IF(AND(H2813="",'Vade Sapması'!$D$3&gt;G2813),'Vade Sapması'!$D$3-G2813,0))</f>
        <v/>
      </c>
      <c r="P2813" s="33" t="str">
        <f aca="false">IF(F2813="","",F2813*J2813)</f>
        <v/>
      </c>
      <c r="Q2813" s="33" t="str">
        <f aca="false">IF(F2813="","",F2813*L2813)</f>
        <v/>
      </c>
      <c r="R2813" s="33" t="str">
        <f aca="false">IF(F2813="","",IF(H2813="",F2813,0))</f>
        <v/>
      </c>
      <c r="S2813" s="32" t="str">
        <f aca="false">IF(F2813="","",IF(N(O2813)=0,"",IF(O2813&lt;=30,"1-30",IF(O2813&lt;=60,"31-60",IF(O2813&lt;=90,"61-90","90+")))))</f>
        <v/>
      </c>
      <c r="T2813" s="32" t="str">
        <f aca="false">IF(F2813="","",IF(E2813="","Diğer",E2813))</f>
        <v/>
      </c>
      <c r="U2813" s="32" t="str">
        <f aca="false">IF(OR(F2813="",C2813=""),"",IF(COUNTIF($C$2:C2813,C2813)=1,MAX($U$1:U2812)+1,""))</f>
        <v/>
      </c>
    </row>
    <row r="2814" customFormat="false" ht="15" hidden="false" customHeight="false" outlineLevel="0" collapsed="false">
      <c r="A2814" s="34"/>
      <c r="B2814" s="9"/>
      <c r="C2814" s="34"/>
      <c r="D2814" s="34"/>
      <c r="E2814" s="34"/>
      <c r="F2814" s="35"/>
      <c r="G2814" s="9"/>
      <c r="H2814" s="9"/>
      <c r="I2814" s="34"/>
      <c r="J2814" s="30" t="str">
        <f aca="false">IF(F2814="","",G2814-B2814)</f>
        <v/>
      </c>
      <c r="K2814" s="31" t="str">
        <f aca="false">IF(F2814="","",IF(H2814&lt;&gt;"",H2814,MAX('Vade Sapması'!$D$3,G2814)))</f>
        <v/>
      </c>
      <c r="L2814" s="30" t="str">
        <f aca="false">IF(F2814="","",K2814-B2814)</f>
        <v/>
      </c>
      <c r="M2814" s="30" t="str">
        <f aca="false">IF(F2814="","",L2814-J2814)</f>
        <v/>
      </c>
      <c r="N2814" s="32" t="str">
        <f aca="false">IF(F2814="","",IF(H2814&lt;&gt;"","Kapandı",IF('Vade Sapması'!$D$3&gt;G2814,"Açık · vadesi geçti","Açık · vadesi gelmedi")))</f>
        <v/>
      </c>
      <c r="O2814" s="30" t="str">
        <f aca="false">IF(F2814="","",IF(AND(H2814="",'Vade Sapması'!$D$3&gt;G2814),'Vade Sapması'!$D$3-G2814,0))</f>
        <v/>
      </c>
      <c r="P2814" s="33" t="str">
        <f aca="false">IF(F2814="","",F2814*J2814)</f>
        <v/>
      </c>
      <c r="Q2814" s="33" t="str">
        <f aca="false">IF(F2814="","",F2814*L2814)</f>
        <v/>
      </c>
      <c r="R2814" s="33" t="str">
        <f aca="false">IF(F2814="","",IF(H2814="",F2814,0))</f>
        <v/>
      </c>
      <c r="S2814" s="32" t="str">
        <f aca="false">IF(F2814="","",IF(N(O2814)=0,"",IF(O2814&lt;=30,"1-30",IF(O2814&lt;=60,"31-60",IF(O2814&lt;=90,"61-90","90+")))))</f>
        <v/>
      </c>
      <c r="T2814" s="32" t="str">
        <f aca="false">IF(F2814="","",IF(E2814="","Diğer",E2814))</f>
        <v/>
      </c>
      <c r="U2814" s="32" t="str">
        <f aca="false">IF(OR(F2814="",C2814=""),"",IF(COUNTIF($C$2:C2814,C2814)=1,MAX($U$1:U2813)+1,""))</f>
        <v/>
      </c>
    </row>
    <row r="2815" customFormat="false" ht="15" hidden="false" customHeight="false" outlineLevel="0" collapsed="false">
      <c r="A2815" s="34"/>
      <c r="B2815" s="9"/>
      <c r="C2815" s="34"/>
      <c r="D2815" s="34"/>
      <c r="E2815" s="34"/>
      <c r="F2815" s="35"/>
      <c r="G2815" s="9"/>
      <c r="H2815" s="9"/>
      <c r="I2815" s="34"/>
      <c r="J2815" s="30" t="str">
        <f aca="false">IF(F2815="","",G2815-B2815)</f>
        <v/>
      </c>
      <c r="K2815" s="31" t="str">
        <f aca="false">IF(F2815="","",IF(H2815&lt;&gt;"",H2815,MAX('Vade Sapması'!$D$3,G2815)))</f>
        <v/>
      </c>
      <c r="L2815" s="30" t="str">
        <f aca="false">IF(F2815="","",K2815-B2815)</f>
        <v/>
      </c>
      <c r="M2815" s="30" t="str">
        <f aca="false">IF(F2815="","",L2815-J2815)</f>
        <v/>
      </c>
      <c r="N2815" s="32" t="str">
        <f aca="false">IF(F2815="","",IF(H2815&lt;&gt;"","Kapandı",IF('Vade Sapması'!$D$3&gt;G2815,"Açık · vadesi geçti","Açık · vadesi gelmedi")))</f>
        <v/>
      </c>
      <c r="O2815" s="30" t="str">
        <f aca="false">IF(F2815="","",IF(AND(H2815="",'Vade Sapması'!$D$3&gt;G2815),'Vade Sapması'!$D$3-G2815,0))</f>
        <v/>
      </c>
      <c r="P2815" s="33" t="str">
        <f aca="false">IF(F2815="","",F2815*J2815)</f>
        <v/>
      </c>
      <c r="Q2815" s="33" t="str">
        <f aca="false">IF(F2815="","",F2815*L2815)</f>
        <v/>
      </c>
      <c r="R2815" s="33" t="str">
        <f aca="false">IF(F2815="","",IF(H2815="",F2815,0))</f>
        <v/>
      </c>
      <c r="S2815" s="32" t="str">
        <f aca="false">IF(F2815="","",IF(N(O2815)=0,"",IF(O2815&lt;=30,"1-30",IF(O2815&lt;=60,"31-60",IF(O2815&lt;=90,"61-90","90+")))))</f>
        <v/>
      </c>
      <c r="T2815" s="32" t="str">
        <f aca="false">IF(F2815="","",IF(E2815="","Diğer",E2815))</f>
        <v/>
      </c>
      <c r="U2815" s="32" t="str">
        <f aca="false">IF(OR(F2815="",C2815=""),"",IF(COUNTIF($C$2:C2815,C2815)=1,MAX($U$1:U2814)+1,""))</f>
        <v/>
      </c>
    </row>
    <row r="2816" customFormat="false" ht="15" hidden="false" customHeight="false" outlineLevel="0" collapsed="false">
      <c r="A2816" s="34"/>
      <c r="B2816" s="9"/>
      <c r="C2816" s="34"/>
      <c r="D2816" s="34"/>
      <c r="E2816" s="34"/>
      <c r="F2816" s="35"/>
      <c r="G2816" s="9"/>
      <c r="H2816" s="9"/>
      <c r="I2816" s="34"/>
      <c r="J2816" s="30" t="str">
        <f aca="false">IF(F2816="","",G2816-B2816)</f>
        <v/>
      </c>
      <c r="K2816" s="31" t="str">
        <f aca="false">IF(F2816="","",IF(H2816&lt;&gt;"",H2816,MAX('Vade Sapması'!$D$3,G2816)))</f>
        <v/>
      </c>
      <c r="L2816" s="30" t="str">
        <f aca="false">IF(F2816="","",K2816-B2816)</f>
        <v/>
      </c>
      <c r="M2816" s="30" t="str">
        <f aca="false">IF(F2816="","",L2816-J2816)</f>
        <v/>
      </c>
      <c r="N2816" s="32" t="str">
        <f aca="false">IF(F2816="","",IF(H2816&lt;&gt;"","Kapandı",IF('Vade Sapması'!$D$3&gt;G2816,"Açık · vadesi geçti","Açık · vadesi gelmedi")))</f>
        <v/>
      </c>
      <c r="O2816" s="30" t="str">
        <f aca="false">IF(F2816="","",IF(AND(H2816="",'Vade Sapması'!$D$3&gt;G2816),'Vade Sapması'!$D$3-G2816,0))</f>
        <v/>
      </c>
      <c r="P2816" s="33" t="str">
        <f aca="false">IF(F2816="","",F2816*J2816)</f>
        <v/>
      </c>
      <c r="Q2816" s="33" t="str">
        <f aca="false">IF(F2816="","",F2816*L2816)</f>
        <v/>
      </c>
      <c r="R2816" s="33" t="str">
        <f aca="false">IF(F2816="","",IF(H2816="",F2816,0))</f>
        <v/>
      </c>
      <c r="S2816" s="32" t="str">
        <f aca="false">IF(F2816="","",IF(N(O2816)=0,"",IF(O2816&lt;=30,"1-30",IF(O2816&lt;=60,"31-60",IF(O2816&lt;=90,"61-90","90+")))))</f>
        <v/>
      </c>
      <c r="T2816" s="32" t="str">
        <f aca="false">IF(F2816="","",IF(E2816="","Diğer",E2816))</f>
        <v/>
      </c>
      <c r="U2816" s="32" t="str">
        <f aca="false">IF(OR(F2816="",C2816=""),"",IF(COUNTIF($C$2:C2816,C2816)=1,MAX($U$1:U2815)+1,""))</f>
        <v/>
      </c>
    </row>
    <row r="2817" customFormat="false" ht="15" hidden="false" customHeight="false" outlineLevel="0" collapsed="false">
      <c r="A2817" s="34"/>
      <c r="B2817" s="9"/>
      <c r="C2817" s="34"/>
      <c r="D2817" s="34"/>
      <c r="E2817" s="34"/>
      <c r="F2817" s="35"/>
      <c r="G2817" s="9"/>
      <c r="H2817" s="9"/>
      <c r="I2817" s="34"/>
      <c r="J2817" s="30" t="str">
        <f aca="false">IF(F2817="","",G2817-B2817)</f>
        <v/>
      </c>
      <c r="K2817" s="31" t="str">
        <f aca="false">IF(F2817="","",IF(H2817&lt;&gt;"",H2817,MAX('Vade Sapması'!$D$3,G2817)))</f>
        <v/>
      </c>
      <c r="L2817" s="30" t="str">
        <f aca="false">IF(F2817="","",K2817-B2817)</f>
        <v/>
      </c>
      <c r="M2817" s="30" t="str">
        <f aca="false">IF(F2817="","",L2817-J2817)</f>
        <v/>
      </c>
      <c r="N2817" s="32" t="str">
        <f aca="false">IF(F2817="","",IF(H2817&lt;&gt;"","Kapandı",IF('Vade Sapması'!$D$3&gt;G2817,"Açık · vadesi geçti","Açık · vadesi gelmedi")))</f>
        <v/>
      </c>
      <c r="O2817" s="30" t="str">
        <f aca="false">IF(F2817="","",IF(AND(H2817="",'Vade Sapması'!$D$3&gt;G2817),'Vade Sapması'!$D$3-G2817,0))</f>
        <v/>
      </c>
      <c r="P2817" s="33" t="str">
        <f aca="false">IF(F2817="","",F2817*J2817)</f>
        <v/>
      </c>
      <c r="Q2817" s="33" t="str">
        <f aca="false">IF(F2817="","",F2817*L2817)</f>
        <v/>
      </c>
      <c r="R2817" s="33" t="str">
        <f aca="false">IF(F2817="","",IF(H2817="",F2817,0))</f>
        <v/>
      </c>
      <c r="S2817" s="32" t="str">
        <f aca="false">IF(F2817="","",IF(N(O2817)=0,"",IF(O2817&lt;=30,"1-30",IF(O2817&lt;=60,"31-60",IF(O2817&lt;=90,"61-90","90+")))))</f>
        <v/>
      </c>
      <c r="T2817" s="32" t="str">
        <f aca="false">IF(F2817="","",IF(E2817="","Diğer",E2817))</f>
        <v/>
      </c>
      <c r="U2817" s="32" t="str">
        <f aca="false">IF(OR(F2817="",C2817=""),"",IF(COUNTIF($C$2:C2817,C2817)=1,MAX($U$1:U2816)+1,""))</f>
        <v/>
      </c>
    </row>
    <row r="2818" customFormat="false" ht="15" hidden="false" customHeight="false" outlineLevel="0" collapsed="false">
      <c r="A2818" s="34"/>
      <c r="B2818" s="9"/>
      <c r="C2818" s="34"/>
      <c r="D2818" s="34"/>
      <c r="E2818" s="34"/>
      <c r="F2818" s="35"/>
      <c r="G2818" s="9"/>
      <c r="H2818" s="9"/>
      <c r="I2818" s="34"/>
      <c r="J2818" s="30" t="str">
        <f aca="false">IF(F2818="","",G2818-B2818)</f>
        <v/>
      </c>
      <c r="K2818" s="31" t="str">
        <f aca="false">IF(F2818="","",IF(H2818&lt;&gt;"",H2818,MAX('Vade Sapması'!$D$3,G2818)))</f>
        <v/>
      </c>
      <c r="L2818" s="30" t="str">
        <f aca="false">IF(F2818="","",K2818-B2818)</f>
        <v/>
      </c>
      <c r="M2818" s="30" t="str">
        <f aca="false">IF(F2818="","",L2818-J2818)</f>
        <v/>
      </c>
      <c r="N2818" s="32" t="str">
        <f aca="false">IF(F2818="","",IF(H2818&lt;&gt;"","Kapandı",IF('Vade Sapması'!$D$3&gt;G2818,"Açık · vadesi geçti","Açık · vadesi gelmedi")))</f>
        <v/>
      </c>
      <c r="O2818" s="30" t="str">
        <f aca="false">IF(F2818="","",IF(AND(H2818="",'Vade Sapması'!$D$3&gt;G2818),'Vade Sapması'!$D$3-G2818,0))</f>
        <v/>
      </c>
      <c r="P2818" s="33" t="str">
        <f aca="false">IF(F2818="","",F2818*J2818)</f>
        <v/>
      </c>
      <c r="Q2818" s="33" t="str">
        <f aca="false">IF(F2818="","",F2818*L2818)</f>
        <v/>
      </c>
      <c r="R2818" s="33" t="str">
        <f aca="false">IF(F2818="","",IF(H2818="",F2818,0))</f>
        <v/>
      </c>
      <c r="S2818" s="32" t="str">
        <f aca="false">IF(F2818="","",IF(N(O2818)=0,"",IF(O2818&lt;=30,"1-30",IF(O2818&lt;=60,"31-60",IF(O2818&lt;=90,"61-90","90+")))))</f>
        <v/>
      </c>
      <c r="T2818" s="32" t="str">
        <f aca="false">IF(F2818="","",IF(E2818="","Diğer",E2818))</f>
        <v/>
      </c>
      <c r="U2818" s="32" t="str">
        <f aca="false">IF(OR(F2818="",C2818=""),"",IF(COUNTIF($C$2:C2818,C2818)=1,MAX($U$1:U2817)+1,""))</f>
        <v/>
      </c>
    </row>
    <row r="2819" customFormat="false" ht="15" hidden="false" customHeight="false" outlineLevel="0" collapsed="false">
      <c r="A2819" s="34"/>
      <c r="B2819" s="9"/>
      <c r="C2819" s="34"/>
      <c r="D2819" s="34"/>
      <c r="E2819" s="34"/>
      <c r="F2819" s="35"/>
      <c r="G2819" s="9"/>
      <c r="H2819" s="9"/>
      <c r="I2819" s="34"/>
      <c r="J2819" s="30" t="str">
        <f aca="false">IF(F2819="","",G2819-B2819)</f>
        <v/>
      </c>
      <c r="K2819" s="31" t="str">
        <f aca="false">IF(F2819="","",IF(H2819&lt;&gt;"",H2819,MAX('Vade Sapması'!$D$3,G2819)))</f>
        <v/>
      </c>
      <c r="L2819" s="30" t="str">
        <f aca="false">IF(F2819="","",K2819-B2819)</f>
        <v/>
      </c>
      <c r="M2819" s="30" t="str">
        <f aca="false">IF(F2819="","",L2819-J2819)</f>
        <v/>
      </c>
      <c r="N2819" s="32" t="str">
        <f aca="false">IF(F2819="","",IF(H2819&lt;&gt;"","Kapandı",IF('Vade Sapması'!$D$3&gt;G2819,"Açık · vadesi geçti","Açık · vadesi gelmedi")))</f>
        <v/>
      </c>
      <c r="O2819" s="30" t="str">
        <f aca="false">IF(F2819="","",IF(AND(H2819="",'Vade Sapması'!$D$3&gt;G2819),'Vade Sapması'!$D$3-G2819,0))</f>
        <v/>
      </c>
      <c r="P2819" s="33" t="str">
        <f aca="false">IF(F2819="","",F2819*J2819)</f>
        <v/>
      </c>
      <c r="Q2819" s="33" t="str">
        <f aca="false">IF(F2819="","",F2819*L2819)</f>
        <v/>
      </c>
      <c r="R2819" s="33" t="str">
        <f aca="false">IF(F2819="","",IF(H2819="",F2819,0))</f>
        <v/>
      </c>
      <c r="S2819" s="32" t="str">
        <f aca="false">IF(F2819="","",IF(N(O2819)=0,"",IF(O2819&lt;=30,"1-30",IF(O2819&lt;=60,"31-60",IF(O2819&lt;=90,"61-90","90+")))))</f>
        <v/>
      </c>
      <c r="T2819" s="32" t="str">
        <f aca="false">IF(F2819="","",IF(E2819="","Diğer",E2819))</f>
        <v/>
      </c>
      <c r="U2819" s="32" t="str">
        <f aca="false">IF(OR(F2819="",C2819=""),"",IF(COUNTIF($C$2:C2819,C2819)=1,MAX($U$1:U2818)+1,""))</f>
        <v/>
      </c>
    </row>
    <row r="2820" customFormat="false" ht="15" hidden="false" customHeight="false" outlineLevel="0" collapsed="false">
      <c r="A2820" s="34"/>
      <c r="B2820" s="9"/>
      <c r="C2820" s="34"/>
      <c r="D2820" s="34"/>
      <c r="E2820" s="34"/>
      <c r="F2820" s="35"/>
      <c r="G2820" s="9"/>
      <c r="H2820" s="9"/>
      <c r="I2820" s="34"/>
      <c r="J2820" s="30" t="str">
        <f aca="false">IF(F2820="","",G2820-B2820)</f>
        <v/>
      </c>
      <c r="K2820" s="31" t="str">
        <f aca="false">IF(F2820="","",IF(H2820&lt;&gt;"",H2820,MAX('Vade Sapması'!$D$3,G2820)))</f>
        <v/>
      </c>
      <c r="L2820" s="30" t="str">
        <f aca="false">IF(F2820="","",K2820-B2820)</f>
        <v/>
      </c>
      <c r="M2820" s="30" t="str">
        <f aca="false">IF(F2820="","",L2820-J2820)</f>
        <v/>
      </c>
      <c r="N2820" s="32" t="str">
        <f aca="false">IF(F2820="","",IF(H2820&lt;&gt;"","Kapandı",IF('Vade Sapması'!$D$3&gt;G2820,"Açık · vadesi geçti","Açık · vadesi gelmedi")))</f>
        <v/>
      </c>
      <c r="O2820" s="30" t="str">
        <f aca="false">IF(F2820="","",IF(AND(H2820="",'Vade Sapması'!$D$3&gt;G2820),'Vade Sapması'!$D$3-G2820,0))</f>
        <v/>
      </c>
      <c r="P2820" s="33" t="str">
        <f aca="false">IF(F2820="","",F2820*J2820)</f>
        <v/>
      </c>
      <c r="Q2820" s="33" t="str">
        <f aca="false">IF(F2820="","",F2820*L2820)</f>
        <v/>
      </c>
      <c r="R2820" s="33" t="str">
        <f aca="false">IF(F2820="","",IF(H2820="",F2820,0))</f>
        <v/>
      </c>
      <c r="S2820" s="32" t="str">
        <f aca="false">IF(F2820="","",IF(N(O2820)=0,"",IF(O2820&lt;=30,"1-30",IF(O2820&lt;=60,"31-60",IF(O2820&lt;=90,"61-90","90+")))))</f>
        <v/>
      </c>
      <c r="T2820" s="32" t="str">
        <f aca="false">IF(F2820="","",IF(E2820="","Diğer",E2820))</f>
        <v/>
      </c>
      <c r="U2820" s="32" t="str">
        <f aca="false">IF(OR(F2820="",C2820=""),"",IF(COUNTIF($C$2:C2820,C2820)=1,MAX($U$1:U2819)+1,""))</f>
        <v/>
      </c>
    </row>
    <row r="2821" customFormat="false" ht="15" hidden="false" customHeight="false" outlineLevel="0" collapsed="false">
      <c r="A2821" s="34"/>
      <c r="B2821" s="9"/>
      <c r="C2821" s="34"/>
      <c r="D2821" s="34"/>
      <c r="E2821" s="34"/>
      <c r="F2821" s="35"/>
      <c r="G2821" s="9"/>
      <c r="H2821" s="9"/>
      <c r="I2821" s="34"/>
      <c r="J2821" s="30" t="str">
        <f aca="false">IF(F2821="","",G2821-B2821)</f>
        <v/>
      </c>
      <c r="K2821" s="31" t="str">
        <f aca="false">IF(F2821="","",IF(H2821&lt;&gt;"",H2821,MAX('Vade Sapması'!$D$3,G2821)))</f>
        <v/>
      </c>
      <c r="L2821" s="30" t="str">
        <f aca="false">IF(F2821="","",K2821-B2821)</f>
        <v/>
      </c>
      <c r="M2821" s="30" t="str">
        <f aca="false">IF(F2821="","",L2821-J2821)</f>
        <v/>
      </c>
      <c r="N2821" s="32" t="str">
        <f aca="false">IF(F2821="","",IF(H2821&lt;&gt;"","Kapandı",IF('Vade Sapması'!$D$3&gt;G2821,"Açık · vadesi geçti","Açık · vadesi gelmedi")))</f>
        <v/>
      </c>
      <c r="O2821" s="30" t="str">
        <f aca="false">IF(F2821="","",IF(AND(H2821="",'Vade Sapması'!$D$3&gt;G2821),'Vade Sapması'!$D$3-G2821,0))</f>
        <v/>
      </c>
      <c r="P2821" s="33" t="str">
        <f aca="false">IF(F2821="","",F2821*J2821)</f>
        <v/>
      </c>
      <c r="Q2821" s="33" t="str">
        <f aca="false">IF(F2821="","",F2821*L2821)</f>
        <v/>
      </c>
      <c r="R2821" s="33" t="str">
        <f aca="false">IF(F2821="","",IF(H2821="",F2821,0))</f>
        <v/>
      </c>
      <c r="S2821" s="32" t="str">
        <f aca="false">IF(F2821="","",IF(N(O2821)=0,"",IF(O2821&lt;=30,"1-30",IF(O2821&lt;=60,"31-60",IF(O2821&lt;=90,"61-90","90+")))))</f>
        <v/>
      </c>
      <c r="T2821" s="32" t="str">
        <f aca="false">IF(F2821="","",IF(E2821="","Diğer",E2821))</f>
        <v/>
      </c>
      <c r="U2821" s="32" t="str">
        <f aca="false">IF(OR(F2821="",C2821=""),"",IF(COUNTIF($C$2:C2821,C2821)=1,MAX($U$1:U2820)+1,""))</f>
        <v/>
      </c>
    </row>
    <row r="2822" customFormat="false" ht="15" hidden="false" customHeight="false" outlineLevel="0" collapsed="false">
      <c r="A2822" s="34"/>
      <c r="B2822" s="9"/>
      <c r="C2822" s="34"/>
      <c r="D2822" s="34"/>
      <c r="E2822" s="34"/>
      <c r="F2822" s="35"/>
      <c r="G2822" s="9"/>
      <c r="H2822" s="9"/>
      <c r="I2822" s="34"/>
      <c r="J2822" s="30" t="str">
        <f aca="false">IF(F2822="","",G2822-B2822)</f>
        <v/>
      </c>
      <c r="K2822" s="31" t="str">
        <f aca="false">IF(F2822="","",IF(H2822&lt;&gt;"",H2822,MAX('Vade Sapması'!$D$3,G2822)))</f>
        <v/>
      </c>
      <c r="L2822" s="30" t="str">
        <f aca="false">IF(F2822="","",K2822-B2822)</f>
        <v/>
      </c>
      <c r="M2822" s="30" t="str">
        <f aca="false">IF(F2822="","",L2822-J2822)</f>
        <v/>
      </c>
      <c r="N2822" s="32" t="str">
        <f aca="false">IF(F2822="","",IF(H2822&lt;&gt;"","Kapandı",IF('Vade Sapması'!$D$3&gt;G2822,"Açık · vadesi geçti","Açık · vadesi gelmedi")))</f>
        <v/>
      </c>
      <c r="O2822" s="30" t="str">
        <f aca="false">IF(F2822="","",IF(AND(H2822="",'Vade Sapması'!$D$3&gt;G2822),'Vade Sapması'!$D$3-G2822,0))</f>
        <v/>
      </c>
      <c r="P2822" s="33" t="str">
        <f aca="false">IF(F2822="","",F2822*J2822)</f>
        <v/>
      </c>
      <c r="Q2822" s="33" t="str">
        <f aca="false">IF(F2822="","",F2822*L2822)</f>
        <v/>
      </c>
      <c r="R2822" s="33" t="str">
        <f aca="false">IF(F2822="","",IF(H2822="",F2822,0))</f>
        <v/>
      </c>
      <c r="S2822" s="32" t="str">
        <f aca="false">IF(F2822="","",IF(N(O2822)=0,"",IF(O2822&lt;=30,"1-30",IF(O2822&lt;=60,"31-60",IF(O2822&lt;=90,"61-90","90+")))))</f>
        <v/>
      </c>
      <c r="T2822" s="32" t="str">
        <f aca="false">IF(F2822="","",IF(E2822="","Diğer",E2822))</f>
        <v/>
      </c>
      <c r="U2822" s="32" t="str">
        <f aca="false">IF(OR(F2822="",C2822=""),"",IF(COUNTIF($C$2:C2822,C2822)=1,MAX($U$1:U2821)+1,""))</f>
        <v/>
      </c>
    </row>
    <row r="2823" customFormat="false" ht="15" hidden="false" customHeight="false" outlineLevel="0" collapsed="false">
      <c r="A2823" s="34"/>
      <c r="B2823" s="9"/>
      <c r="C2823" s="34"/>
      <c r="D2823" s="34"/>
      <c r="E2823" s="34"/>
      <c r="F2823" s="35"/>
      <c r="G2823" s="9"/>
      <c r="H2823" s="9"/>
      <c r="I2823" s="34"/>
      <c r="J2823" s="30" t="str">
        <f aca="false">IF(F2823="","",G2823-B2823)</f>
        <v/>
      </c>
      <c r="K2823" s="31" t="str">
        <f aca="false">IF(F2823="","",IF(H2823&lt;&gt;"",H2823,MAX('Vade Sapması'!$D$3,G2823)))</f>
        <v/>
      </c>
      <c r="L2823" s="30" t="str">
        <f aca="false">IF(F2823="","",K2823-B2823)</f>
        <v/>
      </c>
      <c r="M2823" s="30" t="str">
        <f aca="false">IF(F2823="","",L2823-J2823)</f>
        <v/>
      </c>
      <c r="N2823" s="32" t="str">
        <f aca="false">IF(F2823="","",IF(H2823&lt;&gt;"","Kapandı",IF('Vade Sapması'!$D$3&gt;G2823,"Açık · vadesi geçti","Açık · vadesi gelmedi")))</f>
        <v/>
      </c>
      <c r="O2823" s="30" t="str">
        <f aca="false">IF(F2823="","",IF(AND(H2823="",'Vade Sapması'!$D$3&gt;G2823),'Vade Sapması'!$D$3-G2823,0))</f>
        <v/>
      </c>
      <c r="P2823" s="33" t="str">
        <f aca="false">IF(F2823="","",F2823*J2823)</f>
        <v/>
      </c>
      <c r="Q2823" s="33" t="str">
        <f aca="false">IF(F2823="","",F2823*L2823)</f>
        <v/>
      </c>
      <c r="R2823" s="33" t="str">
        <f aca="false">IF(F2823="","",IF(H2823="",F2823,0))</f>
        <v/>
      </c>
      <c r="S2823" s="32" t="str">
        <f aca="false">IF(F2823="","",IF(N(O2823)=0,"",IF(O2823&lt;=30,"1-30",IF(O2823&lt;=60,"31-60",IF(O2823&lt;=90,"61-90","90+")))))</f>
        <v/>
      </c>
      <c r="T2823" s="32" t="str">
        <f aca="false">IF(F2823="","",IF(E2823="","Diğer",E2823))</f>
        <v/>
      </c>
      <c r="U2823" s="32" t="str">
        <f aca="false">IF(OR(F2823="",C2823=""),"",IF(COUNTIF($C$2:C2823,C2823)=1,MAX($U$1:U2822)+1,""))</f>
        <v/>
      </c>
    </row>
    <row r="2824" customFormat="false" ht="15" hidden="false" customHeight="false" outlineLevel="0" collapsed="false">
      <c r="A2824" s="34"/>
      <c r="B2824" s="9"/>
      <c r="C2824" s="34"/>
      <c r="D2824" s="34"/>
      <c r="E2824" s="34"/>
      <c r="F2824" s="35"/>
      <c r="G2824" s="9"/>
      <c r="H2824" s="9"/>
      <c r="I2824" s="34"/>
      <c r="J2824" s="30" t="str">
        <f aca="false">IF(F2824="","",G2824-B2824)</f>
        <v/>
      </c>
      <c r="K2824" s="31" t="str">
        <f aca="false">IF(F2824="","",IF(H2824&lt;&gt;"",H2824,MAX('Vade Sapması'!$D$3,G2824)))</f>
        <v/>
      </c>
      <c r="L2824" s="30" t="str">
        <f aca="false">IF(F2824="","",K2824-B2824)</f>
        <v/>
      </c>
      <c r="M2824" s="30" t="str">
        <f aca="false">IF(F2824="","",L2824-J2824)</f>
        <v/>
      </c>
      <c r="N2824" s="32" t="str">
        <f aca="false">IF(F2824="","",IF(H2824&lt;&gt;"","Kapandı",IF('Vade Sapması'!$D$3&gt;G2824,"Açık · vadesi geçti","Açık · vadesi gelmedi")))</f>
        <v/>
      </c>
      <c r="O2824" s="30" t="str">
        <f aca="false">IF(F2824="","",IF(AND(H2824="",'Vade Sapması'!$D$3&gt;G2824),'Vade Sapması'!$D$3-G2824,0))</f>
        <v/>
      </c>
      <c r="P2824" s="33" t="str">
        <f aca="false">IF(F2824="","",F2824*J2824)</f>
        <v/>
      </c>
      <c r="Q2824" s="33" t="str">
        <f aca="false">IF(F2824="","",F2824*L2824)</f>
        <v/>
      </c>
      <c r="R2824" s="33" t="str">
        <f aca="false">IF(F2824="","",IF(H2824="",F2824,0))</f>
        <v/>
      </c>
      <c r="S2824" s="32" t="str">
        <f aca="false">IF(F2824="","",IF(N(O2824)=0,"",IF(O2824&lt;=30,"1-30",IF(O2824&lt;=60,"31-60",IF(O2824&lt;=90,"61-90","90+")))))</f>
        <v/>
      </c>
      <c r="T2824" s="32" t="str">
        <f aca="false">IF(F2824="","",IF(E2824="","Diğer",E2824))</f>
        <v/>
      </c>
      <c r="U2824" s="32" t="str">
        <f aca="false">IF(OR(F2824="",C2824=""),"",IF(COUNTIF($C$2:C2824,C2824)=1,MAX($U$1:U2823)+1,""))</f>
        <v/>
      </c>
    </row>
    <row r="2825" customFormat="false" ht="15" hidden="false" customHeight="false" outlineLevel="0" collapsed="false">
      <c r="A2825" s="34"/>
      <c r="B2825" s="9"/>
      <c r="C2825" s="34"/>
      <c r="D2825" s="34"/>
      <c r="E2825" s="34"/>
      <c r="F2825" s="35"/>
      <c r="G2825" s="9"/>
      <c r="H2825" s="9"/>
      <c r="I2825" s="34"/>
      <c r="J2825" s="30" t="str">
        <f aca="false">IF(F2825="","",G2825-B2825)</f>
        <v/>
      </c>
      <c r="K2825" s="31" t="str">
        <f aca="false">IF(F2825="","",IF(H2825&lt;&gt;"",H2825,MAX('Vade Sapması'!$D$3,G2825)))</f>
        <v/>
      </c>
      <c r="L2825" s="30" t="str">
        <f aca="false">IF(F2825="","",K2825-B2825)</f>
        <v/>
      </c>
      <c r="M2825" s="30" t="str">
        <f aca="false">IF(F2825="","",L2825-J2825)</f>
        <v/>
      </c>
      <c r="N2825" s="32" t="str">
        <f aca="false">IF(F2825="","",IF(H2825&lt;&gt;"","Kapandı",IF('Vade Sapması'!$D$3&gt;G2825,"Açık · vadesi geçti","Açık · vadesi gelmedi")))</f>
        <v/>
      </c>
      <c r="O2825" s="30" t="str">
        <f aca="false">IF(F2825="","",IF(AND(H2825="",'Vade Sapması'!$D$3&gt;G2825),'Vade Sapması'!$D$3-G2825,0))</f>
        <v/>
      </c>
      <c r="P2825" s="33" t="str">
        <f aca="false">IF(F2825="","",F2825*J2825)</f>
        <v/>
      </c>
      <c r="Q2825" s="33" t="str">
        <f aca="false">IF(F2825="","",F2825*L2825)</f>
        <v/>
      </c>
      <c r="R2825" s="33" t="str">
        <f aca="false">IF(F2825="","",IF(H2825="",F2825,0))</f>
        <v/>
      </c>
      <c r="S2825" s="32" t="str">
        <f aca="false">IF(F2825="","",IF(N(O2825)=0,"",IF(O2825&lt;=30,"1-30",IF(O2825&lt;=60,"31-60",IF(O2825&lt;=90,"61-90","90+")))))</f>
        <v/>
      </c>
      <c r="T2825" s="32" t="str">
        <f aca="false">IF(F2825="","",IF(E2825="","Diğer",E2825))</f>
        <v/>
      </c>
      <c r="U2825" s="32" t="str">
        <f aca="false">IF(OR(F2825="",C2825=""),"",IF(COUNTIF($C$2:C2825,C2825)=1,MAX($U$1:U2824)+1,""))</f>
        <v/>
      </c>
    </row>
    <row r="2826" customFormat="false" ht="15" hidden="false" customHeight="false" outlineLevel="0" collapsed="false">
      <c r="A2826" s="34"/>
      <c r="B2826" s="9"/>
      <c r="C2826" s="34"/>
      <c r="D2826" s="34"/>
      <c r="E2826" s="34"/>
      <c r="F2826" s="35"/>
      <c r="G2826" s="9"/>
      <c r="H2826" s="9"/>
      <c r="I2826" s="34"/>
      <c r="J2826" s="30" t="str">
        <f aca="false">IF(F2826="","",G2826-B2826)</f>
        <v/>
      </c>
      <c r="K2826" s="31" t="str">
        <f aca="false">IF(F2826="","",IF(H2826&lt;&gt;"",H2826,MAX('Vade Sapması'!$D$3,G2826)))</f>
        <v/>
      </c>
      <c r="L2826" s="30" t="str">
        <f aca="false">IF(F2826="","",K2826-B2826)</f>
        <v/>
      </c>
      <c r="M2826" s="30" t="str">
        <f aca="false">IF(F2826="","",L2826-J2826)</f>
        <v/>
      </c>
      <c r="N2826" s="32" t="str">
        <f aca="false">IF(F2826="","",IF(H2826&lt;&gt;"","Kapandı",IF('Vade Sapması'!$D$3&gt;G2826,"Açık · vadesi geçti","Açık · vadesi gelmedi")))</f>
        <v/>
      </c>
      <c r="O2826" s="30" t="str">
        <f aca="false">IF(F2826="","",IF(AND(H2826="",'Vade Sapması'!$D$3&gt;G2826),'Vade Sapması'!$D$3-G2826,0))</f>
        <v/>
      </c>
      <c r="P2826" s="33" t="str">
        <f aca="false">IF(F2826="","",F2826*J2826)</f>
        <v/>
      </c>
      <c r="Q2826" s="33" t="str">
        <f aca="false">IF(F2826="","",F2826*L2826)</f>
        <v/>
      </c>
      <c r="R2826" s="33" t="str">
        <f aca="false">IF(F2826="","",IF(H2826="",F2826,0))</f>
        <v/>
      </c>
      <c r="S2826" s="32" t="str">
        <f aca="false">IF(F2826="","",IF(N(O2826)=0,"",IF(O2826&lt;=30,"1-30",IF(O2826&lt;=60,"31-60",IF(O2826&lt;=90,"61-90","90+")))))</f>
        <v/>
      </c>
      <c r="T2826" s="32" t="str">
        <f aca="false">IF(F2826="","",IF(E2826="","Diğer",E2826))</f>
        <v/>
      </c>
      <c r="U2826" s="32" t="str">
        <f aca="false">IF(OR(F2826="",C2826=""),"",IF(COUNTIF($C$2:C2826,C2826)=1,MAX($U$1:U2825)+1,""))</f>
        <v/>
      </c>
    </row>
    <row r="2827" customFormat="false" ht="15" hidden="false" customHeight="false" outlineLevel="0" collapsed="false">
      <c r="A2827" s="34"/>
      <c r="B2827" s="9"/>
      <c r="C2827" s="34"/>
      <c r="D2827" s="34"/>
      <c r="E2827" s="34"/>
      <c r="F2827" s="35"/>
      <c r="G2827" s="9"/>
      <c r="H2827" s="9"/>
      <c r="I2827" s="34"/>
      <c r="J2827" s="30" t="str">
        <f aca="false">IF(F2827="","",G2827-B2827)</f>
        <v/>
      </c>
      <c r="K2827" s="31" t="str">
        <f aca="false">IF(F2827="","",IF(H2827&lt;&gt;"",H2827,MAX('Vade Sapması'!$D$3,G2827)))</f>
        <v/>
      </c>
      <c r="L2827" s="30" t="str">
        <f aca="false">IF(F2827="","",K2827-B2827)</f>
        <v/>
      </c>
      <c r="M2827" s="30" t="str">
        <f aca="false">IF(F2827="","",L2827-J2827)</f>
        <v/>
      </c>
      <c r="N2827" s="32" t="str">
        <f aca="false">IF(F2827="","",IF(H2827&lt;&gt;"","Kapandı",IF('Vade Sapması'!$D$3&gt;G2827,"Açık · vadesi geçti","Açık · vadesi gelmedi")))</f>
        <v/>
      </c>
      <c r="O2827" s="30" t="str">
        <f aca="false">IF(F2827="","",IF(AND(H2827="",'Vade Sapması'!$D$3&gt;G2827),'Vade Sapması'!$D$3-G2827,0))</f>
        <v/>
      </c>
      <c r="P2827" s="33" t="str">
        <f aca="false">IF(F2827="","",F2827*J2827)</f>
        <v/>
      </c>
      <c r="Q2827" s="33" t="str">
        <f aca="false">IF(F2827="","",F2827*L2827)</f>
        <v/>
      </c>
      <c r="R2827" s="33" t="str">
        <f aca="false">IF(F2827="","",IF(H2827="",F2827,0))</f>
        <v/>
      </c>
      <c r="S2827" s="32" t="str">
        <f aca="false">IF(F2827="","",IF(N(O2827)=0,"",IF(O2827&lt;=30,"1-30",IF(O2827&lt;=60,"31-60",IF(O2827&lt;=90,"61-90","90+")))))</f>
        <v/>
      </c>
      <c r="T2827" s="32" t="str">
        <f aca="false">IF(F2827="","",IF(E2827="","Diğer",E2827))</f>
        <v/>
      </c>
      <c r="U2827" s="32" t="str">
        <f aca="false">IF(OR(F2827="",C2827=""),"",IF(COUNTIF($C$2:C2827,C2827)=1,MAX($U$1:U2826)+1,""))</f>
        <v/>
      </c>
    </row>
    <row r="2828" customFormat="false" ht="15" hidden="false" customHeight="false" outlineLevel="0" collapsed="false">
      <c r="A2828" s="34"/>
      <c r="B2828" s="9"/>
      <c r="C2828" s="34"/>
      <c r="D2828" s="34"/>
      <c r="E2828" s="34"/>
      <c r="F2828" s="35"/>
      <c r="G2828" s="9"/>
      <c r="H2828" s="9"/>
      <c r="I2828" s="34"/>
      <c r="J2828" s="30" t="str">
        <f aca="false">IF(F2828="","",G2828-B2828)</f>
        <v/>
      </c>
      <c r="K2828" s="31" t="str">
        <f aca="false">IF(F2828="","",IF(H2828&lt;&gt;"",H2828,MAX('Vade Sapması'!$D$3,G2828)))</f>
        <v/>
      </c>
      <c r="L2828" s="30" t="str">
        <f aca="false">IF(F2828="","",K2828-B2828)</f>
        <v/>
      </c>
      <c r="M2828" s="30" t="str">
        <f aca="false">IF(F2828="","",L2828-J2828)</f>
        <v/>
      </c>
      <c r="N2828" s="32" t="str">
        <f aca="false">IF(F2828="","",IF(H2828&lt;&gt;"","Kapandı",IF('Vade Sapması'!$D$3&gt;G2828,"Açık · vadesi geçti","Açık · vadesi gelmedi")))</f>
        <v/>
      </c>
      <c r="O2828" s="30" t="str">
        <f aca="false">IF(F2828="","",IF(AND(H2828="",'Vade Sapması'!$D$3&gt;G2828),'Vade Sapması'!$D$3-G2828,0))</f>
        <v/>
      </c>
      <c r="P2828" s="33" t="str">
        <f aca="false">IF(F2828="","",F2828*J2828)</f>
        <v/>
      </c>
      <c r="Q2828" s="33" t="str">
        <f aca="false">IF(F2828="","",F2828*L2828)</f>
        <v/>
      </c>
      <c r="R2828" s="33" t="str">
        <f aca="false">IF(F2828="","",IF(H2828="",F2828,0))</f>
        <v/>
      </c>
      <c r="S2828" s="32" t="str">
        <f aca="false">IF(F2828="","",IF(N(O2828)=0,"",IF(O2828&lt;=30,"1-30",IF(O2828&lt;=60,"31-60",IF(O2828&lt;=90,"61-90","90+")))))</f>
        <v/>
      </c>
      <c r="T2828" s="32" t="str">
        <f aca="false">IF(F2828="","",IF(E2828="","Diğer",E2828))</f>
        <v/>
      </c>
      <c r="U2828" s="32" t="str">
        <f aca="false">IF(OR(F2828="",C2828=""),"",IF(COUNTIF($C$2:C2828,C2828)=1,MAX($U$1:U2827)+1,""))</f>
        <v/>
      </c>
    </row>
    <row r="2829" customFormat="false" ht="15" hidden="false" customHeight="false" outlineLevel="0" collapsed="false">
      <c r="A2829" s="34"/>
      <c r="B2829" s="9"/>
      <c r="C2829" s="34"/>
      <c r="D2829" s="34"/>
      <c r="E2829" s="34"/>
      <c r="F2829" s="35"/>
      <c r="G2829" s="9"/>
      <c r="H2829" s="9"/>
      <c r="I2829" s="34"/>
      <c r="J2829" s="30" t="str">
        <f aca="false">IF(F2829="","",G2829-B2829)</f>
        <v/>
      </c>
      <c r="K2829" s="31" t="str">
        <f aca="false">IF(F2829="","",IF(H2829&lt;&gt;"",H2829,MAX('Vade Sapması'!$D$3,G2829)))</f>
        <v/>
      </c>
      <c r="L2829" s="30" t="str">
        <f aca="false">IF(F2829="","",K2829-B2829)</f>
        <v/>
      </c>
      <c r="M2829" s="30" t="str">
        <f aca="false">IF(F2829="","",L2829-J2829)</f>
        <v/>
      </c>
      <c r="N2829" s="32" t="str">
        <f aca="false">IF(F2829="","",IF(H2829&lt;&gt;"","Kapandı",IF('Vade Sapması'!$D$3&gt;G2829,"Açık · vadesi geçti","Açık · vadesi gelmedi")))</f>
        <v/>
      </c>
      <c r="O2829" s="30" t="str">
        <f aca="false">IF(F2829="","",IF(AND(H2829="",'Vade Sapması'!$D$3&gt;G2829),'Vade Sapması'!$D$3-G2829,0))</f>
        <v/>
      </c>
      <c r="P2829" s="33" t="str">
        <f aca="false">IF(F2829="","",F2829*J2829)</f>
        <v/>
      </c>
      <c r="Q2829" s="33" t="str">
        <f aca="false">IF(F2829="","",F2829*L2829)</f>
        <v/>
      </c>
      <c r="R2829" s="33" t="str">
        <f aca="false">IF(F2829="","",IF(H2829="",F2829,0))</f>
        <v/>
      </c>
      <c r="S2829" s="32" t="str">
        <f aca="false">IF(F2829="","",IF(N(O2829)=0,"",IF(O2829&lt;=30,"1-30",IF(O2829&lt;=60,"31-60",IF(O2829&lt;=90,"61-90","90+")))))</f>
        <v/>
      </c>
      <c r="T2829" s="32" t="str">
        <f aca="false">IF(F2829="","",IF(E2829="","Diğer",E2829))</f>
        <v/>
      </c>
      <c r="U2829" s="32" t="str">
        <f aca="false">IF(OR(F2829="",C2829=""),"",IF(COUNTIF($C$2:C2829,C2829)=1,MAX($U$1:U2828)+1,""))</f>
        <v/>
      </c>
    </row>
    <row r="2830" customFormat="false" ht="15" hidden="false" customHeight="false" outlineLevel="0" collapsed="false">
      <c r="A2830" s="34"/>
      <c r="B2830" s="9"/>
      <c r="C2830" s="34"/>
      <c r="D2830" s="34"/>
      <c r="E2830" s="34"/>
      <c r="F2830" s="35"/>
      <c r="G2830" s="9"/>
      <c r="H2830" s="9"/>
      <c r="I2830" s="34"/>
      <c r="J2830" s="30" t="str">
        <f aca="false">IF(F2830="","",G2830-B2830)</f>
        <v/>
      </c>
      <c r="K2830" s="31" t="str">
        <f aca="false">IF(F2830="","",IF(H2830&lt;&gt;"",H2830,MAX('Vade Sapması'!$D$3,G2830)))</f>
        <v/>
      </c>
      <c r="L2830" s="30" t="str">
        <f aca="false">IF(F2830="","",K2830-B2830)</f>
        <v/>
      </c>
      <c r="M2830" s="30" t="str">
        <f aca="false">IF(F2830="","",L2830-J2830)</f>
        <v/>
      </c>
      <c r="N2830" s="32" t="str">
        <f aca="false">IF(F2830="","",IF(H2830&lt;&gt;"","Kapandı",IF('Vade Sapması'!$D$3&gt;G2830,"Açık · vadesi geçti","Açık · vadesi gelmedi")))</f>
        <v/>
      </c>
      <c r="O2830" s="30" t="str">
        <f aca="false">IF(F2830="","",IF(AND(H2830="",'Vade Sapması'!$D$3&gt;G2830),'Vade Sapması'!$D$3-G2830,0))</f>
        <v/>
      </c>
      <c r="P2830" s="33" t="str">
        <f aca="false">IF(F2830="","",F2830*J2830)</f>
        <v/>
      </c>
      <c r="Q2830" s="33" t="str">
        <f aca="false">IF(F2830="","",F2830*L2830)</f>
        <v/>
      </c>
      <c r="R2830" s="33" t="str">
        <f aca="false">IF(F2830="","",IF(H2830="",F2830,0))</f>
        <v/>
      </c>
      <c r="S2830" s="32" t="str">
        <f aca="false">IF(F2830="","",IF(N(O2830)=0,"",IF(O2830&lt;=30,"1-30",IF(O2830&lt;=60,"31-60",IF(O2830&lt;=90,"61-90","90+")))))</f>
        <v/>
      </c>
      <c r="T2830" s="32" t="str">
        <f aca="false">IF(F2830="","",IF(E2830="","Diğer",E2830))</f>
        <v/>
      </c>
      <c r="U2830" s="32" t="str">
        <f aca="false">IF(OR(F2830="",C2830=""),"",IF(COUNTIF($C$2:C2830,C2830)=1,MAX($U$1:U2829)+1,""))</f>
        <v/>
      </c>
    </row>
    <row r="2831" customFormat="false" ht="15" hidden="false" customHeight="false" outlineLevel="0" collapsed="false">
      <c r="A2831" s="34"/>
      <c r="B2831" s="9"/>
      <c r="C2831" s="34"/>
      <c r="D2831" s="34"/>
      <c r="E2831" s="34"/>
      <c r="F2831" s="35"/>
      <c r="G2831" s="9"/>
      <c r="H2831" s="9"/>
      <c r="I2831" s="34"/>
      <c r="J2831" s="30" t="str">
        <f aca="false">IF(F2831="","",G2831-B2831)</f>
        <v/>
      </c>
      <c r="K2831" s="31" t="str">
        <f aca="false">IF(F2831="","",IF(H2831&lt;&gt;"",H2831,MAX('Vade Sapması'!$D$3,G2831)))</f>
        <v/>
      </c>
      <c r="L2831" s="30" t="str">
        <f aca="false">IF(F2831="","",K2831-B2831)</f>
        <v/>
      </c>
      <c r="M2831" s="30" t="str">
        <f aca="false">IF(F2831="","",L2831-J2831)</f>
        <v/>
      </c>
      <c r="N2831" s="32" t="str">
        <f aca="false">IF(F2831="","",IF(H2831&lt;&gt;"","Kapandı",IF('Vade Sapması'!$D$3&gt;G2831,"Açık · vadesi geçti","Açık · vadesi gelmedi")))</f>
        <v/>
      </c>
      <c r="O2831" s="30" t="str">
        <f aca="false">IF(F2831="","",IF(AND(H2831="",'Vade Sapması'!$D$3&gt;G2831),'Vade Sapması'!$D$3-G2831,0))</f>
        <v/>
      </c>
      <c r="P2831" s="33" t="str">
        <f aca="false">IF(F2831="","",F2831*J2831)</f>
        <v/>
      </c>
      <c r="Q2831" s="33" t="str">
        <f aca="false">IF(F2831="","",F2831*L2831)</f>
        <v/>
      </c>
      <c r="R2831" s="33" t="str">
        <f aca="false">IF(F2831="","",IF(H2831="",F2831,0))</f>
        <v/>
      </c>
      <c r="S2831" s="32" t="str">
        <f aca="false">IF(F2831="","",IF(N(O2831)=0,"",IF(O2831&lt;=30,"1-30",IF(O2831&lt;=60,"31-60",IF(O2831&lt;=90,"61-90","90+")))))</f>
        <v/>
      </c>
      <c r="T2831" s="32" t="str">
        <f aca="false">IF(F2831="","",IF(E2831="","Diğer",E2831))</f>
        <v/>
      </c>
      <c r="U2831" s="32" t="str">
        <f aca="false">IF(OR(F2831="",C2831=""),"",IF(COUNTIF($C$2:C2831,C2831)=1,MAX($U$1:U2830)+1,""))</f>
        <v/>
      </c>
    </row>
    <row r="2832" customFormat="false" ht="15" hidden="false" customHeight="false" outlineLevel="0" collapsed="false">
      <c r="A2832" s="34"/>
      <c r="B2832" s="9"/>
      <c r="C2832" s="34"/>
      <c r="D2832" s="34"/>
      <c r="E2832" s="34"/>
      <c r="F2832" s="35"/>
      <c r="G2832" s="9"/>
      <c r="H2832" s="9"/>
      <c r="I2832" s="34"/>
      <c r="J2832" s="30" t="str">
        <f aca="false">IF(F2832="","",G2832-B2832)</f>
        <v/>
      </c>
      <c r="K2832" s="31" t="str">
        <f aca="false">IF(F2832="","",IF(H2832&lt;&gt;"",H2832,MAX('Vade Sapması'!$D$3,G2832)))</f>
        <v/>
      </c>
      <c r="L2832" s="30" t="str">
        <f aca="false">IF(F2832="","",K2832-B2832)</f>
        <v/>
      </c>
      <c r="M2832" s="30" t="str">
        <f aca="false">IF(F2832="","",L2832-J2832)</f>
        <v/>
      </c>
      <c r="N2832" s="32" t="str">
        <f aca="false">IF(F2832="","",IF(H2832&lt;&gt;"","Kapandı",IF('Vade Sapması'!$D$3&gt;G2832,"Açık · vadesi geçti","Açık · vadesi gelmedi")))</f>
        <v/>
      </c>
      <c r="O2832" s="30" t="str">
        <f aca="false">IF(F2832="","",IF(AND(H2832="",'Vade Sapması'!$D$3&gt;G2832),'Vade Sapması'!$D$3-G2832,0))</f>
        <v/>
      </c>
      <c r="P2832" s="33" t="str">
        <f aca="false">IF(F2832="","",F2832*J2832)</f>
        <v/>
      </c>
      <c r="Q2832" s="33" t="str">
        <f aca="false">IF(F2832="","",F2832*L2832)</f>
        <v/>
      </c>
      <c r="R2832" s="33" t="str">
        <f aca="false">IF(F2832="","",IF(H2832="",F2832,0))</f>
        <v/>
      </c>
      <c r="S2832" s="32" t="str">
        <f aca="false">IF(F2832="","",IF(N(O2832)=0,"",IF(O2832&lt;=30,"1-30",IF(O2832&lt;=60,"31-60",IF(O2832&lt;=90,"61-90","90+")))))</f>
        <v/>
      </c>
      <c r="T2832" s="32" t="str">
        <f aca="false">IF(F2832="","",IF(E2832="","Diğer",E2832))</f>
        <v/>
      </c>
      <c r="U2832" s="32" t="str">
        <f aca="false">IF(OR(F2832="",C2832=""),"",IF(COUNTIF($C$2:C2832,C2832)=1,MAX($U$1:U2831)+1,""))</f>
        <v/>
      </c>
    </row>
    <row r="2833" customFormat="false" ht="15" hidden="false" customHeight="false" outlineLevel="0" collapsed="false">
      <c r="A2833" s="34"/>
      <c r="B2833" s="9"/>
      <c r="C2833" s="34"/>
      <c r="D2833" s="34"/>
      <c r="E2833" s="34"/>
      <c r="F2833" s="35"/>
      <c r="G2833" s="9"/>
      <c r="H2833" s="9"/>
      <c r="I2833" s="34"/>
      <c r="J2833" s="30" t="str">
        <f aca="false">IF(F2833="","",G2833-B2833)</f>
        <v/>
      </c>
      <c r="K2833" s="31" t="str">
        <f aca="false">IF(F2833="","",IF(H2833&lt;&gt;"",H2833,MAX('Vade Sapması'!$D$3,G2833)))</f>
        <v/>
      </c>
      <c r="L2833" s="30" t="str">
        <f aca="false">IF(F2833="","",K2833-B2833)</f>
        <v/>
      </c>
      <c r="M2833" s="30" t="str">
        <f aca="false">IF(F2833="","",L2833-J2833)</f>
        <v/>
      </c>
      <c r="N2833" s="32" t="str">
        <f aca="false">IF(F2833="","",IF(H2833&lt;&gt;"","Kapandı",IF('Vade Sapması'!$D$3&gt;G2833,"Açık · vadesi geçti","Açık · vadesi gelmedi")))</f>
        <v/>
      </c>
      <c r="O2833" s="30" t="str">
        <f aca="false">IF(F2833="","",IF(AND(H2833="",'Vade Sapması'!$D$3&gt;G2833),'Vade Sapması'!$D$3-G2833,0))</f>
        <v/>
      </c>
      <c r="P2833" s="33" t="str">
        <f aca="false">IF(F2833="","",F2833*J2833)</f>
        <v/>
      </c>
      <c r="Q2833" s="33" t="str">
        <f aca="false">IF(F2833="","",F2833*L2833)</f>
        <v/>
      </c>
      <c r="R2833" s="33" t="str">
        <f aca="false">IF(F2833="","",IF(H2833="",F2833,0))</f>
        <v/>
      </c>
      <c r="S2833" s="32" t="str">
        <f aca="false">IF(F2833="","",IF(N(O2833)=0,"",IF(O2833&lt;=30,"1-30",IF(O2833&lt;=60,"31-60",IF(O2833&lt;=90,"61-90","90+")))))</f>
        <v/>
      </c>
      <c r="T2833" s="32" t="str">
        <f aca="false">IF(F2833="","",IF(E2833="","Diğer",E2833))</f>
        <v/>
      </c>
      <c r="U2833" s="32" t="str">
        <f aca="false">IF(OR(F2833="",C2833=""),"",IF(COUNTIF($C$2:C2833,C2833)=1,MAX($U$1:U2832)+1,""))</f>
        <v/>
      </c>
    </row>
    <row r="2834" customFormat="false" ht="15" hidden="false" customHeight="false" outlineLevel="0" collapsed="false">
      <c r="A2834" s="34"/>
      <c r="B2834" s="9"/>
      <c r="C2834" s="34"/>
      <c r="D2834" s="34"/>
      <c r="E2834" s="34"/>
      <c r="F2834" s="35"/>
      <c r="G2834" s="9"/>
      <c r="H2834" s="9"/>
      <c r="I2834" s="34"/>
      <c r="J2834" s="30" t="str">
        <f aca="false">IF(F2834="","",G2834-B2834)</f>
        <v/>
      </c>
      <c r="K2834" s="31" t="str">
        <f aca="false">IF(F2834="","",IF(H2834&lt;&gt;"",H2834,MAX('Vade Sapması'!$D$3,G2834)))</f>
        <v/>
      </c>
      <c r="L2834" s="30" t="str">
        <f aca="false">IF(F2834="","",K2834-B2834)</f>
        <v/>
      </c>
      <c r="M2834" s="30" t="str">
        <f aca="false">IF(F2834="","",L2834-J2834)</f>
        <v/>
      </c>
      <c r="N2834" s="32" t="str">
        <f aca="false">IF(F2834="","",IF(H2834&lt;&gt;"","Kapandı",IF('Vade Sapması'!$D$3&gt;G2834,"Açık · vadesi geçti","Açık · vadesi gelmedi")))</f>
        <v/>
      </c>
      <c r="O2834" s="30" t="str">
        <f aca="false">IF(F2834="","",IF(AND(H2834="",'Vade Sapması'!$D$3&gt;G2834),'Vade Sapması'!$D$3-G2834,0))</f>
        <v/>
      </c>
      <c r="P2834" s="33" t="str">
        <f aca="false">IF(F2834="","",F2834*J2834)</f>
        <v/>
      </c>
      <c r="Q2834" s="33" t="str">
        <f aca="false">IF(F2834="","",F2834*L2834)</f>
        <v/>
      </c>
      <c r="R2834" s="33" t="str">
        <f aca="false">IF(F2834="","",IF(H2834="",F2834,0))</f>
        <v/>
      </c>
      <c r="S2834" s="32" t="str">
        <f aca="false">IF(F2834="","",IF(N(O2834)=0,"",IF(O2834&lt;=30,"1-30",IF(O2834&lt;=60,"31-60",IF(O2834&lt;=90,"61-90","90+")))))</f>
        <v/>
      </c>
      <c r="T2834" s="32" t="str">
        <f aca="false">IF(F2834="","",IF(E2834="","Diğer",E2834))</f>
        <v/>
      </c>
      <c r="U2834" s="32" t="str">
        <f aca="false">IF(OR(F2834="",C2834=""),"",IF(COUNTIF($C$2:C2834,C2834)=1,MAX($U$1:U2833)+1,""))</f>
        <v/>
      </c>
    </row>
    <row r="2835" customFormat="false" ht="15" hidden="false" customHeight="false" outlineLevel="0" collapsed="false">
      <c r="A2835" s="34"/>
      <c r="B2835" s="9"/>
      <c r="C2835" s="34"/>
      <c r="D2835" s="34"/>
      <c r="E2835" s="34"/>
      <c r="F2835" s="35"/>
      <c r="G2835" s="9"/>
      <c r="H2835" s="9"/>
      <c r="I2835" s="34"/>
      <c r="J2835" s="30" t="str">
        <f aca="false">IF(F2835="","",G2835-B2835)</f>
        <v/>
      </c>
      <c r="K2835" s="31" t="str">
        <f aca="false">IF(F2835="","",IF(H2835&lt;&gt;"",H2835,MAX('Vade Sapması'!$D$3,G2835)))</f>
        <v/>
      </c>
      <c r="L2835" s="30" t="str">
        <f aca="false">IF(F2835="","",K2835-B2835)</f>
        <v/>
      </c>
      <c r="M2835" s="30" t="str">
        <f aca="false">IF(F2835="","",L2835-J2835)</f>
        <v/>
      </c>
      <c r="N2835" s="32" t="str">
        <f aca="false">IF(F2835="","",IF(H2835&lt;&gt;"","Kapandı",IF('Vade Sapması'!$D$3&gt;G2835,"Açık · vadesi geçti","Açık · vadesi gelmedi")))</f>
        <v/>
      </c>
      <c r="O2835" s="30" t="str">
        <f aca="false">IF(F2835="","",IF(AND(H2835="",'Vade Sapması'!$D$3&gt;G2835),'Vade Sapması'!$D$3-G2835,0))</f>
        <v/>
      </c>
      <c r="P2835" s="33" t="str">
        <f aca="false">IF(F2835="","",F2835*J2835)</f>
        <v/>
      </c>
      <c r="Q2835" s="33" t="str">
        <f aca="false">IF(F2835="","",F2835*L2835)</f>
        <v/>
      </c>
      <c r="R2835" s="33" t="str">
        <f aca="false">IF(F2835="","",IF(H2835="",F2835,0))</f>
        <v/>
      </c>
      <c r="S2835" s="32" t="str">
        <f aca="false">IF(F2835="","",IF(N(O2835)=0,"",IF(O2835&lt;=30,"1-30",IF(O2835&lt;=60,"31-60",IF(O2835&lt;=90,"61-90","90+")))))</f>
        <v/>
      </c>
      <c r="T2835" s="32" t="str">
        <f aca="false">IF(F2835="","",IF(E2835="","Diğer",E2835))</f>
        <v/>
      </c>
      <c r="U2835" s="32" t="str">
        <f aca="false">IF(OR(F2835="",C2835=""),"",IF(COUNTIF($C$2:C2835,C2835)=1,MAX($U$1:U2834)+1,""))</f>
        <v/>
      </c>
    </row>
    <row r="2836" customFormat="false" ht="15" hidden="false" customHeight="false" outlineLevel="0" collapsed="false">
      <c r="A2836" s="34"/>
      <c r="B2836" s="9"/>
      <c r="C2836" s="34"/>
      <c r="D2836" s="34"/>
      <c r="E2836" s="34"/>
      <c r="F2836" s="35"/>
      <c r="G2836" s="9"/>
      <c r="H2836" s="9"/>
      <c r="I2836" s="34"/>
      <c r="J2836" s="30" t="str">
        <f aca="false">IF(F2836="","",G2836-B2836)</f>
        <v/>
      </c>
      <c r="K2836" s="31" t="str">
        <f aca="false">IF(F2836="","",IF(H2836&lt;&gt;"",H2836,MAX('Vade Sapması'!$D$3,G2836)))</f>
        <v/>
      </c>
      <c r="L2836" s="30" t="str">
        <f aca="false">IF(F2836="","",K2836-B2836)</f>
        <v/>
      </c>
      <c r="M2836" s="30" t="str">
        <f aca="false">IF(F2836="","",L2836-J2836)</f>
        <v/>
      </c>
      <c r="N2836" s="32" t="str">
        <f aca="false">IF(F2836="","",IF(H2836&lt;&gt;"","Kapandı",IF('Vade Sapması'!$D$3&gt;G2836,"Açık · vadesi geçti","Açık · vadesi gelmedi")))</f>
        <v/>
      </c>
      <c r="O2836" s="30" t="str">
        <f aca="false">IF(F2836="","",IF(AND(H2836="",'Vade Sapması'!$D$3&gt;G2836),'Vade Sapması'!$D$3-G2836,0))</f>
        <v/>
      </c>
      <c r="P2836" s="33" t="str">
        <f aca="false">IF(F2836="","",F2836*J2836)</f>
        <v/>
      </c>
      <c r="Q2836" s="33" t="str">
        <f aca="false">IF(F2836="","",F2836*L2836)</f>
        <v/>
      </c>
      <c r="R2836" s="33" t="str">
        <f aca="false">IF(F2836="","",IF(H2836="",F2836,0))</f>
        <v/>
      </c>
      <c r="S2836" s="32" t="str">
        <f aca="false">IF(F2836="","",IF(N(O2836)=0,"",IF(O2836&lt;=30,"1-30",IF(O2836&lt;=60,"31-60",IF(O2836&lt;=90,"61-90","90+")))))</f>
        <v/>
      </c>
      <c r="T2836" s="32" t="str">
        <f aca="false">IF(F2836="","",IF(E2836="","Diğer",E2836))</f>
        <v/>
      </c>
      <c r="U2836" s="32" t="str">
        <f aca="false">IF(OR(F2836="",C2836=""),"",IF(COUNTIF($C$2:C2836,C2836)=1,MAX($U$1:U2835)+1,""))</f>
        <v/>
      </c>
    </row>
    <row r="2837" customFormat="false" ht="15" hidden="false" customHeight="false" outlineLevel="0" collapsed="false">
      <c r="A2837" s="34"/>
      <c r="B2837" s="9"/>
      <c r="C2837" s="34"/>
      <c r="D2837" s="34"/>
      <c r="E2837" s="34"/>
      <c r="F2837" s="35"/>
      <c r="G2837" s="9"/>
      <c r="H2837" s="9"/>
      <c r="I2837" s="34"/>
      <c r="J2837" s="30" t="str">
        <f aca="false">IF(F2837="","",G2837-B2837)</f>
        <v/>
      </c>
      <c r="K2837" s="31" t="str">
        <f aca="false">IF(F2837="","",IF(H2837&lt;&gt;"",H2837,MAX('Vade Sapması'!$D$3,G2837)))</f>
        <v/>
      </c>
      <c r="L2837" s="30" t="str">
        <f aca="false">IF(F2837="","",K2837-B2837)</f>
        <v/>
      </c>
      <c r="M2837" s="30" t="str">
        <f aca="false">IF(F2837="","",L2837-J2837)</f>
        <v/>
      </c>
      <c r="N2837" s="32" t="str">
        <f aca="false">IF(F2837="","",IF(H2837&lt;&gt;"","Kapandı",IF('Vade Sapması'!$D$3&gt;G2837,"Açık · vadesi geçti","Açık · vadesi gelmedi")))</f>
        <v/>
      </c>
      <c r="O2837" s="30" t="str">
        <f aca="false">IF(F2837="","",IF(AND(H2837="",'Vade Sapması'!$D$3&gt;G2837),'Vade Sapması'!$D$3-G2837,0))</f>
        <v/>
      </c>
      <c r="P2837" s="33" t="str">
        <f aca="false">IF(F2837="","",F2837*J2837)</f>
        <v/>
      </c>
      <c r="Q2837" s="33" t="str">
        <f aca="false">IF(F2837="","",F2837*L2837)</f>
        <v/>
      </c>
      <c r="R2837" s="33" t="str">
        <f aca="false">IF(F2837="","",IF(H2837="",F2837,0))</f>
        <v/>
      </c>
      <c r="S2837" s="32" t="str">
        <f aca="false">IF(F2837="","",IF(N(O2837)=0,"",IF(O2837&lt;=30,"1-30",IF(O2837&lt;=60,"31-60",IF(O2837&lt;=90,"61-90","90+")))))</f>
        <v/>
      </c>
      <c r="T2837" s="32" t="str">
        <f aca="false">IF(F2837="","",IF(E2837="","Diğer",E2837))</f>
        <v/>
      </c>
      <c r="U2837" s="32" t="str">
        <f aca="false">IF(OR(F2837="",C2837=""),"",IF(COUNTIF($C$2:C2837,C2837)=1,MAX($U$1:U2836)+1,""))</f>
        <v/>
      </c>
    </row>
    <row r="2838" customFormat="false" ht="15" hidden="false" customHeight="false" outlineLevel="0" collapsed="false">
      <c r="A2838" s="34"/>
      <c r="B2838" s="9"/>
      <c r="C2838" s="34"/>
      <c r="D2838" s="34"/>
      <c r="E2838" s="34"/>
      <c r="F2838" s="35"/>
      <c r="G2838" s="9"/>
      <c r="H2838" s="9"/>
      <c r="I2838" s="34"/>
      <c r="J2838" s="30" t="str">
        <f aca="false">IF(F2838="","",G2838-B2838)</f>
        <v/>
      </c>
      <c r="K2838" s="31" t="str">
        <f aca="false">IF(F2838="","",IF(H2838&lt;&gt;"",H2838,MAX('Vade Sapması'!$D$3,G2838)))</f>
        <v/>
      </c>
      <c r="L2838" s="30" t="str">
        <f aca="false">IF(F2838="","",K2838-B2838)</f>
        <v/>
      </c>
      <c r="M2838" s="30" t="str">
        <f aca="false">IF(F2838="","",L2838-J2838)</f>
        <v/>
      </c>
      <c r="N2838" s="32" t="str">
        <f aca="false">IF(F2838="","",IF(H2838&lt;&gt;"","Kapandı",IF('Vade Sapması'!$D$3&gt;G2838,"Açık · vadesi geçti","Açık · vadesi gelmedi")))</f>
        <v/>
      </c>
      <c r="O2838" s="30" t="str">
        <f aca="false">IF(F2838="","",IF(AND(H2838="",'Vade Sapması'!$D$3&gt;G2838),'Vade Sapması'!$D$3-G2838,0))</f>
        <v/>
      </c>
      <c r="P2838" s="33" t="str">
        <f aca="false">IF(F2838="","",F2838*J2838)</f>
        <v/>
      </c>
      <c r="Q2838" s="33" t="str">
        <f aca="false">IF(F2838="","",F2838*L2838)</f>
        <v/>
      </c>
      <c r="R2838" s="33" t="str">
        <f aca="false">IF(F2838="","",IF(H2838="",F2838,0))</f>
        <v/>
      </c>
      <c r="S2838" s="32" t="str">
        <f aca="false">IF(F2838="","",IF(N(O2838)=0,"",IF(O2838&lt;=30,"1-30",IF(O2838&lt;=60,"31-60",IF(O2838&lt;=90,"61-90","90+")))))</f>
        <v/>
      </c>
      <c r="T2838" s="32" t="str">
        <f aca="false">IF(F2838="","",IF(E2838="","Diğer",E2838))</f>
        <v/>
      </c>
      <c r="U2838" s="32" t="str">
        <f aca="false">IF(OR(F2838="",C2838=""),"",IF(COUNTIF($C$2:C2838,C2838)=1,MAX($U$1:U2837)+1,""))</f>
        <v/>
      </c>
    </row>
    <row r="2839" customFormat="false" ht="15" hidden="false" customHeight="false" outlineLevel="0" collapsed="false">
      <c r="A2839" s="34"/>
      <c r="B2839" s="9"/>
      <c r="C2839" s="34"/>
      <c r="D2839" s="34"/>
      <c r="E2839" s="34"/>
      <c r="F2839" s="35"/>
      <c r="G2839" s="9"/>
      <c r="H2839" s="9"/>
      <c r="I2839" s="34"/>
      <c r="J2839" s="30" t="str">
        <f aca="false">IF(F2839="","",G2839-B2839)</f>
        <v/>
      </c>
      <c r="K2839" s="31" t="str">
        <f aca="false">IF(F2839="","",IF(H2839&lt;&gt;"",H2839,MAX('Vade Sapması'!$D$3,G2839)))</f>
        <v/>
      </c>
      <c r="L2839" s="30" t="str">
        <f aca="false">IF(F2839="","",K2839-B2839)</f>
        <v/>
      </c>
      <c r="M2839" s="30" t="str">
        <f aca="false">IF(F2839="","",L2839-J2839)</f>
        <v/>
      </c>
      <c r="N2839" s="32" t="str">
        <f aca="false">IF(F2839="","",IF(H2839&lt;&gt;"","Kapandı",IF('Vade Sapması'!$D$3&gt;G2839,"Açık · vadesi geçti","Açık · vadesi gelmedi")))</f>
        <v/>
      </c>
      <c r="O2839" s="30" t="str">
        <f aca="false">IF(F2839="","",IF(AND(H2839="",'Vade Sapması'!$D$3&gt;G2839),'Vade Sapması'!$D$3-G2839,0))</f>
        <v/>
      </c>
      <c r="P2839" s="33" t="str">
        <f aca="false">IF(F2839="","",F2839*J2839)</f>
        <v/>
      </c>
      <c r="Q2839" s="33" t="str">
        <f aca="false">IF(F2839="","",F2839*L2839)</f>
        <v/>
      </c>
      <c r="R2839" s="33" t="str">
        <f aca="false">IF(F2839="","",IF(H2839="",F2839,0))</f>
        <v/>
      </c>
      <c r="S2839" s="32" t="str">
        <f aca="false">IF(F2839="","",IF(N(O2839)=0,"",IF(O2839&lt;=30,"1-30",IF(O2839&lt;=60,"31-60",IF(O2839&lt;=90,"61-90","90+")))))</f>
        <v/>
      </c>
      <c r="T2839" s="32" t="str">
        <f aca="false">IF(F2839="","",IF(E2839="","Diğer",E2839))</f>
        <v/>
      </c>
      <c r="U2839" s="32" t="str">
        <f aca="false">IF(OR(F2839="",C2839=""),"",IF(COUNTIF($C$2:C2839,C2839)=1,MAX($U$1:U2838)+1,""))</f>
        <v/>
      </c>
    </row>
    <row r="2840" customFormat="false" ht="15" hidden="false" customHeight="false" outlineLevel="0" collapsed="false">
      <c r="A2840" s="34"/>
      <c r="B2840" s="9"/>
      <c r="C2840" s="34"/>
      <c r="D2840" s="34"/>
      <c r="E2840" s="34"/>
      <c r="F2840" s="35"/>
      <c r="G2840" s="9"/>
      <c r="H2840" s="9"/>
      <c r="I2840" s="34"/>
      <c r="J2840" s="30" t="str">
        <f aca="false">IF(F2840="","",G2840-B2840)</f>
        <v/>
      </c>
      <c r="K2840" s="31" t="str">
        <f aca="false">IF(F2840="","",IF(H2840&lt;&gt;"",H2840,MAX('Vade Sapması'!$D$3,G2840)))</f>
        <v/>
      </c>
      <c r="L2840" s="30" t="str">
        <f aca="false">IF(F2840="","",K2840-B2840)</f>
        <v/>
      </c>
      <c r="M2840" s="30" t="str">
        <f aca="false">IF(F2840="","",L2840-J2840)</f>
        <v/>
      </c>
      <c r="N2840" s="32" t="str">
        <f aca="false">IF(F2840="","",IF(H2840&lt;&gt;"","Kapandı",IF('Vade Sapması'!$D$3&gt;G2840,"Açık · vadesi geçti","Açık · vadesi gelmedi")))</f>
        <v/>
      </c>
      <c r="O2840" s="30" t="str">
        <f aca="false">IF(F2840="","",IF(AND(H2840="",'Vade Sapması'!$D$3&gt;G2840),'Vade Sapması'!$D$3-G2840,0))</f>
        <v/>
      </c>
      <c r="P2840" s="33" t="str">
        <f aca="false">IF(F2840="","",F2840*J2840)</f>
        <v/>
      </c>
      <c r="Q2840" s="33" t="str">
        <f aca="false">IF(F2840="","",F2840*L2840)</f>
        <v/>
      </c>
      <c r="R2840" s="33" t="str">
        <f aca="false">IF(F2840="","",IF(H2840="",F2840,0))</f>
        <v/>
      </c>
      <c r="S2840" s="32" t="str">
        <f aca="false">IF(F2840="","",IF(N(O2840)=0,"",IF(O2840&lt;=30,"1-30",IF(O2840&lt;=60,"31-60",IF(O2840&lt;=90,"61-90","90+")))))</f>
        <v/>
      </c>
      <c r="T2840" s="32" t="str">
        <f aca="false">IF(F2840="","",IF(E2840="","Diğer",E2840))</f>
        <v/>
      </c>
      <c r="U2840" s="32" t="str">
        <f aca="false">IF(OR(F2840="",C2840=""),"",IF(COUNTIF($C$2:C2840,C2840)=1,MAX($U$1:U2839)+1,""))</f>
        <v/>
      </c>
    </row>
    <row r="2841" customFormat="false" ht="15" hidden="false" customHeight="false" outlineLevel="0" collapsed="false">
      <c r="A2841" s="34"/>
      <c r="B2841" s="9"/>
      <c r="C2841" s="34"/>
      <c r="D2841" s="34"/>
      <c r="E2841" s="34"/>
      <c r="F2841" s="35"/>
      <c r="G2841" s="9"/>
      <c r="H2841" s="9"/>
      <c r="I2841" s="34"/>
      <c r="J2841" s="30" t="str">
        <f aca="false">IF(F2841="","",G2841-B2841)</f>
        <v/>
      </c>
      <c r="K2841" s="31" t="str">
        <f aca="false">IF(F2841="","",IF(H2841&lt;&gt;"",H2841,MAX('Vade Sapması'!$D$3,G2841)))</f>
        <v/>
      </c>
      <c r="L2841" s="30" t="str">
        <f aca="false">IF(F2841="","",K2841-B2841)</f>
        <v/>
      </c>
      <c r="M2841" s="30" t="str">
        <f aca="false">IF(F2841="","",L2841-J2841)</f>
        <v/>
      </c>
      <c r="N2841" s="32" t="str">
        <f aca="false">IF(F2841="","",IF(H2841&lt;&gt;"","Kapandı",IF('Vade Sapması'!$D$3&gt;G2841,"Açık · vadesi geçti","Açık · vadesi gelmedi")))</f>
        <v/>
      </c>
      <c r="O2841" s="30" t="str">
        <f aca="false">IF(F2841="","",IF(AND(H2841="",'Vade Sapması'!$D$3&gt;G2841),'Vade Sapması'!$D$3-G2841,0))</f>
        <v/>
      </c>
      <c r="P2841" s="33" t="str">
        <f aca="false">IF(F2841="","",F2841*J2841)</f>
        <v/>
      </c>
      <c r="Q2841" s="33" t="str">
        <f aca="false">IF(F2841="","",F2841*L2841)</f>
        <v/>
      </c>
      <c r="R2841" s="33" t="str">
        <f aca="false">IF(F2841="","",IF(H2841="",F2841,0))</f>
        <v/>
      </c>
      <c r="S2841" s="32" t="str">
        <f aca="false">IF(F2841="","",IF(N(O2841)=0,"",IF(O2841&lt;=30,"1-30",IF(O2841&lt;=60,"31-60",IF(O2841&lt;=90,"61-90","90+")))))</f>
        <v/>
      </c>
      <c r="T2841" s="32" t="str">
        <f aca="false">IF(F2841="","",IF(E2841="","Diğer",E2841))</f>
        <v/>
      </c>
      <c r="U2841" s="32" t="str">
        <f aca="false">IF(OR(F2841="",C2841=""),"",IF(COUNTIF($C$2:C2841,C2841)=1,MAX($U$1:U2840)+1,""))</f>
        <v/>
      </c>
    </row>
    <row r="2842" customFormat="false" ht="15" hidden="false" customHeight="false" outlineLevel="0" collapsed="false">
      <c r="A2842" s="34"/>
      <c r="B2842" s="9"/>
      <c r="C2842" s="34"/>
      <c r="D2842" s="34"/>
      <c r="E2842" s="34"/>
      <c r="F2842" s="35"/>
      <c r="G2842" s="9"/>
      <c r="H2842" s="9"/>
      <c r="I2842" s="34"/>
      <c r="J2842" s="30" t="str">
        <f aca="false">IF(F2842="","",G2842-B2842)</f>
        <v/>
      </c>
      <c r="K2842" s="31" t="str">
        <f aca="false">IF(F2842="","",IF(H2842&lt;&gt;"",H2842,MAX('Vade Sapması'!$D$3,G2842)))</f>
        <v/>
      </c>
      <c r="L2842" s="30" t="str">
        <f aca="false">IF(F2842="","",K2842-B2842)</f>
        <v/>
      </c>
      <c r="M2842" s="30" t="str">
        <f aca="false">IF(F2842="","",L2842-J2842)</f>
        <v/>
      </c>
      <c r="N2842" s="32" t="str">
        <f aca="false">IF(F2842="","",IF(H2842&lt;&gt;"","Kapandı",IF('Vade Sapması'!$D$3&gt;G2842,"Açık · vadesi geçti","Açık · vadesi gelmedi")))</f>
        <v/>
      </c>
      <c r="O2842" s="30" t="str">
        <f aca="false">IF(F2842="","",IF(AND(H2842="",'Vade Sapması'!$D$3&gt;G2842),'Vade Sapması'!$D$3-G2842,0))</f>
        <v/>
      </c>
      <c r="P2842" s="33" t="str">
        <f aca="false">IF(F2842="","",F2842*J2842)</f>
        <v/>
      </c>
      <c r="Q2842" s="33" t="str">
        <f aca="false">IF(F2842="","",F2842*L2842)</f>
        <v/>
      </c>
      <c r="R2842" s="33" t="str">
        <f aca="false">IF(F2842="","",IF(H2842="",F2842,0))</f>
        <v/>
      </c>
      <c r="S2842" s="32" t="str">
        <f aca="false">IF(F2842="","",IF(N(O2842)=0,"",IF(O2842&lt;=30,"1-30",IF(O2842&lt;=60,"31-60",IF(O2842&lt;=90,"61-90","90+")))))</f>
        <v/>
      </c>
      <c r="T2842" s="32" t="str">
        <f aca="false">IF(F2842="","",IF(E2842="","Diğer",E2842))</f>
        <v/>
      </c>
      <c r="U2842" s="32" t="str">
        <f aca="false">IF(OR(F2842="",C2842=""),"",IF(COUNTIF($C$2:C2842,C2842)=1,MAX($U$1:U2841)+1,""))</f>
        <v/>
      </c>
    </row>
    <row r="2843" customFormat="false" ht="15" hidden="false" customHeight="false" outlineLevel="0" collapsed="false">
      <c r="A2843" s="34"/>
      <c r="B2843" s="9"/>
      <c r="C2843" s="34"/>
      <c r="D2843" s="34"/>
      <c r="E2843" s="34"/>
      <c r="F2843" s="35"/>
      <c r="G2843" s="9"/>
      <c r="H2843" s="9"/>
      <c r="I2843" s="34"/>
      <c r="J2843" s="30" t="str">
        <f aca="false">IF(F2843="","",G2843-B2843)</f>
        <v/>
      </c>
      <c r="K2843" s="31" t="str">
        <f aca="false">IF(F2843="","",IF(H2843&lt;&gt;"",H2843,MAX('Vade Sapması'!$D$3,G2843)))</f>
        <v/>
      </c>
      <c r="L2843" s="30" t="str">
        <f aca="false">IF(F2843="","",K2843-B2843)</f>
        <v/>
      </c>
      <c r="M2843" s="30" t="str">
        <f aca="false">IF(F2843="","",L2843-J2843)</f>
        <v/>
      </c>
      <c r="N2843" s="32" t="str">
        <f aca="false">IF(F2843="","",IF(H2843&lt;&gt;"","Kapandı",IF('Vade Sapması'!$D$3&gt;G2843,"Açık · vadesi geçti","Açık · vadesi gelmedi")))</f>
        <v/>
      </c>
      <c r="O2843" s="30" t="str">
        <f aca="false">IF(F2843="","",IF(AND(H2843="",'Vade Sapması'!$D$3&gt;G2843),'Vade Sapması'!$D$3-G2843,0))</f>
        <v/>
      </c>
      <c r="P2843" s="33" t="str">
        <f aca="false">IF(F2843="","",F2843*J2843)</f>
        <v/>
      </c>
      <c r="Q2843" s="33" t="str">
        <f aca="false">IF(F2843="","",F2843*L2843)</f>
        <v/>
      </c>
      <c r="R2843" s="33" t="str">
        <f aca="false">IF(F2843="","",IF(H2843="",F2843,0))</f>
        <v/>
      </c>
      <c r="S2843" s="32" t="str">
        <f aca="false">IF(F2843="","",IF(N(O2843)=0,"",IF(O2843&lt;=30,"1-30",IF(O2843&lt;=60,"31-60",IF(O2843&lt;=90,"61-90","90+")))))</f>
        <v/>
      </c>
      <c r="T2843" s="32" t="str">
        <f aca="false">IF(F2843="","",IF(E2843="","Diğer",E2843))</f>
        <v/>
      </c>
      <c r="U2843" s="32" t="str">
        <f aca="false">IF(OR(F2843="",C2843=""),"",IF(COUNTIF($C$2:C2843,C2843)=1,MAX($U$1:U2842)+1,""))</f>
        <v/>
      </c>
    </row>
    <row r="2844" customFormat="false" ht="15" hidden="false" customHeight="false" outlineLevel="0" collapsed="false">
      <c r="A2844" s="34"/>
      <c r="B2844" s="9"/>
      <c r="C2844" s="34"/>
      <c r="D2844" s="34"/>
      <c r="E2844" s="34"/>
      <c r="F2844" s="35"/>
      <c r="G2844" s="9"/>
      <c r="H2844" s="9"/>
      <c r="I2844" s="34"/>
      <c r="J2844" s="30" t="str">
        <f aca="false">IF(F2844="","",G2844-B2844)</f>
        <v/>
      </c>
      <c r="K2844" s="31" t="str">
        <f aca="false">IF(F2844="","",IF(H2844&lt;&gt;"",H2844,MAX('Vade Sapması'!$D$3,G2844)))</f>
        <v/>
      </c>
      <c r="L2844" s="30" t="str">
        <f aca="false">IF(F2844="","",K2844-B2844)</f>
        <v/>
      </c>
      <c r="M2844" s="30" t="str">
        <f aca="false">IF(F2844="","",L2844-J2844)</f>
        <v/>
      </c>
      <c r="N2844" s="32" t="str">
        <f aca="false">IF(F2844="","",IF(H2844&lt;&gt;"","Kapandı",IF('Vade Sapması'!$D$3&gt;G2844,"Açık · vadesi geçti","Açık · vadesi gelmedi")))</f>
        <v/>
      </c>
      <c r="O2844" s="30" t="str">
        <f aca="false">IF(F2844="","",IF(AND(H2844="",'Vade Sapması'!$D$3&gt;G2844),'Vade Sapması'!$D$3-G2844,0))</f>
        <v/>
      </c>
      <c r="P2844" s="33" t="str">
        <f aca="false">IF(F2844="","",F2844*J2844)</f>
        <v/>
      </c>
      <c r="Q2844" s="33" t="str">
        <f aca="false">IF(F2844="","",F2844*L2844)</f>
        <v/>
      </c>
      <c r="R2844" s="33" t="str">
        <f aca="false">IF(F2844="","",IF(H2844="",F2844,0))</f>
        <v/>
      </c>
      <c r="S2844" s="32" t="str">
        <f aca="false">IF(F2844="","",IF(N(O2844)=0,"",IF(O2844&lt;=30,"1-30",IF(O2844&lt;=60,"31-60",IF(O2844&lt;=90,"61-90","90+")))))</f>
        <v/>
      </c>
      <c r="T2844" s="32" t="str">
        <f aca="false">IF(F2844="","",IF(E2844="","Diğer",E2844))</f>
        <v/>
      </c>
      <c r="U2844" s="32" t="str">
        <f aca="false">IF(OR(F2844="",C2844=""),"",IF(COUNTIF($C$2:C2844,C2844)=1,MAX($U$1:U2843)+1,""))</f>
        <v/>
      </c>
    </row>
    <row r="2845" customFormat="false" ht="15" hidden="false" customHeight="false" outlineLevel="0" collapsed="false">
      <c r="A2845" s="34"/>
      <c r="B2845" s="9"/>
      <c r="C2845" s="34"/>
      <c r="D2845" s="34"/>
      <c r="E2845" s="34"/>
      <c r="F2845" s="35"/>
      <c r="G2845" s="9"/>
      <c r="H2845" s="9"/>
      <c r="I2845" s="34"/>
      <c r="J2845" s="30" t="str">
        <f aca="false">IF(F2845="","",G2845-B2845)</f>
        <v/>
      </c>
      <c r="K2845" s="31" t="str">
        <f aca="false">IF(F2845="","",IF(H2845&lt;&gt;"",H2845,MAX('Vade Sapması'!$D$3,G2845)))</f>
        <v/>
      </c>
      <c r="L2845" s="30" t="str">
        <f aca="false">IF(F2845="","",K2845-B2845)</f>
        <v/>
      </c>
      <c r="M2845" s="30" t="str">
        <f aca="false">IF(F2845="","",L2845-J2845)</f>
        <v/>
      </c>
      <c r="N2845" s="32" t="str">
        <f aca="false">IF(F2845="","",IF(H2845&lt;&gt;"","Kapandı",IF('Vade Sapması'!$D$3&gt;G2845,"Açık · vadesi geçti","Açık · vadesi gelmedi")))</f>
        <v/>
      </c>
      <c r="O2845" s="30" t="str">
        <f aca="false">IF(F2845="","",IF(AND(H2845="",'Vade Sapması'!$D$3&gt;G2845),'Vade Sapması'!$D$3-G2845,0))</f>
        <v/>
      </c>
      <c r="P2845" s="33" t="str">
        <f aca="false">IF(F2845="","",F2845*J2845)</f>
        <v/>
      </c>
      <c r="Q2845" s="33" t="str">
        <f aca="false">IF(F2845="","",F2845*L2845)</f>
        <v/>
      </c>
      <c r="R2845" s="33" t="str">
        <f aca="false">IF(F2845="","",IF(H2845="",F2845,0))</f>
        <v/>
      </c>
      <c r="S2845" s="32" t="str">
        <f aca="false">IF(F2845="","",IF(N(O2845)=0,"",IF(O2845&lt;=30,"1-30",IF(O2845&lt;=60,"31-60",IF(O2845&lt;=90,"61-90","90+")))))</f>
        <v/>
      </c>
      <c r="T2845" s="32" t="str">
        <f aca="false">IF(F2845="","",IF(E2845="","Diğer",E2845))</f>
        <v/>
      </c>
      <c r="U2845" s="32" t="str">
        <f aca="false">IF(OR(F2845="",C2845=""),"",IF(COUNTIF($C$2:C2845,C2845)=1,MAX($U$1:U2844)+1,""))</f>
        <v/>
      </c>
    </row>
    <row r="2846" customFormat="false" ht="15" hidden="false" customHeight="false" outlineLevel="0" collapsed="false">
      <c r="A2846" s="34"/>
      <c r="B2846" s="9"/>
      <c r="C2846" s="34"/>
      <c r="D2846" s="34"/>
      <c r="E2846" s="34"/>
      <c r="F2846" s="35"/>
      <c r="G2846" s="9"/>
      <c r="H2846" s="9"/>
      <c r="I2846" s="34"/>
      <c r="J2846" s="30" t="str">
        <f aca="false">IF(F2846="","",G2846-B2846)</f>
        <v/>
      </c>
      <c r="K2846" s="31" t="str">
        <f aca="false">IF(F2846="","",IF(H2846&lt;&gt;"",H2846,MAX('Vade Sapması'!$D$3,G2846)))</f>
        <v/>
      </c>
      <c r="L2846" s="30" t="str">
        <f aca="false">IF(F2846="","",K2846-B2846)</f>
        <v/>
      </c>
      <c r="M2846" s="30" t="str">
        <f aca="false">IF(F2846="","",L2846-J2846)</f>
        <v/>
      </c>
      <c r="N2846" s="32" t="str">
        <f aca="false">IF(F2846="","",IF(H2846&lt;&gt;"","Kapandı",IF('Vade Sapması'!$D$3&gt;G2846,"Açık · vadesi geçti","Açık · vadesi gelmedi")))</f>
        <v/>
      </c>
      <c r="O2846" s="30" t="str">
        <f aca="false">IF(F2846="","",IF(AND(H2846="",'Vade Sapması'!$D$3&gt;G2846),'Vade Sapması'!$D$3-G2846,0))</f>
        <v/>
      </c>
      <c r="P2846" s="33" t="str">
        <f aca="false">IF(F2846="","",F2846*J2846)</f>
        <v/>
      </c>
      <c r="Q2846" s="33" t="str">
        <f aca="false">IF(F2846="","",F2846*L2846)</f>
        <v/>
      </c>
      <c r="R2846" s="33" t="str">
        <f aca="false">IF(F2846="","",IF(H2846="",F2846,0))</f>
        <v/>
      </c>
      <c r="S2846" s="32" t="str">
        <f aca="false">IF(F2846="","",IF(N(O2846)=0,"",IF(O2846&lt;=30,"1-30",IF(O2846&lt;=60,"31-60",IF(O2846&lt;=90,"61-90","90+")))))</f>
        <v/>
      </c>
      <c r="T2846" s="32" t="str">
        <f aca="false">IF(F2846="","",IF(E2846="","Diğer",E2846))</f>
        <v/>
      </c>
      <c r="U2846" s="32" t="str">
        <f aca="false">IF(OR(F2846="",C2846=""),"",IF(COUNTIF($C$2:C2846,C2846)=1,MAX($U$1:U2845)+1,""))</f>
        <v/>
      </c>
    </row>
    <row r="2847" customFormat="false" ht="15" hidden="false" customHeight="false" outlineLevel="0" collapsed="false">
      <c r="A2847" s="34"/>
      <c r="B2847" s="9"/>
      <c r="C2847" s="34"/>
      <c r="D2847" s="34"/>
      <c r="E2847" s="34"/>
      <c r="F2847" s="35"/>
      <c r="G2847" s="9"/>
      <c r="H2847" s="9"/>
      <c r="I2847" s="34"/>
      <c r="J2847" s="30" t="str">
        <f aca="false">IF(F2847="","",G2847-B2847)</f>
        <v/>
      </c>
      <c r="K2847" s="31" t="str">
        <f aca="false">IF(F2847="","",IF(H2847&lt;&gt;"",H2847,MAX('Vade Sapması'!$D$3,G2847)))</f>
        <v/>
      </c>
      <c r="L2847" s="30" t="str">
        <f aca="false">IF(F2847="","",K2847-B2847)</f>
        <v/>
      </c>
      <c r="M2847" s="30" t="str">
        <f aca="false">IF(F2847="","",L2847-J2847)</f>
        <v/>
      </c>
      <c r="N2847" s="32" t="str">
        <f aca="false">IF(F2847="","",IF(H2847&lt;&gt;"","Kapandı",IF('Vade Sapması'!$D$3&gt;G2847,"Açık · vadesi geçti","Açık · vadesi gelmedi")))</f>
        <v/>
      </c>
      <c r="O2847" s="30" t="str">
        <f aca="false">IF(F2847="","",IF(AND(H2847="",'Vade Sapması'!$D$3&gt;G2847),'Vade Sapması'!$D$3-G2847,0))</f>
        <v/>
      </c>
      <c r="P2847" s="33" t="str">
        <f aca="false">IF(F2847="","",F2847*J2847)</f>
        <v/>
      </c>
      <c r="Q2847" s="33" t="str">
        <f aca="false">IF(F2847="","",F2847*L2847)</f>
        <v/>
      </c>
      <c r="R2847" s="33" t="str">
        <f aca="false">IF(F2847="","",IF(H2847="",F2847,0))</f>
        <v/>
      </c>
      <c r="S2847" s="32" t="str">
        <f aca="false">IF(F2847="","",IF(N(O2847)=0,"",IF(O2847&lt;=30,"1-30",IF(O2847&lt;=60,"31-60",IF(O2847&lt;=90,"61-90","90+")))))</f>
        <v/>
      </c>
      <c r="T2847" s="32" t="str">
        <f aca="false">IF(F2847="","",IF(E2847="","Diğer",E2847))</f>
        <v/>
      </c>
      <c r="U2847" s="32" t="str">
        <f aca="false">IF(OR(F2847="",C2847=""),"",IF(COUNTIF($C$2:C2847,C2847)=1,MAX($U$1:U2846)+1,""))</f>
        <v/>
      </c>
    </row>
    <row r="2848" customFormat="false" ht="15" hidden="false" customHeight="false" outlineLevel="0" collapsed="false">
      <c r="A2848" s="34"/>
      <c r="B2848" s="9"/>
      <c r="C2848" s="34"/>
      <c r="D2848" s="34"/>
      <c r="E2848" s="34"/>
      <c r="F2848" s="35"/>
      <c r="G2848" s="9"/>
      <c r="H2848" s="9"/>
      <c r="I2848" s="34"/>
      <c r="J2848" s="30" t="str">
        <f aca="false">IF(F2848="","",G2848-B2848)</f>
        <v/>
      </c>
      <c r="K2848" s="31" t="str">
        <f aca="false">IF(F2848="","",IF(H2848&lt;&gt;"",H2848,MAX('Vade Sapması'!$D$3,G2848)))</f>
        <v/>
      </c>
      <c r="L2848" s="30" t="str">
        <f aca="false">IF(F2848="","",K2848-B2848)</f>
        <v/>
      </c>
      <c r="M2848" s="30" t="str">
        <f aca="false">IF(F2848="","",L2848-J2848)</f>
        <v/>
      </c>
      <c r="N2848" s="32" t="str">
        <f aca="false">IF(F2848="","",IF(H2848&lt;&gt;"","Kapandı",IF('Vade Sapması'!$D$3&gt;G2848,"Açık · vadesi geçti","Açık · vadesi gelmedi")))</f>
        <v/>
      </c>
      <c r="O2848" s="30" t="str">
        <f aca="false">IF(F2848="","",IF(AND(H2848="",'Vade Sapması'!$D$3&gt;G2848),'Vade Sapması'!$D$3-G2848,0))</f>
        <v/>
      </c>
      <c r="P2848" s="33" t="str">
        <f aca="false">IF(F2848="","",F2848*J2848)</f>
        <v/>
      </c>
      <c r="Q2848" s="33" t="str">
        <f aca="false">IF(F2848="","",F2848*L2848)</f>
        <v/>
      </c>
      <c r="R2848" s="33" t="str">
        <f aca="false">IF(F2848="","",IF(H2848="",F2848,0))</f>
        <v/>
      </c>
      <c r="S2848" s="32" t="str">
        <f aca="false">IF(F2848="","",IF(N(O2848)=0,"",IF(O2848&lt;=30,"1-30",IF(O2848&lt;=60,"31-60",IF(O2848&lt;=90,"61-90","90+")))))</f>
        <v/>
      </c>
      <c r="T2848" s="32" t="str">
        <f aca="false">IF(F2848="","",IF(E2848="","Diğer",E2848))</f>
        <v/>
      </c>
      <c r="U2848" s="32" t="str">
        <f aca="false">IF(OR(F2848="",C2848=""),"",IF(COUNTIF($C$2:C2848,C2848)=1,MAX($U$1:U2847)+1,""))</f>
        <v/>
      </c>
    </row>
    <row r="2849" customFormat="false" ht="15" hidden="false" customHeight="false" outlineLevel="0" collapsed="false">
      <c r="A2849" s="34"/>
      <c r="B2849" s="9"/>
      <c r="C2849" s="34"/>
      <c r="D2849" s="34"/>
      <c r="E2849" s="34"/>
      <c r="F2849" s="35"/>
      <c r="G2849" s="9"/>
      <c r="H2849" s="9"/>
      <c r="I2849" s="34"/>
      <c r="J2849" s="30" t="str">
        <f aca="false">IF(F2849="","",G2849-B2849)</f>
        <v/>
      </c>
      <c r="K2849" s="31" t="str">
        <f aca="false">IF(F2849="","",IF(H2849&lt;&gt;"",H2849,MAX('Vade Sapması'!$D$3,G2849)))</f>
        <v/>
      </c>
      <c r="L2849" s="30" t="str">
        <f aca="false">IF(F2849="","",K2849-B2849)</f>
        <v/>
      </c>
      <c r="M2849" s="30" t="str">
        <f aca="false">IF(F2849="","",L2849-J2849)</f>
        <v/>
      </c>
      <c r="N2849" s="32" t="str">
        <f aca="false">IF(F2849="","",IF(H2849&lt;&gt;"","Kapandı",IF('Vade Sapması'!$D$3&gt;G2849,"Açık · vadesi geçti","Açık · vadesi gelmedi")))</f>
        <v/>
      </c>
      <c r="O2849" s="30" t="str">
        <f aca="false">IF(F2849="","",IF(AND(H2849="",'Vade Sapması'!$D$3&gt;G2849),'Vade Sapması'!$D$3-G2849,0))</f>
        <v/>
      </c>
      <c r="P2849" s="33" t="str">
        <f aca="false">IF(F2849="","",F2849*J2849)</f>
        <v/>
      </c>
      <c r="Q2849" s="33" t="str">
        <f aca="false">IF(F2849="","",F2849*L2849)</f>
        <v/>
      </c>
      <c r="R2849" s="33" t="str">
        <f aca="false">IF(F2849="","",IF(H2849="",F2849,0))</f>
        <v/>
      </c>
      <c r="S2849" s="32" t="str">
        <f aca="false">IF(F2849="","",IF(N(O2849)=0,"",IF(O2849&lt;=30,"1-30",IF(O2849&lt;=60,"31-60",IF(O2849&lt;=90,"61-90","90+")))))</f>
        <v/>
      </c>
      <c r="T2849" s="32" t="str">
        <f aca="false">IF(F2849="","",IF(E2849="","Diğer",E2849))</f>
        <v/>
      </c>
      <c r="U2849" s="32" t="str">
        <f aca="false">IF(OR(F2849="",C2849=""),"",IF(COUNTIF($C$2:C2849,C2849)=1,MAX($U$1:U2848)+1,""))</f>
        <v/>
      </c>
    </row>
    <row r="2850" customFormat="false" ht="15" hidden="false" customHeight="false" outlineLevel="0" collapsed="false">
      <c r="A2850" s="34"/>
      <c r="B2850" s="9"/>
      <c r="C2850" s="34"/>
      <c r="D2850" s="34"/>
      <c r="E2850" s="34"/>
      <c r="F2850" s="35"/>
      <c r="G2850" s="9"/>
      <c r="H2850" s="9"/>
      <c r="I2850" s="34"/>
      <c r="J2850" s="30" t="str">
        <f aca="false">IF(F2850="","",G2850-B2850)</f>
        <v/>
      </c>
      <c r="K2850" s="31" t="str">
        <f aca="false">IF(F2850="","",IF(H2850&lt;&gt;"",H2850,MAX('Vade Sapması'!$D$3,G2850)))</f>
        <v/>
      </c>
      <c r="L2850" s="30" t="str">
        <f aca="false">IF(F2850="","",K2850-B2850)</f>
        <v/>
      </c>
      <c r="M2850" s="30" t="str">
        <f aca="false">IF(F2850="","",L2850-J2850)</f>
        <v/>
      </c>
      <c r="N2850" s="32" t="str">
        <f aca="false">IF(F2850="","",IF(H2850&lt;&gt;"","Kapandı",IF('Vade Sapması'!$D$3&gt;G2850,"Açık · vadesi geçti","Açık · vadesi gelmedi")))</f>
        <v/>
      </c>
      <c r="O2850" s="30" t="str">
        <f aca="false">IF(F2850="","",IF(AND(H2850="",'Vade Sapması'!$D$3&gt;G2850),'Vade Sapması'!$D$3-G2850,0))</f>
        <v/>
      </c>
      <c r="P2850" s="33" t="str">
        <f aca="false">IF(F2850="","",F2850*J2850)</f>
        <v/>
      </c>
      <c r="Q2850" s="33" t="str">
        <f aca="false">IF(F2850="","",F2850*L2850)</f>
        <v/>
      </c>
      <c r="R2850" s="33" t="str">
        <f aca="false">IF(F2850="","",IF(H2850="",F2850,0))</f>
        <v/>
      </c>
      <c r="S2850" s="32" t="str">
        <f aca="false">IF(F2850="","",IF(N(O2850)=0,"",IF(O2850&lt;=30,"1-30",IF(O2850&lt;=60,"31-60",IF(O2850&lt;=90,"61-90","90+")))))</f>
        <v/>
      </c>
      <c r="T2850" s="32" t="str">
        <f aca="false">IF(F2850="","",IF(E2850="","Diğer",E2850))</f>
        <v/>
      </c>
      <c r="U2850" s="32" t="str">
        <f aca="false">IF(OR(F2850="",C2850=""),"",IF(COUNTIF($C$2:C2850,C2850)=1,MAX($U$1:U2849)+1,""))</f>
        <v/>
      </c>
    </row>
    <row r="2851" customFormat="false" ht="15" hidden="false" customHeight="false" outlineLevel="0" collapsed="false">
      <c r="A2851" s="34"/>
      <c r="B2851" s="9"/>
      <c r="C2851" s="34"/>
      <c r="D2851" s="34"/>
      <c r="E2851" s="34"/>
      <c r="F2851" s="35"/>
      <c r="G2851" s="9"/>
      <c r="H2851" s="9"/>
      <c r="I2851" s="34"/>
      <c r="J2851" s="30" t="str">
        <f aca="false">IF(F2851="","",G2851-B2851)</f>
        <v/>
      </c>
      <c r="K2851" s="31" t="str">
        <f aca="false">IF(F2851="","",IF(H2851&lt;&gt;"",H2851,MAX('Vade Sapması'!$D$3,G2851)))</f>
        <v/>
      </c>
      <c r="L2851" s="30" t="str">
        <f aca="false">IF(F2851="","",K2851-B2851)</f>
        <v/>
      </c>
      <c r="M2851" s="30" t="str">
        <f aca="false">IF(F2851="","",L2851-J2851)</f>
        <v/>
      </c>
      <c r="N2851" s="32" t="str">
        <f aca="false">IF(F2851="","",IF(H2851&lt;&gt;"","Kapandı",IF('Vade Sapması'!$D$3&gt;G2851,"Açık · vadesi geçti","Açık · vadesi gelmedi")))</f>
        <v/>
      </c>
      <c r="O2851" s="30" t="str">
        <f aca="false">IF(F2851="","",IF(AND(H2851="",'Vade Sapması'!$D$3&gt;G2851),'Vade Sapması'!$D$3-G2851,0))</f>
        <v/>
      </c>
      <c r="P2851" s="33" t="str">
        <f aca="false">IF(F2851="","",F2851*J2851)</f>
        <v/>
      </c>
      <c r="Q2851" s="33" t="str">
        <f aca="false">IF(F2851="","",F2851*L2851)</f>
        <v/>
      </c>
      <c r="R2851" s="33" t="str">
        <f aca="false">IF(F2851="","",IF(H2851="",F2851,0))</f>
        <v/>
      </c>
      <c r="S2851" s="32" t="str">
        <f aca="false">IF(F2851="","",IF(N(O2851)=0,"",IF(O2851&lt;=30,"1-30",IF(O2851&lt;=60,"31-60",IF(O2851&lt;=90,"61-90","90+")))))</f>
        <v/>
      </c>
      <c r="T2851" s="32" t="str">
        <f aca="false">IF(F2851="","",IF(E2851="","Diğer",E2851))</f>
        <v/>
      </c>
      <c r="U2851" s="32" t="str">
        <f aca="false">IF(OR(F2851="",C2851=""),"",IF(COUNTIF($C$2:C2851,C2851)=1,MAX($U$1:U2850)+1,""))</f>
        <v/>
      </c>
    </row>
    <row r="2852" customFormat="false" ht="15" hidden="false" customHeight="false" outlineLevel="0" collapsed="false">
      <c r="A2852" s="34"/>
      <c r="B2852" s="9"/>
      <c r="C2852" s="34"/>
      <c r="D2852" s="34"/>
      <c r="E2852" s="34"/>
      <c r="F2852" s="35"/>
      <c r="G2852" s="9"/>
      <c r="H2852" s="9"/>
      <c r="I2852" s="34"/>
      <c r="J2852" s="30" t="str">
        <f aca="false">IF(F2852="","",G2852-B2852)</f>
        <v/>
      </c>
      <c r="K2852" s="31" t="str">
        <f aca="false">IF(F2852="","",IF(H2852&lt;&gt;"",H2852,MAX('Vade Sapması'!$D$3,G2852)))</f>
        <v/>
      </c>
      <c r="L2852" s="30" t="str">
        <f aca="false">IF(F2852="","",K2852-B2852)</f>
        <v/>
      </c>
      <c r="M2852" s="30" t="str">
        <f aca="false">IF(F2852="","",L2852-J2852)</f>
        <v/>
      </c>
      <c r="N2852" s="32" t="str">
        <f aca="false">IF(F2852="","",IF(H2852&lt;&gt;"","Kapandı",IF('Vade Sapması'!$D$3&gt;G2852,"Açık · vadesi geçti","Açık · vadesi gelmedi")))</f>
        <v/>
      </c>
      <c r="O2852" s="30" t="str">
        <f aca="false">IF(F2852="","",IF(AND(H2852="",'Vade Sapması'!$D$3&gt;G2852),'Vade Sapması'!$D$3-G2852,0))</f>
        <v/>
      </c>
      <c r="P2852" s="33" t="str">
        <f aca="false">IF(F2852="","",F2852*J2852)</f>
        <v/>
      </c>
      <c r="Q2852" s="33" t="str">
        <f aca="false">IF(F2852="","",F2852*L2852)</f>
        <v/>
      </c>
      <c r="R2852" s="33" t="str">
        <f aca="false">IF(F2852="","",IF(H2852="",F2852,0))</f>
        <v/>
      </c>
      <c r="S2852" s="32" t="str">
        <f aca="false">IF(F2852="","",IF(N(O2852)=0,"",IF(O2852&lt;=30,"1-30",IF(O2852&lt;=60,"31-60",IF(O2852&lt;=90,"61-90","90+")))))</f>
        <v/>
      </c>
      <c r="T2852" s="32" t="str">
        <f aca="false">IF(F2852="","",IF(E2852="","Diğer",E2852))</f>
        <v/>
      </c>
      <c r="U2852" s="32" t="str">
        <f aca="false">IF(OR(F2852="",C2852=""),"",IF(COUNTIF($C$2:C2852,C2852)=1,MAX($U$1:U2851)+1,""))</f>
        <v/>
      </c>
    </row>
    <row r="2853" customFormat="false" ht="15" hidden="false" customHeight="false" outlineLevel="0" collapsed="false">
      <c r="A2853" s="34"/>
      <c r="B2853" s="9"/>
      <c r="C2853" s="34"/>
      <c r="D2853" s="34"/>
      <c r="E2853" s="34"/>
      <c r="F2853" s="35"/>
      <c r="G2853" s="9"/>
      <c r="H2853" s="9"/>
      <c r="I2853" s="34"/>
      <c r="J2853" s="30" t="str">
        <f aca="false">IF(F2853="","",G2853-B2853)</f>
        <v/>
      </c>
      <c r="K2853" s="31" t="str">
        <f aca="false">IF(F2853="","",IF(H2853&lt;&gt;"",H2853,MAX('Vade Sapması'!$D$3,G2853)))</f>
        <v/>
      </c>
      <c r="L2853" s="30" t="str">
        <f aca="false">IF(F2853="","",K2853-B2853)</f>
        <v/>
      </c>
      <c r="M2853" s="30" t="str">
        <f aca="false">IF(F2853="","",L2853-J2853)</f>
        <v/>
      </c>
      <c r="N2853" s="32" t="str">
        <f aca="false">IF(F2853="","",IF(H2853&lt;&gt;"","Kapandı",IF('Vade Sapması'!$D$3&gt;G2853,"Açık · vadesi geçti","Açık · vadesi gelmedi")))</f>
        <v/>
      </c>
      <c r="O2853" s="30" t="str">
        <f aca="false">IF(F2853="","",IF(AND(H2853="",'Vade Sapması'!$D$3&gt;G2853),'Vade Sapması'!$D$3-G2853,0))</f>
        <v/>
      </c>
      <c r="P2853" s="33" t="str">
        <f aca="false">IF(F2853="","",F2853*J2853)</f>
        <v/>
      </c>
      <c r="Q2853" s="33" t="str">
        <f aca="false">IF(F2853="","",F2853*L2853)</f>
        <v/>
      </c>
      <c r="R2853" s="33" t="str">
        <f aca="false">IF(F2853="","",IF(H2853="",F2853,0))</f>
        <v/>
      </c>
      <c r="S2853" s="32" t="str">
        <f aca="false">IF(F2853="","",IF(N(O2853)=0,"",IF(O2853&lt;=30,"1-30",IF(O2853&lt;=60,"31-60",IF(O2853&lt;=90,"61-90","90+")))))</f>
        <v/>
      </c>
      <c r="T2853" s="32" t="str">
        <f aca="false">IF(F2853="","",IF(E2853="","Diğer",E2853))</f>
        <v/>
      </c>
      <c r="U2853" s="32" t="str">
        <f aca="false">IF(OR(F2853="",C2853=""),"",IF(COUNTIF($C$2:C2853,C2853)=1,MAX($U$1:U2852)+1,""))</f>
        <v/>
      </c>
    </row>
    <row r="2854" customFormat="false" ht="15" hidden="false" customHeight="false" outlineLevel="0" collapsed="false">
      <c r="A2854" s="34"/>
      <c r="B2854" s="9"/>
      <c r="C2854" s="34"/>
      <c r="D2854" s="34"/>
      <c r="E2854" s="34"/>
      <c r="F2854" s="35"/>
      <c r="G2854" s="9"/>
      <c r="H2854" s="9"/>
      <c r="I2854" s="34"/>
      <c r="J2854" s="30" t="str">
        <f aca="false">IF(F2854="","",G2854-B2854)</f>
        <v/>
      </c>
      <c r="K2854" s="31" t="str">
        <f aca="false">IF(F2854="","",IF(H2854&lt;&gt;"",H2854,MAX('Vade Sapması'!$D$3,G2854)))</f>
        <v/>
      </c>
      <c r="L2854" s="30" t="str">
        <f aca="false">IF(F2854="","",K2854-B2854)</f>
        <v/>
      </c>
      <c r="M2854" s="30" t="str">
        <f aca="false">IF(F2854="","",L2854-J2854)</f>
        <v/>
      </c>
      <c r="N2854" s="32" t="str">
        <f aca="false">IF(F2854="","",IF(H2854&lt;&gt;"","Kapandı",IF('Vade Sapması'!$D$3&gt;G2854,"Açık · vadesi geçti","Açık · vadesi gelmedi")))</f>
        <v/>
      </c>
      <c r="O2854" s="30" t="str">
        <f aca="false">IF(F2854="","",IF(AND(H2854="",'Vade Sapması'!$D$3&gt;G2854),'Vade Sapması'!$D$3-G2854,0))</f>
        <v/>
      </c>
      <c r="P2854" s="33" t="str">
        <f aca="false">IF(F2854="","",F2854*J2854)</f>
        <v/>
      </c>
      <c r="Q2854" s="33" t="str">
        <f aca="false">IF(F2854="","",F2854*L2854)</f>
        <v/>
      </c>
      <c r="R2854" s="33" t="str">
        <f aca="false">IF(F2854="","",IF(H2854="",F2854,0))</f>
        <v/>
      </c>
      <c r="S2854" s="32" t="str">
        <f aca="false">IF(F2854="","",IF(N(O2854)=0,"",IF(O2854&lt;=30,"1-30",IF(O2854&lt;=60,"31-60",IF(O2854&lt;=90,"61-90","90+")))))</f>
        <v/>
      </c>
      <c r="T2854" s="32" t="str">
        <f aca="false">IF(F2854="","",IF(E2854="","Diğer",E2854))</f>
        <v/>
      </c>
      <c r="U2854" s="32" t="str">
        <f aca="false">IF(OR(F2854="",C2854=""),"",IF(COUNTIF($C$2:C2854,C2854)=1,MAX($U$1:U2853)+1,""))</f>
        <v/>
      </c>
    </row>
    <row r="2855" customFormat="false" ht="15" hidden="false" customHeight="false" outlineLevel="0" collapsed="false">
      <c r="A2855" s="34"/>
      <c r="B2855" s="9"/>
      <c r="C2855" s="34"/>
      <c r="D2855" s="34"/>
      <c r="E2855" s="34"/>
      <c r="F2855" s="35"/>
      <c r="G2855" s="9"/>
      <c r="H2855" s="9"/>
      <c r="I2855" s="34"/>
      <c r="J2855" s="30" t="str">
        <f aca="false">IF(F2855="","",G2855-B2855)</f>
        <v/>
      </c>
      <c r="K2855" s="31" t="str">
        <f aca="false">IF(F2855="","",IF(H2855&lt;&gt;"",H2855,MAX('Vade Sapması'!$D$3,G2855)))</f>
        <v/>
      </c>
      <c r="L2855" s="30" t="str">
        <f aca="false">IF(F2855="","",K2855-B2855)</f>
        <v/>
      </c>
      <c r="M2855" s="30" t="str">
        <f aca="false">IF(F2855="","",L2855-J2855)</f>
        <v/>
      </c>
      <c r="N2855" s="32" t="str">
        <f aca="false">IF(F2855="","",IF(H2855&lt;&gt;"","Kapandı",IF('Vade Sapması'!$D$3&gt;G2855,"Açık · vadesi geçti","Açık · vadesi gelmedi")))</f>
        <v/>
      </c>
      <c r="O2855" s="30" t="str">
        <f aca="false">IF(F2855="","",IF(AND(H2855="",'Vade Sapması'!$D$3&gt;G2855),'Vade Sapması'!$D$3-G2855,0))</f>
        <v/>
      </c>
      <c r="P2855" s="33" t="str">
        <f aca="false">IF(F2855="","",F2855*J2855)</f>
        <v/>
      </c>
      <c r="Q2855" s="33" t="str">
        <f aca="false">IF(F2855="","",F2855*L2855)</f>
        <v/>
      </c>
      <c r="R2855" s="33" t="str">
        <f aca="false">IF(F2855="","",IF(H2855="",F2855,0))</f>
        <v/>
      </c>
      <c r="S2855" s="32" t="str">
        <f aca="false">IF(F2855="","",IF(N(O2855)=0,"",IF(O2855&lt;=30,"1-30",IF(O2855&lt;=60,"31-60",IF(O2855&lt;=90,"61-90","90+")))))</f>
        <v/>
      </c>
      <c r="T2855" s="32" t="str">
        <f aca="false">IF(F2855="","",IF(E2855="","Diğer",E2855))</f>
        <v/>
      </c>
      <c r="U2855" s="32" t="str">
        <f aca="false">IF(OR(F2855="",C2855=""),"",IF(COUNTIF($C$2:C2855,C2855)=1,MAX($U$1:U2854)+1,""))</f>
        <v/>
      </c>
    </row>
    <row r="2856" customFormat="false" ht="15" hidden="false" customHeight="false" outlineLevel="0" collapsed="false">
      <c r="A2856" s="34"/>
      <c r="B2856" s="9"/>
      <c r="C2856" s="34"/>
      <c r="D2856" s="34"/>
      <c r="E2856" s="34"/>
      <c r="F2856" s="35"/>
      <c r="G2856" s="9"/>
      <c r="H2856" s="9"/>
      <c r="I2856" s="34"/>
      <c r="J2856" s="30" t="str">
        <f aca="false">IF(F2856="","",G2856-B2856)</f>
        <v/>
      </c>
      <c r="K2856" s="31" t="str">
        <f aca="false">IF(F2856="","",IF(H2856&lt;&gt;"",H2856,MAX('Vade Sapması'!$D$3,G2856)))</f>
        <v/>
      </c>
      <c r="L2856" s="30" t="str">
        <f aca="false">IF(F2856="","",K2856-B2856)</f>
        <v/>
      </c>
      <c r="M2856" s="30" t="str">
        <f aca="false">IF(F2856="","",L2856-J2856)</f>
        <v/>
      </c>
      <c r="N2856" s="32" t="str">
        <f aca="false">IF(F2856="","",IF(H2856&lt;&gt;"","Kapandı",IF('Vade Sapması'!$D$3&gt;G2856,"Açık · vadesi geçti","Açık · vadesi gelmedi")))</f>
        <v/>
      </c>
      <c r="O2856" s="30" t="str">
        <f aca="false">IF(F2856="","",IF(AND(H2856="",'Vade Sapması'!$D$3&gt;G2856),'Vade Sapması'!$D$3-G2856,0))</f>
        <v/>
      </c>
      <c r="P2856" s="33" t="str">
        <f aca="false">IF(F2856="","",F2856*J2856)</f>
        <v/>
      </c>
      <c r="Q2856" s="33" t="str">
        <f aca="false">IF(F2856="","",F2856*L2856)</f>
        <v/>
      </c>
      <c r="R2856" s="33" t="str">
        <f aca="false">IF(F2856="","",IF(H2856="",F2856,0))</f>
        <v/>
      </c>
      <c r="S2856" s="32" t="str">
        <f aca="false">IF(F2856="","",IF(N(O2856)=0,"",IF(O2856&lt;=30,"1-30",IF(O2856&lt;=60,"31-60",IF(O2856&lt;=90,"61-90","90+")))))</f>
        <v/>
      </c>
      <c r="T2856" s="32" t="str">
        <f aca="false">IF(F2856="","",IF(E2856="","Diğer",E2856))</f>
        <v/>
      </c>
      <c r="U2856" s="32" t="str">
        <f aca="false">IF(OR(F2856="",C2856=""),"",IF(COUNTIF($C$2:C2856,C2856)=1,MAX($U$1:U2855)+1,""))</f>
        <v/>
      </c>
    </row>
    <row r="2857" customFormat="false" ht="15" hidden="false" customHeight="false" outlineLevel="0" collapsed="false">
      <c r="A2857" s="34"/>
      <c r="B2857" s="9"/>
      <c r="C2857" s="34"/>
      <c r="D2857" s="34"/>
      <c r="E2857" s="34"/>
      <c r="F2857" s="35"/>
      <c r="G2857" s="9"/>
      <c r="H2857" s="9"/>
      <c r="I2857" s="34"/>
      <c r="J2857" s="30" t="str">
        <f aca="false">IF(F2857="","",G2857-B2857)</f>
        <v/>
      </c>
      <c r="K2857" s="31" t="str">
        <f aca="false">IF(F2857="","",IF(H2857&lt;&gt;"",H2857,MAX('Vade Sapması'!$D$3,G2857)))</f>
        <v/>
      </c>
      <c r="L2857" s="30" t="str">
        <f aca="false">IF(F2857="","",K2857-B2857)</f>
        <v/>
      </c>
      <c r="M2857" s="30" t="str">
        <f aca="false">IF(F2857="","",L2857-J2857)</f>
        <v/>
      </c>
      <c r="N2857" s="32" t="str">
        <f aca="false">IF(F2857="","",IF(H2857&lt;&gt;"","Kapandı",IF('Vade Sapması'!$D$3&gt;G2857,"Açık · vadesi geçti","Açık · vadesi gelmedi")))</f>
        <v/>
      </c>
      <c r="O2857" s="30" t="str">
        <f aca="false">IF(F2857="","",IF(AND(H2857="",'Vade Sapması'!$D$3&gt;G2857),'Vade Sapması'!$D$3-G2857,0))</f>
        <v/>
      </c>
      <c r="P2857" s="33" t="str">
        <f aca="false">IF(F2857="","",F2857*J2857)</f>
        <v/>
      </c>
      <c r="Q2857" s="33" t="str">
        <f aca="false">IF(F2857="","",F2857*L2857)</f>
        <v/>
      </c>
      <c r="R2857" s="33" t="str">
        <f aca="false">IF(F2857="","",IF(H2857="",F2857,0))</f>
        <v/>
      </c>
      <c r="S2857" s="32" t="str">
        <f aca="false">IF(F2857="","",IF(N(O2857)=0,"",IF(O2857&lt;=30,"1-30",IF(O2857&lt;=60,"31-60",IF(O2857&lt;=90,"61-90","90+")))))</f>
        <v/>
      </c>
      <c r="T2857" s="32" t="str">
        <f aca="false">IF(F2857="","",IF(E2857="","Diğer",E2857))</f>
        <v/>
      </c>
      <c r="U2857" s="32" t="str">
        <f aca="false">IF(OR(F2857="",C2857=""),"",IF(COUNTIF($C$2:C2857,C2857)=1,MAX($U$1:U2856)+1,""))</f>
        <v/>
      </c>
    </row>
    <row r="2858" customFormat="false" ht="15" hidden="false" customHeight="false" outlineLevel="0" collapsed="false">
      <c r="A2858" s="34"/>
      <c r="B2858" s="9"/>
      <c r="C2858" s="34"/>
      <c r="D2858" s="34"/>
      <c r="E2858" s="34"/>
      <c r="F2858" s="35"/>
      <c r="G2858" s="9"/>
      <c r="H2858" s="9"/>
      <c r="I2858" s="34"/>
      <c r="J2858" s="30" t="str">
        <f aca="false">IF(F2858="","",G2858-B2858)</f>
        <v/>
      </c>
      <c r="K2858" s="31" t="str">
        <f aca="false">IF(F2858="","",IF(H2858&lt;&gt;"",H2858,MAX('Vade Sapması'!$D$3,G2858)))</f>
        <v/>
      </c>
      <c r="L2858" s="30" t="str">
        <f aca="false">IF(F2858="","",K2858-B2858)</f>
        <v/>
      </c>
      <c r="M2858" s="30" t="str">
        <f aca="false">IF(F2858="","",L2858-J2858)</f>
        <v/>
      </c>
      <c r="N2858" s="32" t="str">
        <f aca="false">IF(F2858="","",IF(H2858&lt;&gt;"","Kapandı",IF('Vade Sapması'!$D$3&gt;G2858,"Açık · vadesi geçti","Açık · vadesi gelmedi")))</f>
        <v/>
      </c>
      <c r="O2858" s="30" t="str">
        <f aca="false">IF(F2858="","",IF(AND(H2858="",'Vade Sapması'!$D$3&gt;G2858),'Vade Sapması'!$D$3-G2858,0))</f>
        <v/>
      </c>
      <c r="P2858" s="33" t="str">
        <f aca="false">IF(F2858="","",F2858*J2858)</f>
        <v/>
      </c>
      <c r="Q2858" s="33" t="str">
        <f aca="false">IF(F2858="","",F2858*L2858)</f>
        <v/>
      </c>
      <c r="R2858" s="33" t="str">
        <f aca="false">IF(F2858="","",IF(H2858="",F2858,0))</f>
        <v/>
      </c>
      <c r="S2858" s="32" t="str">
        <f aca="false">IF(F2858="","",IF(N(O2858)=0,"",IF(O2858&lt;=30,"1-30",IF(O2858&lt;=60,"31-60",IF(O2858&lt;=90,"61-90","90+")))))</f>
        <v/>
      </c>
      <c r="T2858" s="32" t="str">
        <f aca="false">IF(F2858="","",IF(E2858="","Diğer",E2858))</f>
        <v/>
      </c>
      <c r="U2858" s="32" t="str">
        <f aca="false">IF(OR(F2858="",C2858=""),"",IF(COUNTIF($C$2:C2858,C2858)=1,MAX($U$1:U2857)+1,""))</f>
        <v/>
      </c>
    </row>
    <row r="2859" customFormat="false" ht="15" hidden="false" customHeight="false" outlineLevel="0" collapsed="false">
      <c r="A2859" s="34"/>
      <c r="B2859" s="9"/>
      <c r="C2859" s="34"/>
      <c r="D2859" s="34"/>
      <c r="E2859" s="34"/>
      <c r="F2859" s="35"/>
      <c r="G2859" s="9"/>
      <c r="H2859" s="9"/>
      <c r="I2859" s="34"/>
      <c r="J2859" s="30" t="str">
        <f aca="false">IF(F2859="","",G2859-B2859)</f>
        <v/>
      </c>
      <c r="K2859" s="31" t="str">
        <f aca="false">IF(F2859="","",IF(H2859&lt;&gt;"",H2859,MAX('Vade Sapması'!$D$3,G2859)))</f>
        <v/>
      </c>
      <c r="L2859" s="30" t="str">
        <f aca="false">IF(F2859="","",K2859-B2859)</f>
        <v/>
      </c>
      <c r="M2859" s="30" t="str">
        <f aca="false">IF(F2859="","",L2859-J2859)</f>
        <v/>
      </c>
      <c r="N2859" s="32" t="str">
        <f aca="false">IF(F2859="","",IF(H2859&lt;&gt;"","Kapandı",IF('Vade Sapması'!$D$3&gt;G2859,"Açık · vadesi geçti","Açık · vadesi gelmedi")))</f>
        <v/>
      </c>
      <c r="O2859" s="30" t="str">
        <f aca="false">IF(F2859="","",IF(AND(H2859="",'Vade Sapması'!$D$3&gt;G2859),'Vade Sapması'!$D$3-G2859,0))</f>
        <v/>
      </c>
      <c r="P2859" s="33" t="str">
        <f aca="false">IF(F2859="","",F2859*J2859)</f>
        <v/>
      </c>
      <c r="Q2859" s="33" t="str">
        <f aca="false">IF(F2859="","",F2859*L2859)</f>
        <v/>
      </c>
      <c r="R2859" s="33" t="str">
        <f aca="false">IF(F2859="","",IF(H2859="",F2859,0))</f>
        <v/>
      </c>
      <c r="S2859" s="32" t="str">
        <f aca="false">IF(F2859="","",IF(N(O2859)=0,"",IF(O2859&lt;=30,"1-30",IF(O2859&lt;=60,"31-60",IF(O2859&lt;=90,"61-90","90+")))))</f>
        <v/>
      </c>
      <c r="T2859" s="32" t="str">
        <f aca="false">IF(F2859="","",IF(E2859="","Diğer",E2859))</f>
        <v/>
      </c>
      <c r="U2859" s="32" t="str">
        <f aca="false">IF(OR(F2859="",C2859=""),"",IF(COUNTIF($C$2:C2859,C2859)=1,MAX($U$1:U2858)+1,""))</f>
        <v/>
      </c>
    </row>
    <row r="2860" customFormat="false" ht="15" hidden="false" customHeight="false" outlineLevel="0" collapsed="false">
      <c r="A2860" s="34"/>
      <c r="B2860" s="9"/>
      <c r="C2860" s="34"/>
      <c r="D2860" s="34"/>
      <c r="E2860" s="34"/>
      <c r="F2860" s="35"/>
      <c r="G2860" s="9"/>
      <c r="H2860" s="9"/>
      <c r="I2860" s="34"/>
      <c r="J2860" s="30" t="str">
        <f aca="false">IF(F2860="","",G2860-B2860)</f>
        <v/>
      </c>
      <c r="K2860" s="31" t="str">
        <f aca="false">IF(F2860="","",IF(H2860&lt;&gt;"",H2860,MAX('Vade Sapması'!$D$3,G2860)))</f>
        <v/>
      </c>
      <c r="L2860" s="30" t="str">
        <f aca="false">IF(F2860="","",K2860-B2860)</f>
        <v/>
      </c>
      <c r="M2860" s="30" t="str">
        <f aca="false">IF(F2860="","",L2860-J2860)</f>
        <v/>
      </c>
      <c r="N2860" s="32" t="str">
        <f aca="false">IF(F2860="","",IF(H2860&lt;&gt;"","Kapandı",IF('Vade Sapması'!$D$3&gt;G2860,"Açık · vadesi geçti","Açık · vadesi gelmedi")))</f>
        <v/>
      </c>
      <c r="O2860" s="30" t="str">
        <f aca="false">IF(F2860="","",IF(AND(H2860="",'Vade Sapması'!$D$3&gt;G2860),'Vade Sapması'!$D$3-G2860,0))</f>
        <v/>
      </c>
      <c r="P2860" s="33" t="str">
        <f aca="false">IF(F2860="","",F2860*J2860)</f>
        <v/>
      </c>
      <c r="Q2860" s="33" t="str">
        <f aca="false">IF(F2860="","",F2860*L2860)</f>
        <v/>
      </c>
      <c r="R2860" s="33" t="str">
        <f aca="false">IF(F2860="","",IF(H2860="",F2860,0))</f>
        <v/>
      </c>
      <c r="S2860" s="32" t="str">
        <f aca="false">IF(F2860="","",IF(N(O2860)=0,"",IF(O2860&lt;=30,"1-30",IF(O2860&lt;=60,"31-60",IF(O2860&lt;=90,"61-90","90+")))))</f>
        <v/>
      </c>
      <c r="T2860" s="32" t="str">
        <f aca="false">IF(F2860="","",IF(E2860="","Diğer",E2860))</f>
        <v/>
      </c>
      <c r="U2860" s="32" t="str">
        <f aca="false">IF(OR(F2860="",C2860=""),"",IF(COUNTIF($C$2:C2860,C2860)=1,MAX($U$1:U2859)+1,""))</f>
        <v/>
      </c>
    </row>
    <row r="2861" customFormat="false" ht="15" hidden="false" customHeight="false" outlineLevel="0" collapsed="false">
      <c r="A2861" s="34"/>
      <c r="B2861" s="9"/>
      <c r="C2861" s="34"/>
      <c r="D2861" s="34"/>
      <c r="E2861" s="34"/>
      <c r="F2861" s="35"/>
      <c r="G2861" s="9"/>
      <c r="H2861" s="9"/>
      <c r="I2861" s="34"/>
      <c r="J2861" s="30" t="str">
        <f aca="false">IF(F2861="","",G2861-B2861)</f>
        <v/>
      </c>
      <c r="K2861" s="31" t="str">
        <f aca="false">IF(F2861="","",IF(H2861&lt;&gt;"",H2861,MAX('Vade Sapması'!$D$3,G2861)))</f>
        <v/>
      </c>
      <c r="L2861" s="30" t="str">
        <f aca="false">IF(F2861="","",K2861-B2861)</f>
        <v/>
      </c>
      <c r="M2861" s="30" t="str">
        <f aca="false">IF(F2861="","",L2861-J2861)</f>
        <v/>
      </c>
      <c r="N2861" s="32" t="str">
        <f aca="false">IF(F2861="","",IF(H2861&lt;&gt;"","Kapandı",IF('Vade Sapması'!$D$3&gt;G2861,"Açık · vadesi geçti","Açık · vadesi gelmedi")))</f>
        <v/>
      </c>
      <c r="O2861" s="30" t="str">
        <f aca="false">IF(F2861="","",IF(AND(H2861="",'Vade Sapması'!$D$3&gt;G2861),'Vade Sapması'!$D$3-G2861,0))</f>
        <v/>
      </c>
      <c r="P2861" s="33" t="str">
        <f aca="false">IF(F2861="","",F2861*J2861)</f>
        <v/>
      </c>
      <c r="Q2861" s="33" t="str">
        <f aca="false">IF(F2861="","",F2861*L2861)</f>
        <v/>
      </c>
      <c r="R2861" s="33" t="str">
        <f aca="false">IF(F2861="","",IF(H2861="",F2861,0))</f>
        <v/>
      </c>
      <c r="S2861" s="32" t="str">
        <f aca="false">IF(F2861="","",IF(N(O2861)=0,"",IF(O2861&lt;=30,"1-30",IF(O2861&lt;=60,"31-60",IF(O2861&lt;=90,"61-90","90+")))))</f>
        <v/>
      </c>
      <c r="T2861" s="32" t="str">
        <f aca="false">IF(F2861="","",IF(E2861="","Diğer",E2861))</f>
        <v/>
      </c>
      <c r="U2861" s="32" t="str">
        <f aca="false">IF(OR(F2861="",C2861=""),"",IF(COUNTIF($C$2:C2861,C2861)=1,MAX($U$1:U2860)+1,""))</f>
        <v/>
      </c>
    </row>
    <row r="2862" customFormat="false" ht="15" hidden="false" customHeight="false" outlineLevel="0" collapsed="false">
      <c r="A2862" s="34"/>
      <c r="B2862" s="9"/>
      <c r="C2862" s="34"/>
      <c r="D2862" s="34"/>
      <c r="E2862" s="34"/>
      <c r="F2862" s="35"/>
      <c r="G2862" s="9"/>
      <c r="H2862" s="9"/>
      <c r="I2862" s="34"/>
      <c r="J2862" s="30" t="str">
        <f aca="false">IF(F2862="","",G2862-B2862)</f>
        <v/>
      </c>
      <c r="K2862" s="31" t="str">
        <f aca="false">IF(F2862="","",IF(H2862&lt;&gt;"",H2862,MAX('Vade Sapması'!$D$3,G2862)))</f>
        <v/>
      </c>
      <c r="L2862" s="30" t="str">
        <f aca="false">IF(F2862="","",K2862-B2862)</f>
        <v/>
      </c>
      <c r="M2862" s="30" t="str">
        <f aca="false">IF(F2862="","",L2862-J2862)</f>
        <v/>
      </c>
      <c r="N2862" s="32" t="str">
        <f aca="false">IF(F2862="","",IF(H2862&lt;&gt;"","Kapandı",IF('Vade Sapması'!$D$3&gt;G2862,"Açık · vadesi geçti","Açık · vadesi gelmedi")))</f>
        <v/>
      </c>
      <c r="O2862" s="30" t="str">
        <f aca="false">IF(F2862="","",IF(AND(H2862="",'Vade Sapması'!$D$3&gt;G2862),'Vade Sapması'!$D$3-G2862,0))</f>
        <v/>
      </c>
      <c r="P2862" s="33" t="str">
        <f aca="false">IF(F2862="","",F2862*J2862)</f>
        <v/>
      </c>
      <c r="Q2862" s="33" t="str">
        <f aca="false">IF(F2862="","",F2862*L2862)</f>
        <v/>
      </c>
      <c r="R2862" s="33" t="str">
        <f aca="false">IF(F2862="","",IF(H2862="",F2862,0))</f>
        <v/>
      </c>
      <c r="S2862" s="32" t="str">
        <f aca="false">IF(F2862="","",IF(N(O2862)=0,"",IF(O2862&lt;=30,"1-30",IF(O2862&lt;=60,"31-60",IF(O2862&lt;=90,"61-90","90+")))))</f>
        <v/>
      </c>
      <c r="T2862" s="32" t="str">
        <f aca="false">IF(F2862="","",IF(E2862="","Diğer",E2862))</f>
        <v/>
      </c>
      <c r="U2862" s="32" t="str">
        <f aca="false">IF(OR(F2862="",C2862=""),"",IF(COUNTIF($C$2:C2862,C2862)=1,MAX($U$1:U2861)+1,""))</f>
        <v/>
      </c>
    </row>
    <row r="2863" customFormat="false" ht="15" hidden="false" customHeight="false" outlineLevel="0" collapsed="false">
      <c r="A2863" s="34"/>
      <c r="B2863" s="9"/>
      <c r="C2863" s="34"/>
      <c r="D2863" s="34"/>
      <c r="E2863" s="34"/>
      <c r="F2863" s="35"/>
      <c r="G2863" s="9"/>
      <c r="H2863" s="9"/>
      <c r="I2863" s="34"/>
      <c r="J2863" s="30" t="str">
        <f aca="false">IF(F2863="","",G2863-B2863)</f>
        <v/>
      </c>
      <c r="K2863" s="31" t="str">
        <f aca="false">IF(F2863="","",IF(H2863&lt;&gt;"",H2863,MAX('Vade Sapması'!$D$3,G2863)))</f>
        <v/>
      </c>
      <c r="L2863" s="30" t="str">
        <f aca="false">IF(F2863="","",K2863-B2863)</f>
        <v/>
      </c>
      <c r="M2863" s="30" t="str">
        <f aca="false">IF(F2863="","",L2863-J2863)</f>
        <v/>
      </c>
      <c r="N2863" s="32" t="str">
        <f aca="false">IF(F2863="","",IF(H2863&lt;&gt;"","Kapandı",IF('Vade Sapması'!$D$3&gt;G2863,"Açık · vadesi geçti","Açık · vadesi gelmedi")))</f>
        <v/>
      </c>
      <c r="O2863" s="30" t="str">
        <f aca="false">IF(F2863="","",IF(AND(H2863="",'Vade Sapması'!$D$3&gt;G2863),'Vade Sapması'!$D$3-G2863,0))</f>
        <v/>
      </c>
      <c r="P2863" s="33" t="str">
        <f aca="false">IF(F2863="","",F2863*J2863)</f>
        <v/>
      </c>
      <c r="Q2863" s="33" t="str">
        <f aca="false">IF(F2863="","",F2863*L2863)</f>
        <v/>
      </c>
      <c r="R2863" s="33" t="str">
        <f aca="false">IF(F2863="","",IF(H2863="",F2863,0))</f>
        <v/>
      </c>
      <c r="S2863" s="32" t="str">
        <f aca="false">IF(F2863="","",IF(N(O2863)=0,"",IF(O2863&lt;=30,"1-30",IF(O2863&lt;=60,"31-60",IF(O2863&lt;=90,"61-90","90+")))))</f>
        <v/>
      </c>
      <c r="T2863" s="32" t="str">
        <f aca="false">IF(F2863="","",IF(E2863="","Diğer",E2863))</f>
        <v/>
      </c>
      <c r="U2863" s="32" t="str">
        <f aca="false">IF(OR(F2863="",C2863=""),"",IF(COUNTIF($C$2:C2863,C2863)=1,MAX($U$1:U2862)+1,""))</f>
        <v/>
      </c>
    </row>
    <row r="2864" customFormat="false" ht="15" hidden="false" customHeight="false" outlineLevel="0" collapsed="false">
      <c r="A2864" s="34"/>
      <c r="B2864" s="9"/>
      <c r="C2864" s="34"/>
      <c r="D2864" s="34"/>
      <c r="E2864" s="34"/>
      <c r="F2864" s="35"/>
      <c r="G2864" s="9"/>
      <c r="H2864" s="9"/>
      <c r="I2864" s="34"/>
      <c r="J2864" s="30" t="str">
        <f aca="false">IF(F2864="","",G2864-B2864)</f>
        <v/>
      </c>
      <c r="K2864" s="31" t="str">
        <f aca="false">IF(F2864="","",IF(H2864&lt;&gt;"",H2864,MAX('Vade Sapması'!$D$3,G2864)))</f>
        <v/>
      </c>
      <c r="L2864" s="30" t="str">
        <f aca="false">IF(F2864="","",K2864-B2864)</f>
        <v/>
      </c>
      <c r="M2864" s="30" t="str">
        <f aca="false">IF(F2864="","",L2864-J2864)</f>
        <v/>
      </c>
      <c r="N2864" s="32" t="str">
        <f aca="false">IF(F2864="","",IF(H2864&lt;&gt;"","Kapandı",IF('Vade Sapması'!$D$3&gt;G2864,"Açık · vadesi geçti","Açık · vadesi gelmedi")))</f>
        <v/>
      </c>
      <c r="O2864" s="30" t="str">
        <f aca="false">IF(F2864="","",IF(AND(H2864="",'Vade Sapması'!$D$3&gt;G2864),'Vade Sapması'!$D$3-G2864,0))</f>
        <v/>
      </c>
      <c r="P2864" s="33" t="str">
        <f aca="false">IF(F2864="","",F2864*J2864)</f>
        <v/>
      </c>
      <c r="Q2864" s="33" t="str">
        <f aca="false">IF(F2864="","",F2864*L2864)</f>
        <v/>
      </c>
      <c r="R2864" s="33" t="str">
        <f aca="false">IF(F2864="","",IF(H2864="",F2864,0))</f>
        <v/>
      </c>
      <c r="S2864" s="32" t="str">
        <f aca="false">IF(F2864="","",IF(N(O2864)=0,"",IF(O2864&lt;=30,"1-30",IF(O2864&lt;=60,"31-60",IF(O2864&lt;=90,"61-90","90+")))))</f>
        <v/>
      </c>
      <c r="T2864" s="32" t="str">
        <f aca="false">IF(F2864="","",IF(E2864="","Diğer",E2864))</f>
        <v/>
      </c>
      <c r="U2864" s="32" t="str">
        <f aca="false">IF(OR(F2864="",C2864=""),"",IF(COUNTIF($C$2:C2864,C2864)=1,MAX($U$1:U2863)+1,""))</f>
        <v/>
      </c>
    </row>
    <row r="2865" customFormat="false" ht="15" hidden="false" customHeight="false" outlineLevel="0" collapsed="false">
      <c r="A2865" s="34"/>
      <c r="B2865" s="9"/>
      <c r="C2865" s="34"/>
      <c r="D2865" s="34"/>
      <c r="E2865" s="34"/>
      <c r="F2865" s="35"/>
      <c r="G2865" s="9"/>
      <c r="H2865" s="9"/>
      <c r="I2865" s="34"/>
      <c r="J2865" s="30" t="str">
        <f aca="false">IF(F2865="","",G2865-B2865)</f>
        <v/>
      </c>
      <c r="K2865" s="31" t="str">
        <f aca="false">IF(F2865="","",IF(H2865&lt;&gt;"",H2865,MAX('Vade Sapması'!$D$3,G2865)))</f>
        <v/>
      </c>
      <c r="L2865" s="30" t="str">
        <f aca="false">IF(F2865="","",K2865-B2865)</f>
        <v/>
      </c>
      <c r="M2865" s="30" t="str">
        <f aca="false">IF(F2865="","",L2865-J2865)</f>
        <v/>
      </c>
      <c r="N2865" s="32" t="str">
        <f aca="false">IF(F2865="","",IF(H2865&lt;&gt;"","Kapandı",IF('Vade Sapması'!$D$3&gt;G2865,"Açık · vadesi geçti","Açık · vadesi gelmedi")))</f>
        <v/>
      </c>
      <c r="O2865" s="30" t="str">
        <f aca="false">IF(F2865="","",IF(AND(H2865="",'Vade Sapması'!$D$3&gt;G2865),'Vade Sapması'!$D$3-G2865,0))</f>
        <v/>
      </c>
      <c r="P2865" s="33" t="str">
        <f aca="false">IF(F2865="","",F2865*J2865)</f>
        <v/>
      </c>
      <c r="Q2865" s="33" t="str">
        <f aca="false">IF(F2865="","",F2865*L2865)</f>
        <v/>
      </c>
      <c r="R2865" s="33" t="str">
        <f aca="false">IF(F2865="","",IF(H2865="",F2865,0))</f>
        <v/>
      </c>
      <c r="S2865" s="32" t="str">
        <f aca="false">IF(F2865="","",IF(N(O2865)=0,"",IF(O2865&lt;=30,"1-30",IF(O2865&lt;=60,"31-60",IF(O2865&lt;=90,"61-90","90+")))))</f>
        <v/>
      </c>
      <c r="T2865" s="32" t="str">
        <f aca="false">IF(F2865="","",IF(E2865="","Diğer",E2865))</f>
        <v/>
      </c>
      <c r="U2865" s="32" t="str">
        <f aca="false">IF(OR(F2865="",C2865=""),"",IF(COUNTIF($C$2:C2865,C2865)=1,MAX($U$1:U2864)+1,""))</f>
        <v/>
      </c>
    </row>
    <row r="2866" customFormat="false" ht="15" hidden="false" customHeight="false" outlineLevel="0" collapsed="false">
      <c r="A2866" s="34"/>
      <c r="B2866" s="9"/>
      <c r="C2866" s="34"/>
      <c r="D2866" s="34"/>
      <c r="E2866" s="34"/>
      <c r="F2866" s="35"/>
      <c r="G2866" s="9"/>
      <c r="H2866" s="9"/>
      <c r="I2866" s="34"/>
      <c r="J2866" s="30" t="str">
        <f aca="false">IF(F2866="","",G2866-B2866)</f>
        <v/>
      </c>
      <c r="K2866" s="31" t="str">
        <f aca="false">IF(F2866="","",IF(H2866&lt;&gt;"",H2866,MAX('Vade Sapması'!$D$3,G2866)))</f>
        <v/>
      </c>
      <c r="L2866" s="30" t="str">
        <f aca="false">IF(F2866="","",K2866-B2866)</f>
        <v/>
      </c>
      <c r="M2866" s="30" t="str">
        <f aca="false">IF(F2866="","",L2866-J2866)</f>
        <v/>
      </c>
      <c r="N2866" s="32" t="str">
        <f aca="false">IF(F2866="","",IF(H2866&lt;&gt;"","Kapandı",IF('Vade Sapması'!$D$3&gt;G2866,"Açık · vadesi geçti","Açık · vadesi gelmedi")))</f>
        <v/>
      </c>
      <c r="O2866" s="30" t="str">
        <f aca="false">IF(F2866="","",IF(AND(H2866="",'Vade Sapması'!$D$3&gt;G2866),'Vade Sapması'!$D$3-G2866,0))</f>
        <v/>
      </c>
      <c r="P2866" s="33" t="str">
        <f aca="false">IF(F2866="","",F2866*J2866)</f>
        <v/>
      </c>
      <c r="Q2866" s="33" t="str">
        <f aca="false">IF(F2866="","",F2866*L2866)</f>
        <v/>
      </c>
      <c r="R2866" s="33" t="str">
        <f aca="false">IF(F2866="","",IF(H2866="",F2866,0))</f>
        <v/>
      </c>
      <c r="S2866" s="32" t="str">
        <f aca="false">IF(F2866="","",IF(N(O2866)=0,"",IF(O2866&lt;=30,"1-30",IF(O2866&lt;=60,"31-60",IF(O2866&lt;=90,"61-90","90+")))))</f>
        <v/>
      </c>
      <c r="T2866" s="32" t="str">
        <f aca="false">IF(F2866="","",IF(E2866="","Diğer",E2866))</f>
        <v/>
      </c>
      <c r="U2866" s="32" t="str">
        <f aca="false">IF(OR(F2866="",C2866=""),"",IF(COUNTIF($C$2:C2866,C2866)=1,MAX($U$1:U2865)+1,""))</f>
        <v/>
      </c>
    </row>
    <row r="2867" customFormat="false" ht="15" hidden="false" customHeight="false" outlineLevel="0" collapsed="false">
      <c r="A2867" s="34"/>
      <c r="B2867" s="9"/>
      <c r="C2867" s="34"/>
      <c r="D2867" s="34"/>
      <c r="E2867" s="34"/>
      <c r="F2867" s="35"/>
      <c r="G2867" s="9"/>
      <c r="H2867" s="9"/>
      <c r="I2867" s="34"/>
      <c r="J2867" s="30" t="str">
        <f aca="false">IF(F2867="","",G2867-B2867)</f>
        <v/>
      </c>
      <c r="K2867" s="31" t="str">
        <f aca="false">IF(F2867="","",IF(H2867&lt;&gt;"",H2867,MAX('Vade Sapması'!$D$3,G2867)))</f>
        <v/>
      </c>
      <c r="L2867" s="30" t="str">
        <f aca="false">IF(F2867="","",K2867-B2867)</f>
        <v/>
      </c>
      <c r="M2867" s="30" t="str">
        <f aca="false">IF(F2867="","",L2867-J2867)</f>
        <v/>
      </c>
      <c r="N2867" s="32" t="str">
        <f aca="false">IF(F2867="","",IF(H2867&lt;&gt;"","Kapandı",IF('Vade Sapması'!$D$3&gt;G2867,"Açık · vadesi geçti","Açık · vadesi gelmedi")))</f>
        <v/>
      </c>
      <c r="O2867" s="30" t="str">
        <f aca="false">IF(F2867="","",IF(AND(H2867="",'Vade Sapması'!$D$3&gt;G2867),'Vade Sapması'!$D$3-G2867,0))</f>
        <v/>
      </c>
      <c r="P2867" s="33" t="str">
        <f aca="false">IF(F2867="","",F2867*J2867)</f>
        <v/>
      </c>
      <c r="Q2867" s="33" t="str">
        <f aca="false">IF(F2867="","",F2867*L2867)</f>
        <v/>
      </c>
      <c r="R2867" s="33" t="str">
        <f aca="false">IF(F2867="","",IF(H2867="",F2867,0))</f>
        <v/>
      </c>
      <c r="S2867" s="32" t="str">
        <f aca="false">IF(F2867="","",IF(N(O2867)=0,"",IF(O2867&lt;=30,"1-30",IF(O2867&lt;=60,"31-60",IF(O2867&lt;=90,"61-90","90+")))))</f>
        <v/>
      </c>
      <c r="T2867" s="32" t="str">
        <f aca="false">IF(F2867="","",IF(E2867="","Diğer",E2867))</f>
        <v/>
      </c>
      <c r="U2867" s="32" t="str">
        <f aca="false">IF(OR(F2867="",C2867=""),"",IF(COUNTIF($C$2:C2867,C2867)=1,MAX($U$1:U2866)+1,""))</f>
        <v/>
      </c>
    </row>
    <row r="2868" customFormat="false" ht="15" hidden="false" customHeight="false" outlineLevel="0" collapsed="false">
      <c r="A2868" s="34"/>
      <c r="B2868" s="9"/>
      <c r="C2868" s="34"/>
      <c r="D2868" s="34"/>
      <c r="E2868" s="34"/>
      <c r="F2868" s="35"/>
      <c r="G2868" s="9"/>
      <c r="H2868" s="9"/>
      <c r="I2868" s="34"/>
      <c r="J2868" s="30" t="str">
        <f aca="false">IF(F2868="","",G2868-B2868)</f>
        <v/>
      </c>
      <c r="K2868" s="31" t="str">
        <f aca="false">IF(F2868="","",IF(H2868&lt;&gt;"",H2868,MAX('Vade Sapması'!$D$3,G2868)))</f>
        <v/>
      </c>
      <c r="L2868" s="30" t="str">
        <f aca="false">IF(F2868="","",K2868-B2868)</f>
        <v/>
      </c>
      <c r="M2868" s="30" t="str">
        <f aca="false">IF(F2868="","",L2868-J2868)</f>
        <v/>
      </c>
      <c r="N2868" s="32" t="str">
        <f aca="false">IF(F2868="","",IF(H2868&lt;&gt;"","Kapandı",IF('Vade Sapması'!$D$3&gt;G2868,"Açık · vadesi geçti","Açık · vadesi gelmedi")))</f>
        <v/>
      </c>
      <c r="O2868" s="30" t="str">
        <f aca="false">IF(F2868="","",IF(AND(H2868="",'Vade Sapması'!$D$3&gt;G2868),'Vade Sapması'!$D$3-G2868,0))</f>
        <v/>
      </c>
      <c r="P2868" s="33" t="str">
        <f aca="false">IF(F2868="","",F2868*J2868)</f>
        <v/>
      </c>
      <c r="Q2868" s="33" t="str">
        <f aca="false">IF(F2868="","",F2868*L2868)</f>
        <v/>
      </c>
      <c r="R2868" s="33" t="str">
        <f aca="false">IF(F2868="","",IF(H2868="",F2868,0))</f>
        <v/>
      </c>
      <c r="S2868" s="32" t="str">
        <f aca="false">IF(F2868="","",IF(N(O2868)=0,"",IF(O2868&lt;=30,"1-30",IF(O2868&lt;=60,"31-60",IF(O2868&lt;=90,"61-90","90+")))))</f>
        <v/>
      </c>
      <c r="T2868" s="32" t="str">
        <f aca="false">IF(F2868="","",IF(E2868="","Diğer",E2868))</f>
        <v/>
      </c>
      <c r="U2868" s="32" t="str">
        <f aca="false">IF(OR(F2868="",C2868=""),"",IF(COUNTIF($C$2:C2868,C2868)=1,MAX($U$1:U2867)+1,""))</f>
        <v/>
      </c>
    </row>
    <row r="2869" customFormat="false" ht="15" hidden="false" customHeight="false" outlineLevel="0" collapsed="false">
      <c r="A2869" s="34"/>
      <c r="B2869" s="9"/>
      <c r="C2869" s="34"/>
      <c r="D2869" s="34"/>
      <c r="E2869" s="34"/>
      <c r="F2869" s="35"/>
      <c r="G2869" s="9"/>
      <c r="H2869" s="9"/>
      <c r="I2869" s="34"/>
      <c r="J2869" s="30" t="str">
        <f aca="false">IF(F2869="","",G2869-B2869)</f>
        <v/>
      </c>
      <c r="K2869" s="31" t="str">
        <f aca="false">IF(F2869="","",IF(H2869&lt;&gt;"",H2869,MAX('Vade Sapması'!$D$3,G2869)))</f>
        <v/>
      </c>
      <c r="L2869" s="30" t="str">
        <f aca="false">IF(F2869="","",K2869-B2869)</f>
        <v/>
      </c>
      <c r="M2869" s="30" t="str">
        <f aca="false">IF(F2869="","",L2869-J2869)</f>
        <v/>
      </c>
      <c r="N2869" s="32" t="str">
        <f aca="false">IF(F2869="","",IF(H2869&lt;&gt;"","Kapandı",IF('Vade Sapması'!$D$3&gt;G2869,"Açık · vadesi geçti","Açık · vadesi gelmedi")))</f>
        <v/>
      </c>
      <c r="O2869" s="30" t="str">
        <f aca="false">IF(F2869="","",IF(AND(H2869="",'Vade Sapması'!$D$3&gt;G2869),'Vade Sapması'!$D$3-G2869,0))</f>
        <v/>
      </c>
      <c r="P2869" s="33" t="str">
        <f aca="false">IF(F2869="","",F2869*J2869)</f>
        <v/>
      </c>
      <c r="Q2869" s="33" t="str">
        <f aca="false">IF(F2869="","",F2869*L2869)</f>
        <v/>
      </c>
      <c r="R2869" s="33" t="str">
        <f aca="false">IF(F2869="","",IF(H2869="",F2869,0))</f>
        <v/>
      </c>
      <c r="S2869" s="32" t="str">
        <f aca="false">IF(F2869="","",IF(N(O2869)=0,"",IF(O2869&lt;=30,"1-30",IF(O2869&lt;=60,"31-60",IF(O2869&lt;=90,"61-90","90+")))))</f>
        <v/>
      </c>
      <c r="T2869" s="32" t="str">
        <f aca="false">IF(F2869="","",IF(E2869="","Diğer",E2869))</f>
        <v/>
      </c>
      <c r="U2869" s="32" t="str">
        <f aca="false">IF(OR(F2869="",C2869=""),"",IF(COUNTIF($C$2:C2869,C2869)=1,MAX($U$1:U2868)+1,""))</f>
        <v/>
      </c>
    </row>
    <row r="2870" customFormat="false" ht="15" hidden="false" customHeight="false" outlineLevel="0" collapsed="false">
      <c r="A2870" s="34"/>
      <c r="B2870" s="9"/>
      <c r="C2870" s="34"/>
      <c r="D2870" s="34"/>
      <c r="E2870" s="34"/>
      <c r="F2870" s="35"/>
      <c r="G2870" s="9"/>
      <c r="H2870" s="9"/>
      <c r="I2870" s="34"/>
      <c r="J2870" s="30" t="str">
        <f aca="false">IF(F2870="","",G2870-B2870)</f>
        <v/>
      </c>
      <c r="K2870" s="31" t="str">
        <f aca="false">IF(F2870="","",IF(H2870&lt;&gt;"",H2870,MAX('Vade Sapması'!$D$3,G2870)))</f>
        <v/>
      </c>
      <c r="L2870" s="30" t="str">
        <f aca="false">IF(F2870="","",K2870-B2870)</f>
        <v/>
      </c>
      <c r="M2870" s="30" t="str">
        <f aca="false">IF(F2870="","",L2870-J2870)</f>
        <v/>
      </c>
      <c r="N2870" s="32" t="str">
        <f aca="false">IF(F2870="","",IF(H2870&lt;&gt;"","Kapandı",IF('Vade Sapması'!$D$3&gt;G2870,"Açık · vadesi geçti","Açık · vadesi gelmedi")))</f>
        <v/>
      </c>
      <c r="O2870" s="30" t="str">
        <f aca="false">IF(F2870="","",IF(AND(H2870="",'Vade Sapması'!$D$3&gt;G2870),'Vade Sapması'!$D$3-G2870,0))</f>
        <v/>
      </c>
      <c r="P2870" s="33" t="str">
        <f aca="false">IF(F2870="","",F2870*J2870)</f>
        <v/>
      </c>
      <c r="Q2870" s="33" t="str">
        <f aca="false">IF(F2870="","",F2870*L2870)</f>
        <v/>
      </c>
      <c r="R2870" s="33" t="str">
        <f aca="false">IF(F2870="","",IF(H2870="",F2870,0))</f>
        <v/>
      </c>
      <c r="S2870" s="32" t="str">
        <f aca="false">IF(F2870="","",IF(N(O2870)=0,"",IF(O2870&lt;=30,"1-30",IF(O2870&lt;=60,"31-60",IF(O2870&lt;=90,"61-90","90+")))))</f>
        <v/>
      </c>
      <c r="T2870" s="32" t="str">
        <f aca="false">IF(F2870="","",IF(E2870="","Diğer",E2870))</f>
        <v/>
      </c>
      <c r="U2870" s="32" t="str">
        <f aca="false">IF(OR(F2870="",C2870=""),"",IF(COUNTIF($C$2:C2870,C2870)=1,MAX($U$1:U2869)+1,""))</f>
        <v/>
      </c>
    </row>
    <row r="2871" customFormat="false" ht="15" hidden="false" customHeight="false" outlineLevel="0" collapsed="false">
      <c r="A2871" s="34"/>
      <c r="B2871" s="9"/>
      <c r="C2871" s="34"/>
      <c r="D2871" s="34"/>
      <c r="E2871" s="34"/>
      <c r="F2871" s="35"/>
      <c r="G2871" s="9"/>
      <c r="H2871" s="9"/>
      <c r="I2871" s="34"/>
      <c r="J2871" s="30" t="str">
        <f aca="false">IF(F2871="","",G2871-B2871)</f>
        <v/>
      </c>
      <c r="K2871" s="31" t="str">
        <f aca="false">IF(F2871="","",IF(H2871&lt;&gt;"",H2871,MAX('Vade Sapması'!$D$3,G2871)))</f>
        <v/>
      </c>
      <c r="L2871" s="30" t="str">
        <f aca="false">IF(F2871="","",K2871-B2871)</f>
        <v/>
      </c>
      <c r="M2871" s="30" t="str">
        <f aca="false">IF(F2871="","",L2871-J2871)</f>
        <v/>
      </c>
      <c r="N2871" s="32" t="str">
        <f aca="false">IF(F2871="","",IF(H2871&lt;&gt;"","Kapandı",IF('Vade Sapması'!$D$3&gt;G2871,"Açık · vadesi geçti","Açık · vadesi gelmedi")))</f>
        <v/>
      </c>
      <c r="O2871" s="30" t="str">
        <f aca="false">IF(F2871="","",IF(AND(H2871="",'Vade Sapması'!$D$3&gt;G2871),'Vade Sapması'!$D$3-G2871,0))</f>
        <v/>
      </c>
      <c r="P2871" s="33" t="str">
        <f aca="false">IF(F2871="","",F2871*J2871)</f>
        <v/>
      </c>
      <c r="Q2871" s="33" t="str">
        <f aca="false">IF(F2871="","",F2871*L2871)</f>
        <v/>
      </c>
      <c r="R2871" s="33" t="str">
        <f aca="false">IF(F2871="","",IF(H2871="",F2871,0))</f>
        <v/>
      </c>
      <c r="S2871" s="32" t="str">
        <f aca="false">IF(F2871="","",IF(N(O2871)=0,"",IF(O2871&lt;=30,"1-30",IF(O2871&lt;=60,"31-60",IF(O2871&lt;=90,"61-90","90+")))))</f>
        <v/>
      </c>
      <c r="T2871" s="32" t="str">
        <f aca="false">IF(F2871="","",IF(E2871="","Diğer",E2871))</f>
        <v/>
      </c>
      <c r="U2871" s="32" t="str">
        <f aca="false">IF(OR(F2871="",C2871=""),"",IF(COUNTIF($C$2:C2871,C2871)=1,MAX($U$1:U2870)+1,""))</f>
        <v/>
      </c>
    </row>
    <row r="2872" customFormat="false" ht="15" hidden="false" customHeight="false" outlineLevel="0" collapsed="false">
      <c r="A2872" s="34"/>
      <c r="B2872" s="9"/>
      <c r="C2872" s="34"/>
      <c r="D2872" s="34"/>
      <c r="E2872" s="34"/>
      <c r="F2872" s="35"/>
      <c r="G2872" s="9"/>
      <c r="H2872" s="9"/>
      <c r="I2872" s="34"/>
      <c r="J2872" s="30" t="str">
        <f aca="false">IF(F2872="","",G2872-B2872)</f>
        <v/>
      </c>
      <c r="K2872" s="31" t="str">
        <f aca="false">IF(F2872="","",IF(H2872&lt;&gt;"",H2872,MAX('Vade Sapması'!$D$3,G2872)))</f>
        <v/>
      </c>
      <c r="L2872" s="30" t="str">
        <f aca="false">IF(F2872="","",K2872-B2872)</f>
        <v/>
      </c>
      <c r="M2872" s="30" t="str">
        <f aca="false">IF(F2872="","",L2872-J2872)</f>
        <v/>
      </c>
      <c r="N2872" s="32" t="str">
        <f aca="false">IF(F2872="","",IF(H2872&lt;&gt;"","Kapandı",IF('Vade Sapması'!$D$3&gt;G2872,"Açık · vadesi geçti","Açık · vadesi gelmedi")))</f>
        <v/>
      </c>
      <c r="O2872" s="30" t="str">
        <f aca="false">IF(F2872="","",IF(AND(H2872="",'Vade Sapması'!$D$3&gt;G2872),'Vade Sapması'!$D$3-G2872,0))</f>
        <v/>
      </c>
      <c r="P2872" s="33" t="str">
        <f aca="false">IF(F2872="","",F2872*J2872)</f>
        <v/>
      </c>
      <c r="Q2872" s="33" t="str">
        <f aca="false">IF(F2872="","",F2872*L2872)</f>
        <v/>
      </c>
      <c r="R2872" s="33" t="str">
        <f aca="false">IF(F2872="","",IF(H2872="",F2872,0))</f>
        <v/>
      </c>
      <c r="S2872" s="32" t="str">
        <f aca="false">IF(F2872="","",IF(N(O2872)=0,"",IF(O2872&lt;=30,"1-30",IF(O2872&lt;=60,"31-60",IF(O2872&lt;=90,"61-90","90+")))))</f>
        <v/>
      </c>
      <c r="T2872" s="32" t="str">
        <f aca="false">IF(F2872="","",IF(E2872="","Diğer",E2872))</f>
        <v/>
      </c>
      <c r="U2872" s="32" t="str">
        <f aca="false">IF(OR(F2872="",C2872=""),"",IF(COUNTIF($C$2:C2872,C2872)=1,MAX($U$1:U2871)+1,""))</f>
        <v/>
      </c>
    </row>
    <row r="2873" customFormat="false" ht="15" hidden="false" customHeight="false" outlineLevel="0" collapsed="false">
      <c r="A2873" s="34"/>
      <c r="B2873" s="9"/>
      <c r="C2873" s="34"/>
      <c r="D2873" s="34"/>
      <c r="E2873" s="34"/>
      <c r="F2873" s="35"/>
      <c r="G2873" s="9"/>
      <c r="H2873" s="9"/>
      <c r="I2873" s="34"/>
      <c r="J2873" s="30" t="str">
        <f aca="false">IF(F2873="","",G2873-B2873)</f>
        <v/>
      </c>
      <c r="K2873" s="31" t="str">
        <f aca="false">IF(F2873="","",IF(H2873&lt;&gt;"",H2873,MAX('Vade Sapması'!$D$3,G2873)))</f>
        <v/>
      </c>
      <c r="L2873" s="30" t="str">
        <f aca="false">IF(F2873="","",K2873-B2873)</f>
        <v/>
      </c>
      <c r="M2873" s="30" t="str">
        <f aca="false">IF(F2873="","",L2873-J2873)</f>
        <v/>
      </c>
      <c r="N2873" s="32" t="str">
        <f aca="false">IF(F2873="","",IF(H2873&lt;&gt;"","Kapandı",IF('Vade Sapması'!$D$3&gt;G2873,"Açık · vadesi geçti","Açık · vadesi gelmedi")))</f>
        <v/>
      </c>
      <c r="O2873" s="30" t="str">
        <f aca="false">IF(F2873="","",IF(AND(H2873="",'Vade Sapması'!$D$3&gt;G2873),'Vade Sapması'!$D$3-G2873,0))</f>
        <v/>
      </c>
      <c r="P2873" s="33" t="str">
        <f aca="false">IF(F2873="","",F2873*J2873)</f>
        <v/>
      </c>
      <c r="Q2873" s="33" t="str">
        <f aca="false">IF(F2873="","",F2873*L2873)</f>
        <v/>
      </c>
      <c r="R2873" s="33" t="str">
        <f aca="false">IF(F2873="","",IF(H2873="",F2873,0))</f>
        <v/>
      </c>
      <c r="S2873" s="32" t="str">
        <f aca="false">IF(F2873="","",IF(N(O2873)=0,"",IF(O2873&lt;=30,"1-30",IF(O2873&lt;=60,"31-60",IF(O2873&lt;=90,"61-90","90+")))))</f>
        <v/>
      </c>
      <c r="T2873" s="32" t="str">
        <f aca="false">IF(F2873="","",IF(E2873="","Diğer",E2873))</f>
        <v/>
      </c>
      <c r="U2873" s="32" t="str">
        <f aca="false">IF(OR(F2873="",C2873=""),"",IF(COUNTIF($C$2:C2873,C2873)=1,MAX($U$1:U2872)+1,""))</f>
        <v/>
      </c>
    </row>
    <row r="2874" customFormat="false" ht="15" hidden="false" customHeight="false" outlineLevel="0" collapsed="false">
      <c r="A2874" s="34"/>
      <c r="B2874" s="9"/>
      <c r="C2874" s="34"/>
      <c r="D2874" s="34"/>
      <c r="E2874" s="34"/>
      <c r="F2874" s="35"/>
      <c r="G2874" s="9"/>
      <c r="H2874" s="9"/>
      <c r="I2874" s="34"/>
      <c r="J2874" s="30" t="str">
        <f aca="false">IF(F2874="","",G2874-B2874)</f>
        <v/>
      </c>
      <c r="K2874" s="31" t="str">
        <f aca="false">IF(F2874="","",IF(H2874&lt;&gt;"",H2874,MAX('Vade Sapması'!$D$3,G2874)))</f>
        <v/>
      </c>
      <c r="L2874" s="30" t="str">
        <f aca="false">IF(F2874="","",K2874-B2874)</f>
        <v/>
      </c>
      <c r="M2874" s="30" t="str">
        <f aca="false">IF(F2874="","",L2874-J2874)</f>
        <v/>
      </c>
      <c r="N2874" s="32" t="str">
        <f aca="false">IF(F2874="","",IF(H2874&lt;&gt;"","Kapandı",IF('Vade Sapması'!$D$3&gt;G2874,"Açık · vadesi geçti","Açık · vadesi gelmedi")))</f>
        <v/>
      </c>
      <c r="O2874" s="30" t="str">
        <f aca="false">IF(F2874="","",IF(AND(H2874="",'Vade Sapması'!$D$3&gt;G2874),'Vade Sapması'!$D$3-G2874,0))</f>
        <v/>
      </c>
      <c r="P2874" s="33" t="str">
        <f aca="false">IF(F2874="","",F2874*J2874)</f>
        <v/>
      </c>
      <c r="Q2874" s="33" t="str">
        <f aca="false">IF(F2874="","",F2874*L2874)</f>
        <v/>
      </c>
      <c r="R2874" s="33" t="str">
        <f aca="false">IF(F2874="","",IF(H2874="",F2874,0))</f>
        <v/>
      </c>
      <c r="S2874" s="32" t="str">
        <f aca="false">IF(F2874="","",IF(N(O2874)=0,"",IF(O2874&lt;=30,"1-30",IF(O2874&lt;=60,"31-60",IF(O2874&lt;=90,"61-90","90+")))))</f>
        <v/>
      </c>
      <c r="T2874" s="32" t="str">
        <f aca="false">IF(F2874="","",IF(E2874="","Diğer",E2874))</f>
        <v/>
      </c>
      <c r="U2874" s="32" t="str">
        <f aca="false">IF(OR(F2874="",C2874=""),"",IF(COUNTIF($C$2:C2874,C2874)=1,MAX($U$1:U2873)+1,""))</f>
        <v/>
      </c>
    </row>
    <row r="2875" customFormat="false" ht="15" hidden="false" customHeight="false" outlineLevel="0" collapsed="false">
      <c r="A2875" s="34"/>
      <c r="B2875" s="9"/>
      <c r="C2875" s="34"/>
      <c r="D2875" s="34"/>
      <c r="E2875" s="34"/>
      <c r="F2875" s="35"/>
      <c r="G2875" s="9"/>
      <c r="H2875" s="9"/>
      <c r="I2875" s="34"/>
      <c r="J2875" s="30" t="str">
        <f aca="false">IF(F2875="","",G2875-B2875)</f>
        <v/>
      </c>
      <c r="K2875" s="31" t="str">
        <f aca="false">IF(F2875="","",IF(H2875&lt;&gt;"",H2875,MAX('Vade Sapması'!$D$3,G2875)))</f>
        <v/>
      </c>
      <c r="L2875" s="30" t="str">
        <f aca="false">IF(F2875="","",K2875-B2875)</f>
        <v/>
      </c>
      <c r="M2875" s="30" t="str">
        <f aca="false">IF(F2875="","",L2875-J2875)</f>
        <v/>
      </c>
      <c r="N2875" s="32" t="str">
        <f aca="false">IF(F2875="","",IF(H2875&lt;&gt;"","Kapandı",IF('Vade Sapması'!$D$3&gt;G2875,"Açık · vadesi geçti","Açık · vadesi gelmedi")))</f>
        <v/>
      </c>
      <c r="O2875" s="30" t="str">
        <f aca="false">IF(F2875="","",IF(AND(H2875="",'Vade Sapması'!$D$3&gt;G2875),'Vade Sapması'!$D$3-G2875,0))</f>
        <v/>
      </c>
      <c r="P2875" s="33" t="str">
        <f aca="false">IF(F2875="","",F2875*J2875)</f>
        <v/>
      </c>
      <c r="Q2875" s="33" t="str">
        <f aca="false">IF(F2875="","",F2875*L2875)</f>
        <v/>
      </c>
      <c r="R2875" s="33" t="str">
        <f aca="false">IF(F2875="","",IF(H2875="",F2875,0))</f>
        <v/>
      </c>
      <c r="S2875" s="32" t="str">
        <f aca="false">IF(F2875="","",IF(N(O2875)=0,"",IF(O2875&lt;=30,"1-30",IF(O2875&lt;=60,"31-60",IF(O2875&lt;=90,"61-90","90+")))))</f>
        <v/>
      </c>
      <c r="T2875" s="32" t="str">
        <f aca="false">IF(F2875="","",IF(E2875="","Diğer",E2875))</f>
        <v/>
      </c>
      <c r="U2875" s="32" t="str">
        <f aca="false">IF(OR(F2875="",C2875=""),"",IF(COUNTIF($C$2:C2875,C2875)=1,MAX($U$1:U2874)+1,""))</f>
        <v/>
      </c>
    </row>
    <row r="2876" customFormat="false" ht="15" hidden="false" customHeight="false" outlineLevel="0" collapsed="false">
      <c r="A2876" s="34"/>
      <c r="B2876" s="9"/>
      <c r="C2876" s="34"/>
      <c r="D2876" s="34"/>
      <c r="E2876" s="34"/>
      <c r="F2876" s="35"/>
      <c r="G2876" s="9"/>
      <c r="H2876" s="9"/>
      <c r="I2876" s="34"/>
      <c r="J2876" s="30" t="str">
        <f aca="false">IF(F2876="","",G2876-B2876)</f>
        <v/>
      </c>
      <c r="K2876" s="31" t="str">
        <f aca="false">IF(F2876="","",IF(H2876&lt;&gt;"",H2876,MAX('Vade Sapması'!$D$3,G2876)))</f>
        <v/>
      </c>
      <c r="L2876" s="30" t="str">
        <f aca="false">IF(F2876="","",K2876-B2876)</f>
        <v/>
      </c>
      <c r="M2876" s="30" t="str">
        <f aca="false">IF(F2876="","",L2876-J2876)</f>
        <v/>
      </c>
      <c r="N2876" s="32" t="str">
        <f aca="false">IF(F2876="","",IF(H2876&lt;&gt;"","Kapandı",IF('Vade Sapması'!$D$3&gt;G2876,"Açık · vadesi geçti","Açık · vadesi gelmedi")))</f>
        <v/>
      </c>
      <c r="O2876" s="30" t="str">
        <f aca="false">IF(F2876="","",IF(AND(H2876="",'Vade Sapması'!$D$3&gt;G2876),'Vade Sapması'!$D$3-G2876,0))</f>
        <v/>
      </c>
      <c r="P2876" s="33" t="str">
        <f aca="false">IF(F2876="","",F2876*J2876)</f>
        <v/>
      </c>
      <c r="Q2876" s="33" t="str">
        <f aca="false">IF(F2876="","",F2876*L2876)</f>
        <v/>
      </c>
      <c r="R2876" s="33" t="str">
        <f aca="false">IF(F2876="","",IF(H2876="",F2876,0))</f>
        <v/>
      </c>
      <c r="S2876" s="32" t="str">
        <f aca="false">IF(F2876="","",IF(N(O2876)=0,"",IF(O2876&lt;=30,"1-30",IF(O2876&lt;=60,"31-60",IF(O2876&lt;=90,"61-90","90+")))))</f>
        <v/>
      </c>
      <c r="T2876" s="32" t="str">
        <f aca="false">IF(F2876="","",IF(E2876="","Diğer",E2876))</f>
        <v/>
      </c>
      <c r="U2876" s="32" t="str">
        <f aca="false">IF(OR(F2876="",C2876=""),"",IF(COUNTIF($C$2:C2876,C2876)=1,MAX($U$1:U2875)+1,""))</f>
        <v/>
      </c>
    </row>
    <row r="2877" customFormat="false" ht="15" hidden="false" customHeight="false" outlineLevel="0" collapsed="false">
      <c r="A2877" s="34"/>
      <c r="B2877" s="9"/>
      <c r="C2877" s="34"/>
      <c r="D2877" s="34"/>
      <c r="E2877" s="34"/>
      <c r="F2877" s="35"/>
      <c r="G2877" s="9"/>
      <c r="H2877" s="9"/>
      <c r="I2877" s="34"/>
      <c r="J2877" s="30" t="str">
        <f aca="false">IF(F2877="","",G2877-B2877)</f>
        <v/>
      </c>
      <c r="K2877" s="31" t="str">
        <f aca="false">IF(F2877="","",IF(H2877&lt;&gt;"",H2877,MAX('Vade Sapması'!$D$3,G2877)))</f>
        <v/>
      </c>
      <c r="L2877" s="30" t="str">
        <f aca="false">IF(F2877="","",K2877-B2877)</f>
        <v/>
      </c>
      <c r="M2877" s="30" t="str">
        <f aca="false">IF(F2877="","",L2877-J2877)</f>
        <v/>
      </c>
      <c r="N2877" s="32" t="str">
        <f aca="false">IF(F2877="","",IF(H2877&lt;&gt;"","Kapandı",IF('Vade Sapması'!$D$3&gt;G2877,"Açık · vadesi geçti","Açık · vadesi gelmedi")))</f>
        <v/>
      </c>
      <c r="O2877" s="30" t="str">
        <f aca="false">IF(F2877="","",IF(AND(H2877="",'Vade Sapması'!$D$3&gt;G2877),'Vade Sapması'!$D$3-G2877,0))</f>
        <v/>
      </c>
      <c r="P2877" s="33" t="str">
        <f aca="false">IF(F2877="","",F2877*J2877)</f>
        <v/>
      </c>
      <c r="Q2877" s="33" t="str">
        <f aca="false">IF(F2877="","",F2877*L2877)</f>
        <v/>
      </c>
      <c r="R2877" s="33" t="str">
        <f aca="false">IF(F2877="","",IF(H2877="",F2877,0))</f>
        <v/>
      </c>
      <c r="S2877" s="32" t="str">
        <f aca="false">IF(F2877="","",IF(N(O2877)=0,"",IF(O2877&lt;=30,"1-30",IF(O2877&lt;=60,"31-60",IF(O2877&lt;=90,"61-90","90+")))))</f>
        <v/>
      </c>
      <c r="T2877" s="32" t="str">
        <f aca="false">IF(F2877="","",IF(E2877="","Diğer",E2877))</f>
        <v/>
      </c>
      <c r="U2877" s="32" t="str">
        <f aca="false">IF(OR(F2877="",C2877=""),"",IF(COUNTIF($C$2:C2877,C2877)=1,MAX($U$1:U2876)+1,""))</f>
        <v/>
      </c>
    </row>
    <row r="2878" customFormat="false" ht="15" hidden="false" customHeight="false" outlineLevel="0" collapsed="false">
      <c r="A2878" s="34"/>
      <c r="B2878" s="9"/>
      <c r="C2878" s="34"/>
      <c r="D2878" s="34"/>
      <c r="E2878" s="34"/>
      <c r="F2878" s="35"/>
      <c r="G2878" s="9"/>
      <c r="H2878" s="9"/>
      <c r="I2878" s="34"/>
      <c r="J2878" s="30" t="str">
        <f aca="false">IF(F2878="","",G2878-B2878)</f>
        <v/>
      </c>
      <c r="K2878" s="31" t="str">
        <f aca="false">IF(F2878="","",IF(H2878&lt;&gt;"",H2878,MAX('Vade Sapması'!$D$3,G2878)))</f>
        <v/>
      </c>
      <c r="L2878" s="30" t="str">
        <f aca="false">IF(F2878="","",K2878-B2878)</f>
        <v/>
      </c>
      <c r="M2878" s="30" t="str">
        <f aca="false">IF(F2878="","",L2878-J2878)</f>
        <v/>
      </c>
      <c r="N2878" s="32" t="str">
        <f aca="false">IF(F2878="","",IF(H2878&lt;&gt;"","Kapandı",IF('Vade Sapması'!$D$3&gt;G2878,"Açık · vadesi geçti","Açık · vadesi gelmedi")))</f>
        <v/>
      </c>
      <c r="O2878" s="30" t="str">
        <f aca="false">IF(F2878="","",IF(AND(H2878="",'Vade Sapması'!$D$3&gt;G2878),'Vade Sapması'!$D$3-G2878,0))</f>
        <v/>
      </c>
      <c r="P2878" s="33" t="str">
        <f aca="false">IF(F2878="","",F2878*J2878)</f>
        <v/>
      </c>
      <c r="Q2878" s="33" t="str">
        <f aca="false">IF(F2878="","",F2878*L2878)</f>
        <v/>
      </c>
      <c r="R2878" s="33" t="str">
        <f aca="false">IF(F2878="","",IF(H2878="",F2878,0))</f>
        <v/>
      </c>
      <c r="S2878" s="32" t="str">
        <f aca="false">IF(F2878="","",IF(N(O2878)=0,"",IF(O2878&lt;=30,"1-30",IF(O2878&lt;=60,"31-60",IF(O2878&lt;=90,"61-90","90+")))))</f>
        <v/>
      </c>
      <c r="T2878" s="32" t="str">
        <f aca="false">IF(F2878="","",IF(E2878="","Diğer",E2878))</f>
        <v/>
      </c>
      <c r="U2878" s="32" t="str">
        <f aca="false">IF(OR(F2878="",C2878=""),"",IF(COUNTIF($C$2:C2878,C2878)=1,MAX($U$1:U2877)+1,""))</f>
        <v/>
      </c>
    </row>
    <row r="2879" customFormat="false" ht="15" hidden="false" customHeight="false" outlineLevel="0" collapsed="false">
      <c r="A2879" s="34"/>
      <c r="B2879" s="9"/>
      <c r="C2879" s="34"/>
      <c r="D2879" s="34"/>
      <c r="E2879" s="34"/>
      <c r="F2879" s="35"/>
      <c r="G2879" s="9"/>
      <c r="H2879" s="9"/>
      <c r="I2879" s="34"/>
      <c r="J2879" s="30" t="str">
        <f aca="false">IF(F2879="","",G2879-B2879)</f>
        <v/>
      </c>
      <c r="K2879" s="31" t="str">
        <f aca="false">IF(F2879="","",IF(H2879&lt;&gt;"",H2879,MAX('Vade Sapması'!$D$3,G2879)))</f>
        <v/>
      </c>
      <c r="L2879" s="30" t="str">
        <f aca="false">IF(F2879="","",K2879-B2879)</f>
        <v/>
      </c>
      <c r="M2879" s="30" t="str">
        <f aca="false">IF(F2879="","",L2879-J2879)</f>
        <v/>
      </c>
      <c r="N2879" s="32" t="str">
        <f aca="false">IF(F2879="","",IF(H2879&lt;&gt;"","Kapandı",IF('Vade Sapması'!$D$3&gt;G2879,"Açık · vadesi geçti","Açık · vadesi gelmedi")))</f>
        <v/>
      </c>
      <c r="O2879" s="30" t="str">
        <f aca="false">IF(F2879="","",IF(AND(H2879="",'Vade Sapması'!$D$3&gt;G2879),'Vade Sapması'!$D$3-G2879,0))</f>
        <v/>
      </c>
      <c r="P2879" s="33" t="str">
        <f aca="false">IF(F2879="","",F2879*J2879)</f>
        <v/>
      </c>
      <c r="Q2879" s="33" t="str">
        <f aca="false">IF(F2879="","",F2879*L2879)</f>
        <v/>
      </c>
      <c r="R2879" s="33" t="str">
        <f aca="false">IF(F2879="","",IF(H2879="",F2879,0))</f>
        <v/>
      </c>
      <c r="S2879" s="32" t="str">
        <f aca="false">IF(F2879="","",IF(N(O2879)=0,"",IF(O2879&lt;=30,"1-30",IF(O2879&lt;=60,"31-60",IF(O2879&lt;=90,"61-90","90+")))))</f>
        <v/>
      </c>
      <c r="T2879" s="32" t="str">
        <f aca="false">IF(F2879="","",IF(E2879="","Diğer",E2879))</f>
        <v/>
      </c>
      <c r="U2879" s="32" t="str">
        <f aca="false">IF(OR(F2879="",C2879=""),"",IF(COUNTIF($C$2:C2879,C2879)=1,MAX($U$1:U2878)+1,""))</f>
        <v/>
      </c>
    </row>
    <row r="2880" customFormat="false" ht="15" hidden="false" customHeight="false" outlineLevel="0" collapsed="false">
      <c r="A2880" s="34"/>
      <c r="B2880" s="9"/>
      <c r="C2880" s="34"/>
      <c r="D2880" s="34"/>
      <c r="E2880" s="34"/>
      <c r="F2880" s="35"/>
      <c r="G2880" s="9"/>
      <c r="H2880" s="9"/>
      <c r="I2880" s="34"/>
      <c r="J2880" s="30" t="str">
        <f aca="false">IF(F2880="","",G2880-B2880)</f>
        <v/>
      </c>
      <c r="K2880" s="31" t="str">
        <f aca="false">IF(F2880="","",IF(H2880&lt;&gt;"",H2880,MAX('Vade Sapması'!$D$3,G2880)))</f>
        <v/>
      </c>
      <c r="L2880" s="30" t="str">
        <f aca="false">IF(F2880="","",K2880-B2880)</f>
        <v/>
      </c>
      <c r="M2880" s="30" t="str">
        <f aca="false">IF(F2880="","",L2880-J2880)</f>
        <v/>
      </c>
      <c r="N2880" s="32" t="str">
        <f aca="false">IF(F2880="","",IF(H2880&lt;&gt;"","Kapandı",IF('Vade Sapması'!$D$3&gt;G2880,"Açık · vadesi geçti","Açık · vadesi gelmedi")))</f>
        <v/>
      </c>
      <c r="O2880" s="30" t="str">
        <f aca="false">IF(F2880="","",IF(AND(H2880="",'Vade Sapması'!$D$3&gt;G2880),'Vade Sapması'!$D$3-G2880,0))</f>
        <v/>
      </c>
      <c r="P2880" s="33" t="str">
        <f aca="false">IF(F2880="","",F2880*J2880)</f>
        <v/>
      </c>
      <c r="Q2880" s="33" t="str">
        <f aca="false">IF(F2880="","",F2880*L2880)</f>
        <v/>
      </c>
      <c r="R2880" s="33" t="str">
        <f aca="false">IF(F2880="","",IF(H2880="",F2880,0))</f>
        <v/>
      </c>
      <c r="S2880" s="32" t="str">
        <f aca="false">IF(F2880="","",IF(N(O2880)=0,"",IF(O2880&lt;=30,"1-30",IF(O2880&lt;=60,"31-60",IF(O2880&lt;=90,"61-90","90+")))))</f>
        <v/>
      </c>
      <c r="T2880" s="32" t="str">
        <f aca="false">IF(F2880="","",IF(E2880="","Diğer",E2880))</f>
        <v/>
      </c>
      <c r="U2880" s="32" t="str">
        <f aca="false">IF(OR(F2880="",C2880=""),"",IF(COUNTIF($C$2:C2880,C2880)=1,MAX($U$1:U2879)+1,""))</f>
        <v/>
      </c>
    </row>
    <row r="2881" customFormat="false" ht="15" hidden="false" customHeight="false" outlineLevel="0" collapsed="false">
      <c r="A2881" s="34"/>
      <c r="B2881" s="9"/>
      <c r="C2881" s="34"/>
      <c r="D2881" s="34"/>
      <c r="E2881" s="34"/>
      <c r="F2881" s="35"/>
      <c r="G2881" s="9"/>
      <c r="H2881" s="9"/>
      <c r="I2881" s="34"/>
      <c r="J2881" s="30" t="str">
        <f aca="false">IF(F2881="","",G2881-B2881)</f>
        <v/>
      </c>
      <c r="K2881" s="31" t="str">
        <f aca="false">IF(F2881="","",IF(H2881&lt;&gt;"",H2881,MAX('Vade Sapması'!$D$3,G2881)))</f>
        <v/>
      </c>
      <c r="L2881" s="30" t="str">
        <f aca="false">IF(F2881="","",K2881-B2881)</f>
        <v/>
      </c>
      <c r="M2881" s="30" t="str">
        <f aca="false">IF(F2881="","",L2881-J2881)</f>
        <v/>
      </c>
      <c r="N2881" s="32" t="str">
        <f aca="false">IF(F2881="","",IF(H2881&lt;&gt;"","Kapandı",IF('Vade Sapması'!$D$3&gt;G2881,"Açık · vadesi geçti","Açık · vadesi gelmedi")))</f>
        <v/>
      </c>
      <c r="O2881" s="30" t="str">
        <f aca="false">IF(F2881="","",IF(AND(H2881="",'Vade Sapması'!$D$3&gt;G2881),'Vade Sapması'!$D$3-G2881,0))</f>
        <v/>
      </c>
      <c r="P2881" s="33" t="str">
        <f aca="false">IF(F2881="","",F2881*J2881)</f>
        <v/>
      </c>
      <c r="Q2881" s="33" t="str">
        <f aca="false">IF(F2881="","",F2881*L2881)</f>
        <v/>
      </c>
      <c r="R2881" s="33" t="str">
        <f aca="false">IF(F2881="","",IF(H2881="",F2881,0))</f>
        <v/>
      </c>
      <c r="S2881" s="32" t="str">
        <f aca="false">IF(F2881="","",IF(N(O2881)=0,"",IF(O2881&lt;=30,"1-30",IF(O2881&lt;=60,"31-60",IF(O2881&lt;=90,"61-90","90+")))))</f>
        <v/>
      </c>
      <c r="T2881" s="32" t="str">
        <f aca="false">IF(F2881="","",IF(E2881="","Diğer",E2881))</f>
        <v/>
      </c>
      <c r="U2881" s="32" t="str">
        <f aca="false">IF(OR(F2881="",C2881=""),"",IF(COUNTIF($C$2:C2881,C2881)=1,MAX($U$1:U2880)+1,""))</f>
        <v/>
      </c>
    </row>
    <row r="2882" customFormat="false" ht="15" hidden="false" customHeight="false" outlineLevel="0" collapsed="false">
      <c r="A2882" s="34"/>
      <c r="B2882" s="9"/>
      <c r="C2882" s="34"/>
      <c r="D2882" s="34"/>
      <c r="E2882" s="34"/>
      <c r="F2882" s="35"/>
      <c r="G2882" s="9"/>
      <c r="H2882" s="9"/>
      <c r="I2882" s="34"/>
      <c r="J2882" s="30" t="str">
        <f aca="false">IF(F2882="","",G2882-B2882)</f>
        <v/>
      </c>
      <c r="K2882" s="31" t="str">
        <f aca="false">IF(F2882="","",IF(H2882&lt;&gt;"",H2882,MAX('Vade Sapması'!$D$3,G2882)))</f>
        <v/>
      </c>
      <c r="L2882" s="30" t="str">
        <f aca="false">IF(F2882="","",K2882-B2882)</f>
        <v/>
      </c>
      <c r="M2882" s="30" t="str">
        <f aca="false">IF(F2882="","",L2882-J2882)</f>
        <v/>
      </c>
      <c r="N2882" s="32" t="str">
        <f aca="false">IF(F2882="","",IF(H2882&lt;&gt;"","Kapandı",IF('Vade Sapması'!$D$3&gt;G2882,"Açık · vadesi geçti","Açık · vadesi gelmedi")))</f>
        <v/>
      </c>
      <c r="O2882" s="30" t="str">
        <f aca="false">IF(F2882="","",IF(AND(H2882="",'Vade Sapması'!$D$3&gt;G2882),'Vade Sapması'!$D$3-G2882,0))</f>
        <v/>
      </c>
      <c r="P2882" s="33" t="str">
        <f aca="false">IF(F2882="","",F2882*J2882)</f>
        <v/>
      </c>
      <c r="Q2882" s="33" t="str">
        <f aca="false">IF(F2882="","",F2882*L2882)</f>
        <v/>
      </c>
      <c r="R2882" s="33" t="str">
        <f aca="false">IF(F2882="","",IF(H2882="",F2882,0))</f>
        <v/>
      </c>
      <c r="S2882" s="32" t="str">
        <f aca="false">IF(F2882="","",IF(N(O2882)=0,"",IF(O2882&lt;=30,"1-30",IF(O2882&lt;=60,"31-60",IF(O2882&lt;=90,"61-90","90+")))))</f>
        <v/>
      </c>
      <c r="T2882" s="32" t="str">
        <f aca="false">IF(F2882="","",IF(E2882="","Diğer",E2882))</f>
        <v/>
      </c>
      <c r="U2882" s="32" t="str">
        <f aca="false">IF(OR(F2882="",C2882=""),"",IF(COUNTIF($C$2:C2882,C2882)=1,MAX($U$1:U2881)+1,""))</f>
        <v/>
      </c>
    </row>
    <row r="2883" customFormat="false" ht="15" hidden="false" customHeight="false" outlineLevel="0" collapsed="false">
      <c r="A2883" s="34"/>
      <c r="B2883" s="9"/>
      <c r="C2883" s="34"/>
      <c r="D2883" s="34"/>
      <c r="E2883" s="34"/>
      <c r="F2883" s="35"/>
      <c r="G2883" s="9"/>
      <c r="H2883" s="9"/>
      <c r="I2883" s="34"/>
      <c r="J2883" s="30" t="str">
        <f aca="false">IF(F2883="","",G2883-B2883)</f>
        <v/>
      </c>
      <c r="K2883" s="31" t="str">
        <f aca="false">IF(F2883="","",IF(H2883&lt;&gt;"",H2883,MAX('Vade Sapması'!$D$3,G2883)))</f>
        <v/>
      </c>
      <c r="L2883" s="30" t="str">
        <f aca="false">IF(F2883="","",K2883-B2883)</f>
        <v/>
      </c>
      <c r="M2883" s="30" t="str">
        <f aca="false">IF(F2883="","",L2883-J2883)</f>
        <v/>
      </c>
      <c r="N2883" s="32" t="str">
        <f aca="false">IF(F2883="","",IF(H2883&lt;&gt;"","Kapandı",IF('Vade Sapması'!$D$3&gt;G2883,"Açık · vadesi geçti","Açık · vadesi gelmedi")))</f>
        <v/>
      </c>
      <c r="O2883" s="30" t="str">
        <f aca="false">IF(F2883="","",IF(AND(H2883="",'Vade Sapması'!$D$3&gt;G2883),'Vade Sapması'!$D$3-G2883,0))</f>
        <v/>
      </c>
      <c r="P2883" s="33" t="str">
        <f aca="false">IF(F2883="","",F2883*J2883)</f>
        <v/>
      </c>
      <c r="Q2883" s="33" t="str">
        <f aca="false">IF(F2883="","",F2883*L2883)</f>
        <v/>
      </c>
      <c r="R2883" s="33" t="str">
        <f aca="false">IF(F2883="","",IF(H2883="",F2883,0))</f>
        <v/>
      </c>
      <c r="S2883" s="32" t="str">
        <f aca="false">IF(F2883="","",IF(N(O2883)=0,"",IF(O2883&lt;=30,"1-30",IF(O2883&lt;=60,"31-60",IF(O2883&lt;=90,"61-90","90+")))))</f>
        <v/>
      </c>
      <c r="T2883" s="32" t="str">
        <f aca="false">IF(F2883="","",IF(E2883="","Diğer",E2883))</f>
        <v/>
      </c>
      <c r="U2883" s="32" t="str">
        <f aca="false">IF(OR(F2883="",C2883=""),"",IF(COUNTIF($C$2:C2883,C2883)=1,MAX($U$1:U2882)+1,""))</f>
        <v/>
      </c>
    </row>
    <row r="2884" customFormat="false" ht="15" hidden="false" customHeight="false" outlineLevel="0" collapsed="false">
      <c r="A2884" s="34"/>
      <c r="B2884" s="9"/>
      <c r="C2884" s="34"/>
      <c r="D2884" s="34"/>
      <c r="E2884" s="34"/>
      <c r="F2884" s="35"/>
      <c r="G2884" s="9"/>
      <c r="H2884" s="9"/>
      <c r="I2884" s="34"/>
      <c r="J2884" s="30" t="str">
        <f aca="false">IF(F2884="","",G2884-B2884)</f>
        <v/>
      </c>
      <c r="K2884" s="31" t="str">
        <f aca="false">IF(F2884="","",IF(H2884&lt;&gt;"",H2884,MAX('Vade Sapması'!$D$3,G2884)))</f>
        <v/>
      </c>
      <c r="L2884" s="30" t="str">
        <f aca="false">IF(F2884="","",K2884-B2884)</f>
        <v/>
      </c>
      <c r="M2884" s="30" t="str">
        <f aca="false">IF(F2884="","",L2884-J2884)</f>
        <v/>
      </c>
      <c r="N2884" s="32" t="str">
        <f aca="false">IF(F2884="","",IF(H2884&lt;&gt;"","Kapandı",IF('Vade Sapması'!$D$3&gt;G2884,"Açık · vadesi geçti","Açık · vadesi gelmedi")))</f>
        <v/>
      </c>
      <c r="O2884" s="30" t="str">
        <f aca="false">IF(F2884="","",IF(AND(H2884="",'Vade Sapması'!$D$3&gt;G2884),'Vade Sapması'!$D$3-G2884,0))</f>
        <v/>
      </c>
      <c r="P2884" s="33" t="str">
        <f aca="false">IF(F2884="","",F2884*J2884)</f>
        <v/>
      </c>
      <c r="Q2884" s="33" t="str">
        <f aca="false">IF(F2884="","",F2884*L2884)</f>
        <v/>
      </c>
      <c r="R2884" s="33" t="str">
        <f aca="false">IF(F2884="","",IF(H2884="",F2884,0))</f>
        <v/>
      </c>
      <c r="S2884" s="32" t="str">
        <f aca="false">IF(F2884="","",IF(N(O2884)=0,"",IF(O2884&lt;=30,"1-30",IF(O2884&lt;=60,"31-60",IF(O2884&lt;=90,"61-90","90+")))))</f>
        <v/>
      </c>
      <c r="T2884" s="32" t="str">
        <f aca="false">IF(F2884="","",IF(E2884="","Diğer",E2884))</f>
        <v/>
      </c>
      <c r="U2884" s="32" t="str">
        <f aca="false">IF(OR(F2884="",C2884=""),"",IF(COUNTIF($C$2:C2884,C2884)=1,MAX($U$1:U2883)+1,""))</f>
        <v/>
      </c>
    </row>
    <row r="2885" customFormat="false" ht="15" hidden="false" customHeight="false" outlineLevel="0" collapsed="false">
      <c r="A2885" s="34"/>
      <c r="B2885" s="9"/>
      <c r="C2885" s="34"/>
      <c r="D2885" s="34"/>
      <c r="E2885" s="34"/>
      <c r="F2885" s="35"/>
      <c r="G2885" s="9"/>
      <c r="H2885" s="9"/>
      <c r="I2885" s="34"/>
      <c r="J2885" s="30" t="str">
        <f aca="false">IF(F2885="","",G2885-B2885)</f>
        <v/>
      </c>
      <c r="K2885" s="31" t="str">
        <f aca="false">IF(F2885="","",IF(H2885&lt;&gt;"",H2885,MAX('Vade Sapması'!$D$3,G2885)))</f>
        <v/>
      </c>
      <c r="L2885" s="30" t="str">
        <f aca="false">IF(F2885="","",K2885-B2885)</f>
        <v/>
      </c>
      <c r="M2885" s="30" t="str">
        <f aca="false">IF(F2885="","",L2885-J2885)</f>
        <v/>
      </c>
      <c r="N2885" s="32" t="str">
        <f aca="false">IF(F2885="","",IF(H2885&lt;&gt;"","Kapandı",IF('Vade Sapması'!$D$3&gt;G2885,"Açık · vadesi geçti","Açık · vadesi gelmedi")))</f>
        <v/>
      </c>
      <c r="O2885" s="30" t="str">
        <f aca="false">IF(F2885="","",IF(AND(H2885="",'Vade Sapması'!$D$3&gt;G2885),'Vade Sapması'!$D$3-G2885,0))</f>
        <v/>
      </c>
      <c r="P2885" s="33" t="str">
        <f aca="false">IF(F2885="","",F2885*J2885)</f>
        <v/>
      </c>
      <c r="Q2885" s="33" t="str">
        <f aca="false">IF(F2885="","",F2885*L2885)</f>
        <v/>
      </c>
      <c r="R2885" s="33" t="str">
        <f aca="false">IF(F2885="","",IF(H2885="",F2885,0))</f>
        <v/>
      </c>
      <c r="S2885" s="32" t="str">
        <f aca="false">IF(F2885="","",IF(N(O2885)=0,"",IF(O2885&lt;=30,"1-30",IF(O2885&lt;=60,"31-60",IF(O2885&lt;=90,"61-90","90+")))))</f>
        <v/>
      </c>
      <c r="T2885" s="32" t="str">
        <f aca="false">IF(F2885="","",IF(E2885="","Diğer",E2885))</f>
        <v/>
      </c>
      <c r="U2885" s="32" t="str">
        <f aca="false">IF(OR(F2885="",C2885=""),"",IF(COUNTIF($C$2:C2885,C2885)=1,MAX($U$1:U2884)+1,""))</f>
        <v/>
      </c>
    </row>
    <row r="2886" customFormat="false" ht="15" hidden="false" customHeight="false" outlineLevel="0" collapsed="false">
      <c r="A2886" s="34"/>
      <c r="B2886" s="9"/>
      <c r="C2886" s="34"/>
      <c r="D2886" s="34"/>
      <c r="E2886" s="34"/>
      <c r="F2886" s="35"/>
      <c r="G2886" s="9"/>
      <c r="H2886" s="9"/>
      <c r="I2886" s="34"/>
      <c r="J2886" s="30" t="str">
        <f aca="false">IF(F2886="","",G2886-B2886)</f>
        <v/>
      </c>
      <c r="K2886" s="31" t="str">
        <f aca="false">IF(F2886="","",IF(H2886&lt;&gt;"",H2886,MAX('Vade Sapması'!$D$3,G2886)))</f>
        <v/>
      </c>
      <c r="L2886" s="30" t="str">
        <f aca="false">IF(F2886="","",K2886-B2886)</f>
        <v/>
      </c>
      <c r="M2886" s="30" t="str">
        <f aca="false">IF(F2886="","",L2886-J2886)</f>
        <v/>
      </c>
      <c r="N2886" s="32" t="str">
        <f aca="false">IF(F2886="","",IF(H2886&lt;&gt;"","Kapandı",IF('Vade Sapması'!$D$3&gt;G2886,"Açık · vadesi geçti","Açık · vadesi gelmedi")))</f>
        <v/>
      </c>
      <c r="O2886" s="30" t="str">
        <f aca="false">IF(F2886="","",IF(AND(H2886="",'Vade Sapması'!$D$3&gt;G2886),'Vade Sapması'!$D$3-G2886,0))</f>
        <v/>
      </c>
      <c r="P2886" s="33" t="str">
        <f aca="false">IF(F2886="","",F2886*J2886)</f>
        <v/>
      </c>
      <c r="Q2886" s="33" t="str">
        <f aca="false">IF(F2886="","",F2886*L2886)</f>
        <v/>
      </c>
      <c r="R2886" s="33" t="str">
        <f aca="false">IF(F2886="","",IF(H2886="",F2886,0))</f>
        <v/>
      </c>
      <c r="S2886" s="32" t="str">
        <f aca="false">IF(F2886="","",IF(N(O2886)=0,"",IF(O2886&lt;=30,"1-30",IF(O2886&lt;=60,"31-60",IF(O2886&lt;=90,"61-90","90+")))))</f>
        <v/>
      </c>
      <c r="T2886" s="32" t="str">
        <f aca="false">IF(F2886="","",IF(E2886="","Diğer",E2886))</f>
        <v/>
      </c>
      <c r="U2886" s="32" t="str">
        <f aca="false">IF(OR(F2886="",C2886=""),"",IF(COUNTIF($C$2:C2886,C2886)=1,MAX($U$1:U2885)+1,""))</f>
        <v/>
      </c>
    </row>
    <row r="2887" customFormat="false" ht="15" hidden="false" customHeight="false" outlineLevel="0" collapsed="false">
      <c r="A2887" s="34"/>
      <c r="B2887" s="9"/>
      <c r="C2887" s="34"/>
      <c r="D2887" s="34"/>
      <c r="E2887" s="34"/>
      <c r="F2887" s="35"/>
      <c r="G2887" s="9"/>
      <c r="H2887" s="9"/>
      <c r="I2887" s="34"/>
      <c r="J2887" s="30" t="str">
        <f aca="false">IF(F2887="","",G2887-B2887)</f>
        <v/>
      </c>
      <c r="K2887" s="31" t="str">
        <f aca="false">IF(F2887="","",IF(H2887&lt;&gt;"",H2887,MAX('Vade Sapması'!$D$3,G2887)))</f>
        <v/>
      </c>
      <c r="L2887" s="30" t="str">
        <f aca="false">IF(F2887="","",K2887-B2887)</f>
        <v/>
      </c>
      <c r="M2887" s="30" t="str">
        <f aca="false">IF(F2887="","",L2887-J2887)</f>
        <v/>
      </c>
      <c r="N2887" s="32" t="str">
        <f aca="false">IF(F2887="","",IF(H2887&lt;&gt;"","Kapandı",IF('Vade Sapması'!$D$3&gt;G2887,"Açık · vadesi geçti","Açık · vadesi gelmedi")))</f>
        <v/>
      </c>
      <c r="O2887" s="30" t="str">
        <f aca="false">IF(F2887="","",IF(AND(H2887="",'Vade Sapması'!$D$3&gt;G2887),'Vade Sapması'!$D$3-G2887,0))</f>
        <v/>
      </c>
      <c r="P2887" s="33" t="str">
        <f aca="false">IF(F2887="","",F2887*J2887)</f>
        <v/>
      </c>
      <c r="Q2887" s="33" t="str">
        <f aca="false">IF(F2887="","",F2887*L2887)</f>
        <v/>
      </c>
      <c r="R2887" s="33" t="str">
        <f aca="false">IF(F2887="","",IF(H2887="",F2887,0))</f>
        <v/>
      </c>
      <c r="S2887" s="32" t="str">
        <f aca="false">IF(F2887="","",IF(N(O2887)=0,"",IF(O2887&lt;=30,"1-30",IF(O2887&lt;=60,"31-60",IF(O2887&lt;=90,"61-90","90+")))))</f>
        <v/>
      </c>
      <c r="T2887" s="32" t="str">
        <f aca="false">IF(F2887="","",IF(E2887="","Diğer",E2887))</f>
        <v/>
      </c>
      <c r="U2887" s="32" t="str">
        <f aca="false">IF(OR(F2887="",C2887=""),"",IF(COUNTIF($C$2:C2887,C2887)=1,MAX($U$1:U2886)+1,""))</f>
        <v/>
      </c>
    </row>
    <row r="2888" customFormat="false" ht="15" hidden="false" customHeight="false" outlineLevel="0" collapsed="false">
      <c r="A2888" s="34"/>
      <c r="B2888" s="9"/>
      <c r="C2888" s="34"/>
      <c r="D2888" s="34"/>
      <c r="E2888" s="34"/>
      <c r="F2888" s="35"/>
      <c r="G2888" s="9"/>
      <c r="H2888" s="9"/>
      <c r="I2888" s="34"/>
      <c r="J2888" s="30" t="str">
        <f aca="false">IF(F2888="","",G2888-B2888)</f>
        <v/>
      </c>
      <c r="K2888" s="31" t="str">
        <f aca="false">IF(F2888="","",IF(H2888&lt;&gt;"",H2888,MAX('Vade Sapması'!$D$3,G2888)))</f>
        <v/>
      </c>
      <c r="L2888" s="30" t="str">
        <f aca="false">IF(F2888="","",K2888-B2888)</f>
        <v/>
      </c>
      <c r="M2888" s="30" t="str">
        <f aca="false">IF(F2888="","",L2888-J2888)</f>
        <v/>
      </c>
      <c r="N2888" s="32" t="str">
        <f aca="false">IF(F2888="","",IF(H2888&lt;&gt;"","Kapandı",IF('Vade Sapması'!$D$3&gt;G2888,"Açık · vadesi geçti","Açık · vadesi gelmedi")))</f>
        <v/>
      </c>
      <c r="O2888" s="30" t="str">
        <f aca="false">IF(F2888="","",IF(AND(H2888="",'Vade Sapması'!$D$3&gt;G2888),'Vade Sapması'!$D$3-G2888,0))</f>
        <v/>
      </c>
      <c r="P2888" s="33" t="str">
        <f aca="false">IF(F2888="","",F2888*J2888)</f>
        <v/>
      </c>
      <c r="Q2888" s="33" t="str">
        <f aca="false">IF(F2888="","",F2888*L2888)</f>
        <v/>
      </c>
      <c r="R2888" s="33" t="str">
        <f aca="false">IF(F2888="","",IF(H2888="",F2888,0))</f>
        <v/>
      </c>
      <c r="S2888" s="32" t="str">
        <f aca="false">IF(F2888="","",IF(N(O2888)=0,"",IF(O2888&lt;=30,"1-30",IF(O2888&lt;=60,"31-60",IF(O2888&lt;=90,"61-90","90+")))))</f>
        <v/>
      </c>
      <c r="T2888" s="32" t="str">
        <f aca="false">IF(F2888="","",IF(E2888="","Diğer",E2888))</f>
        <v/>
      </c>
      <c r="U2888" s="32" t="str">
        <f aca="false">IF(OR(F2888="",C2888=""),"",IF(COUNTIF($C$2:C2888,C2888)=1,MAX($U$1:U2887)+1,""))</f>
        <v/>
      </c>
    </row>
    <row r="2889" customFormat="false" ht="15" hidden="false" customHeight="false" outlineLevel="0" collapsed="false">
      <c r="A2889" s="34"/>
      <c r="B2889" s="9"/>
      <c r="C2889" s="34"/>
      <c r="D2889" s="34"/>
      <c r="E2889" s="34"/>
      <c r="F2889" s="35"/>
      <c r="G2889" s="9"/>
      <c r="H2889" s="9"/>
      <c r="I2889" s="34"/>
      <c r="J2889" s="30" t="str">
        <f aca="false">IF(F2889="","",G2889-B2889)</f>
        <v/>
      </c>
      <c r="K2889" s="31" t="str">
        <f aca="false">IF(F2889="","",IF(H2889&lt;&gt;"",H2889,MAX('Vade Sapması'!$D$3,G2889)))</f>
        <v/>
      </c>
      <c r="L2889" s="30" t="str">
        <f aca="false">IF(F2889="","",K2889-B2889)</f>
        <v/>
      </c>
      <c r="M2889" s="30" t="str">
        <f aca="false">IF(F2889="","",L2889-J2889)</f>
        <v/>
      </c>
      <c r="N2889" s="32" t="str">
        <f aca="false">IF(F2889="","",IF(H2889&lt;&gt;"","Kapandı",IF('Vade Sapması'!$D$3&gt;G2889,"Açık · vadesi geçti","Açık · vadesi gelmedi")))</f>
        <v/>
      </c>
      <c r="O2889" s="30" t="str">
        <f aca="false">IF(F2889="","",IF(AND(H2889="",'Vade Sapması'!$D$3&gt;G2889),'Vade Sapması'!$D$3-G2889,0))</f>
        <v/>
      </c>
      <c r="P2889" s="33" t="str">
        <f aca="false">IF(F2889="","",F2889*J2889)</f>
        <v/>
      </c>
      <c r="Q2889" s="33" t="str">
        <f aca="false">IF(F2889="","",F2889*L2889)</f>
        <v/>
      </c>
      <c r="R2889" s="33" t="str">
        <f aca="false">IF(F2889="","",IF(H2889="",F2889,0))</f>
        <v/>
      </c>
      <c r="S2889" s="32" t="str">
        <f aca="false">IF(F2889="","",IF(N(O2889)=0,"",IF(O2889&lt;=30,"1-30",IF(O2889&lt;=60,"31-60",IF(O2889&lt;=90,"61-90","90+")))))</f>
        <v/>
      </c>
      <c r="T2889" s="32" t="str">
        <f aca="false">IF(F2889="","",IF(E2889="","Diğer",E2889))</f>
        <v/>
      </c>
      <c r="U2889" s="32" t="str">
        <f aca="false">IF(OR(F2889="",C2889=""),"",IF(COUNTIF($C$2:C2889,C2889)=1,MAX($U$1:U2888)+1,""))</f>
        <v/>
      </c>
    </row>
    <row r="2890" customFormat="false" ht="15" hidden="false" customHeight="false" outlineLevel="0" collapsed="false">
      <c r="A2890" s="34"/>
      <c r="B2890" s="9"/>
      <c r="C2890" s="34"/>
      <c r="D2890" s="34"/>
      <c r="E2890" s="34"/>
      <c r="F2890" s="35"/>
      <c r="G2890" s="9"/>
      <c r="H2890" s="9"/>
      <c r="I2890" s="34"/>
      <c r="J2890" s="30" t="str">
        <f aca="false">IF(F2890="","",G2890-B2890)</f>
        <v/>
      </c>
      <c r="K2890" s="31" t="str">
        <f aca="false">IF(F2890="","",IF(H2890&lt;&gt;"",H2890,MAX('Vade Sapması'!$D$3,G2890)))</f>
        <v/>
      </c>
      <c r="L2890" s="30" t="str">
        <f aca="false">IF(F2890="","",K2890-B2890)</f>
        <v/>
      </c>
      <c r="M2890" s="30" t="str">
        <f aca="false">IF(F2890="","",L2890-J2890)</f>
        <v/>
      </c>
      <c r="N2890" s="32" t="str">
        <f aca="false">IF(F2890="","",IF(H2890&lt;&gt;"","Kapandı",IF('Vade Sapması'!$D$3&gt;G2890,"Açık · vadesi geçti","Açık · vadesi gelmedi")))</f>
        <v/>
      </c>
      <c r="O2890" s="30" t="str">
        <f aca="false">IF(F2890="","",IF(AND(H2890="",'Vade Sapması'!$D$3&gt;G2890),'Vade Sapması'!$D$3-G2890,0))</f>
        <v/>
      </c>
      <c r="P2890" s="33" t="str">
        <f aca="false">IF(F2890="","",F2890*J2890)</f>
        <v/>
      </c>
      <c r="Q2890" s="33" t="str">
        <f aca="false">IF(F2890="","",F2890*L2890)</f>
        <v/>
      </c>
      <c r="R2890" s="33" t="str">
        <f aca="false">IF(F2890="","",IF(H2890="",F2890,0))</f>
        <v/>
      </c>
      <c r="S2890" s="32" t="str">
        <f aca="false">IF(F2890="","",IF(N(O2890)=0,"",IF(O2890&lt;=30,"1-30",IF(O2890&lt;=60,"31-60",IF(O2890&lt;=90,"61-90","90+")))))</f>
        <v/>
      </c>
      <c r="T2890" s="32" t="str">
        <f aca="false">IF(F2890="","",IF(E2890="","Diğer",E2890))</f>
        <v/>
      </c>
      <c r="U2890" s="32" t="str">
        <f aca="false">IF(OR(F2890="",C2890=""),"",IF(COUNTIF($C$2:C2890,C2890)=1,MAX($U$1:U2889)+1,""))</f>
        <v/>
      </c>
    </row>
    <row r="2891" customFormat="false" ht="15" hidden="false" customHeight="false" outlineLevel="0" collapsed="false">
      <c r="A2891" s="34"/>
      <c r="B2891" s="9"/>
      <c r="C2891" s="34"/>
      <c r="D2891" s="34"/>
      <c r="E2891" s="34"/>
      <c r="F2891" s="35"/>
      <c r="G2891" s="9"/>
      <c r="H2891" s="9"/>
      <c r="I2891" s="34"/>
      <c r="J2891" s="30" t="str">
        <f aca="false">IF(F2891="","",G2891-B2891)</f>
        <v/>
      </c>
      <c r="K2891" s="31" t="str">
        <f aca="false">IF(F2891="","",IF(H2891&lt;&gt;"",H2891,MAX('Vade Sapması'!$D$3,G2891)))</f>
        <v/>
      </c>
      <c r="L2891" s="30" t="str">
        <f aca="false">IF(F2891="","",K2891-B2891)</f>
        <v/>
      </c>
      <c r="M2891" s="30" t="str">
        <f aca="false">IF(F2891="","",L2891-J2891)</f>
        <v/>
      </c>
      <c r="N2891" s="32" t="str">
        <f aca="false">IF(F2891="","",IF(H2891&lt;&gt;"","Kapandı",IF('Vade Sapması'!$D$3&gt;G2891,"Açık · vadesi geçti","Açık · vadesi gelmedi")))</f>
        <v/>
      </c>
      <c r="O2891" s="30" t="str">
        <f aca="false">IF(F2891="","",IF(AND(H2891="",'Vade Sapması'!$D$3&gt;G2891),'Vade Sapması'!$D$3-G2891,0))</f>
        <v/>
      </c>
      <c r="P2891" s="33" t="str">
        <f aca="false">IF(F2891="","",F2891*J2891)</f>
        <v/>
      </c>
      <c r="Q2891" s="33" t="str">
        <f aca="false">IF(F2891="","",F2891*L2891)</f>
        <v/>
      </c>
      <c r="R2891" s="33" t="str">
        <f aca="false">IF(F2891="","",IF(H2891="",F2891,0))</f>
        <v/>
      </c>
      <c r="S2891" s="32" t="str">
        <f aca="false">IF(F2891="","",IF(N(O2891)=0,"",IF(O2891&lt;=30,"1-30",IF(O2891&lt;=60,"31-60",IF(O2891&lt;=90,"61-90","90+")))))</f>
        <v/>
      </c>
      <c r="T2891" s="32" t="str">
        <f aca="false">IF(F2891="","",IF(E2891="","Diğer",E2891))</f>
        <v/>
      </c>
      <c r="U2891" s="32" t="str">
        <f aca="false">IF(OR(F2891="",C2891=""),"",IF(COUNTIF($C$2:C2891,C2891)=1,MAX($U$1:U2890)+1,""))</f>
        <v/>
      </c>
    </row>
    <row r="2892" customFormat="false" ht="15" hidden="false" customHeight="false" outlineLevel="0" collapsed="false">
      <c r="A2892" s="34"/>
      <c r="B2892" s="9"/>
      <c r="C2892" s="34"/>
      <c r="D2892" s="34"/>
      <c r="E2892" s="34"/>
      <c r="F2892" s="35"/>
      <c r="G2892" s="9"/>
      <c r="H2892" s="9"/>
      <c r="I2892" s="34"/>
      <c r="J2892" s="30" t="str">
        <f aca="false">IF(F2892="","",G2892-B2892)</f>
        <v/>
      </c>
      <c r="K2892" s="31" t="str">
        <f aca="false">IF(F2892="","",IF(H2892&lt;&gt;"",H2892,MAX('Vade Sapması'!$D$3,G2892)))</f>
        <v/>
      </c>
      <c r="L2892" s="30" t="str">
        <f aca="false">IF(F2892="","",K2892-B2892)</f>
        <v/>
      </c>
      <c r="M2892" s="30" t="str">
        <f aca="false">IF(F2892="","",L2892-J2892)</f>
        <v/>
      </c>
      <c r="N2892" s="32" t="str">
        <f aca="false">IF(F2892="","",IF(H2892&lt;&gt;"","Kapandı",IF('Vade Sapması'!$D$3&gt;G2892,"Açık · vadesi geçti","Açık · vadesi gelmedi")))</f>
        <v/>
      </c>
      <c r="O2892" s="30" t="str">
        <f aca="false">IF(F2892="","",IF(AND(H2892="",'Vade Sapması'!$D$3&gt;G2892),'Vade Sapması'!$D$3-G2892,0))</f>
        <v/>
      </c>
      <c r="P2892" s="33" t="str">
        <f aca="false">IF(F2892="","",F2892*J2892)</f>
        <v/>
      </c>
      <c r="Q2892" s="33" t="str">
        <f aca="false">IF(F2892="","",F2892*L2892)</f>
        <v/>
      </c>
      <c r="R2892" s="33" t="str">
        <f aca="false">IF(F2892="","",IF(H2892="",F2892,0))</f>
        <v/>
      </c>
      <c r="S2892" s="32" t="str">
        <f aca="false">IF(F2892="","",IF(N(O2892)=0,"",IF(O2892&lt;=30,"1-30",IF(O2892&lt;=60,"31-60",IF(O2892&lt;=90,"61-90","90+")))))</f>
        <v/>
      </c>
      <c r="T2892" s="32" t="str">
        <f aca="false">IF(F2892="","",IF(E2892="","Diğer",E2892))</f>
        <v/>
      </c>
      <c r="U2892" s="32" t="str">
        <f aca="false">IF(OR(F2892="",C2892=""),"",IF(COUNTIF($C$2:C2892,C2892)=1,MAX($U$1:U2891)+1,""))</f>
        <v/>
      </c>
    </row>
    <row r="2893" customFormat="false" ht="15" hidden="false" customHeight="false" outlineLevel="0" collapsed="false">
      <c r="A2893" s="34"/>
      <c r="B2893" s="9"/>
      <c r="C2893" s="34"/>
      <c r="D2893" s="34"/>
      <c r="E2893" s="34"/>
      <c r="F2893" s="35"/>
      <c r="G2893" s="9"/>
      <c r="H2893" s="9"/>
      <c r="I2893" s="34"/>
      <c r="J2893" s="30" t="str">
        <f aca="false">IF(F2893="","",G2893-B2893)</f>
        <v/>
      </c>
      <c r="K2893" s="31" t="str">
        <f aca="false">IF(F2893="","",IF(H2893&lt;&gt;"",H2893,MAX('Vade Sapması'!$D$3,G2893)))</f>
        <v/>
      </c>
      <c r="L2893" s="30" t="str">
        <f aca="false">IF(F2893="","",K2893-B2893)</f>
        <v/>
      </c>
      <c r="M2893" s="30" t="str">
        <f aca="false">IF(F2893="","",L2893-J2893)</f>
        <v/>
      </c>
      <c r="N2893" s="32" t="str">
        <f aca="false">IF(F2893="","",IF(H2893&lt;&gt;"","Kapandı",IF('Vade Sapması'!$D$3&gt;G2893,"Açık · vadesi geçti","Açık · vadesi gelmedi")))</f>
        <v/>
      </c>
      <c r="O2893" s="30" t="str">
        <f aca="false">IF(F2893="","",IF(AND(H2893="",'Vade Sapması'!$D$3&gt;G2893),'Vade Sapması'!$D$3-G2893,0))</f>
        <v/>
      </c>
      <c r="P2893" s="33" t="str">
        <f aca="false">IF(F2893="","",F2893*J2893)</f>
        <v/>
      </c>
      <c r="Q2893" s="33" t="str">
        <f aca="false">IF(F2893="","",F2893*L2893)</f>
        <v/>
      </c>
      <c r="R2893" s="33" t="str">
        <f aca="false">IF(F2893="","",IF(H2893="",F2893,0))</f>
        <v/>
      </c>
      <c r="S2893" s="32" t="str">
        <f aca="false">IF(F2893="","",IF(N(O2893)=0,"",IF(O2893&lt;=30,"1-30",IF(O2893&lt;=60,"31-60",IF(O2893&lt;=90,"61-90","90+")))))</f>
        <v/>
      </c>
      <c r="T2893" s="32" t="str">
        <f aca="false">IF(F2893="","",IF(E2893="","Diğer",E2893))</f>
        <v/>
      </c>
      <c r="U2893" s="32" t="str">
        <f aca="false">IF(OR(F2893="",C2893=""),"",IF(COUNTIF($C$2:C2893,C2893)=1,MAX($U$1:U2892)+1,""))</f>
        <v/>
      </c>
    </row>
    <row r="2894" customFormat="false" ht="15" hidden="false" customHeight="false" outlineLevel="0" collapsed="false">
      <c r="A2894" s="34"/>
      <c r="B2894" s="9"/>
      <c r="C2894" s="34"/>
      <c r="D2894" s="34"/>
      <c r="E2894" s="34"/>
      <c r="F2894" s="35"/>
      <c r="G2894" s="9"/>
      <c r="H2894" s="9"/>
      <c r="I2894" s="34"/>
      <c r="J2894" s="30" t="str">
        <f aca="false">IF(F2894="","",G2894-B2894)</f>
        <v/>
      </c>
      <c r="K2894" s="31" t="str">
        <f aca="false">IF(F2894="","",IF(H2894&lt;&gt;"",H2894,MAX('Vade Sapması'!$D$3,G2894)))</f>
        <v/>
      </c>
      <c r="L2894" s="30" t="str">
        <f aca="false">IF(F2894="","",K2894-B2894)</f>
        <v/>
      </c>
      <c r="M2894" s="30" t="str">
        <f aca="false">IF(F2894="","",L2894-J2894)</f>
        <v/>
      </c>
      <c r="N2894" s="32" t="str">
        <f aca="false">IF(F2894="","",IF(H2894&lt;&gt;"","Kapandı",IF('Vade Sapması'!$D$3&gt;G2894,"Açık · vadesi geçti","Açık · vadesi gelmedi")))</f>
        <v/>
      </c>
      <c r="O2894" s="30" t="str">
        <f aca="false">IF(F2894="","",IF(AND(H2894="",'Vade Sapması'!$D$3&gt;G2894),'Vade Sapması'!$D$3-G2894,0))</f>
        <v/>
      </c>
      <c r="P2894" s="33" t="str">
        <f aca="false">IF(F2894="","",F2894*J2894)</f>
        <v/>
      </c>
      <c r="Q2894" s="33" t="str">
        <f aca="false">IF(F2894="","",F2894*L2894)</f>
        <v/>
      </c>
      <c r="R2894" s="33" t="str">
        <f aca="false">IF(F2894="","",IF(H2894="",F2894,0))</f>
        <v/>
      </c>
      <c r="S2894" s="32" t="str">
        <f aca="false">IF(F2894="","",IF(N(O2894)=0,"",IF(O2894&lt;=30,"1-30",IF(O2894&lt;=60,"31-60",IF(O2894&lt;=90,"61-90","90+")))))</f>
        <v/>
      </c>
      <c r="T2894" s="32" t="str">
        <f aca="false">IF(F2894="","",IF(E2894="","Diğer",E2894))</f>
        <v/>
      </c>
      <c r="U2894" s="32" t="str">
        <f aca="false">IF(OR(F2894="",C2894=""),"",IF(COUNTIF($C$2:C2894,C2894)=1,MAX($U$1:U2893)+1,""))</f>
        <v/>
      </c>
    </row>
    <row r="2895" customFormat="false" ht="15" hidden="false" customHeight="false" outlineLevel="0" collapsed="false">
      <c r="A2895" s="34"/>
      <c r="B2895" s="9"/>
      <c r="C2895" s="34"/>
      <c r="D2895" s="34"/>
      <c r="E2895" s="34"/>
      <c r="F2895" s="35"/>
      <c r="G2895" s="9"/>
      <c r="H2895" s="9"/>
      <c r="I2895" s="34"/>
      <c r="J2895" s="30" t="str">
        <f aca="false">IF(F2895="","",G2895-B2895)</f>
        <v/>
      </c>
      <c r="K2895" s="31" t="str">
        <f aca="false">IF(F2895="","",IF(H2895&lt;&gt;"",H2895,MAX('Vade Sapması'!$D$3,G2895)))</f>
        <v/>
      </c>
      <c r="L2895" s="30" t="str">
        <f aca="false">IF(F2895="","",K2895-B2895)</f>
        <v/>
      </c>
      <c r="M2895" s="30" t="str">
        <f aca="false">IF(F2895="","",L2895-J2895)</f>
        <v/>
      </c>
      <c r="N2895" s="32" t="str">
        <f aca="false">IF(F2895="","",IF(H2895&lt;&gt;"","Kapandı",IF('Vade Sapması'!$D$3&gt;G2895,"Açık · vadesi geçti","Açık · vadesi gelmedi")))</f>
        <v/>
      </c>
      <c r="O2895" s="30" t="str">
        <f aca="false">IF(F2895="","",IF(AND(H2895="",'Vade Sapması'!$D$3&gt;G2895),'Vade Sapması'!$D$3-G2895,0))</f>
        <v/>
      </c>
      <c r="P2895" s="33" t="str">
        <f aca="false">IF(F2895="","",F2895*J2895)</f>
        <v/>
      </c>
      <c r="Q2895" s="33" t="str">
        <f aca="false">IF(F2895="","",F2895*L2895)</f>
        <v/>
      </c>
      <c r="R2895" s="33" t="str">
        <f aca="false">IF(F2895="","",IF(H2895="",F2895,0))</f>
        <v/>
      </c>
      <c r="S2895" s="32" t="str">
        <f aca="false">IF(F2895="","",IF(N(O2895)=0,"",IF(O2895&lt;=30,"1-30",IF(O2895&lt;=60,"31-60",IF(O2895&lt;=90,"61-90","90+")))))</f>
        <v/>
      </c>
      <c r="T2895" s="32" t="str">
        <f aca="false">IF(F2895="","",IF(E2895="","Diğer",E2895))</f>
        <v/>
      </c>
      <c r="U2895" s="32" t="str">
        <f aca="false">IF(OR(F2895="",C2895=""),"",IF(COUNTIF($C$2:C2895,C2895)=1,MAX($U$1:U2894)+1,""))</f>
        <v/>
      </c>
    </row>
    <row r="2896" customFormat="false" ht="15" hidden="false" customHeight="false" outlineLevel="0" collapsed="false">
      <c r="A2896" s="34"/>
      <c r="B2896" s="9"/>
      <c r="C2896" s="34"/>
      <c r="D2896" s="34"/>
      <c r="E2896" s="34"/>
      <c r="F2896" s="35"/>
      <c r="G2896" s="9"/>
      <c r="H2896" s="9"/>
      <c r="I2896" s="34"/>
      <c r="J2896" s="30" t="str">
        <f aca="false">IF(F2896="","",G2896-B2896)</f>
        <v/>
      </c>
      <c r="K2896" s="31" t="str">
        <f aca="false">IF(F2896="","",IF(H2896&lt;&gt;"",H2896,MAX('Vade Sapması'!$D$3,G2896)))</f>
        <v/>
      </c>
      <c r="L2896" s="30" t="str">
        <f aca="false">IF(F2896="","",K2896-B2896)</f>
        <v/>
      </c>
      <c r="M2896" s="30" t="str">
        <f aca="false">IF(F2896="","",L2896-J2896)</f>
        <v/>
      </c>
      <c r="N2896" s="32" t="str">
        <f aca="false">IF(F2896="","",IF(H2896&lt;&gt;"","Kapandı",IF('Vade Sapması'!$D$3&gt;G2896,"Açık · vadesi geçti","Açık · vadesi gelmedi")))</f>
        <v/>
      </c>
      <c r="O2896" s="30" t="str">
        <f aca="false">IF(F2896="","",IF(AND(H2896="",'Vade Sapması'!$D$3&gt;G2896),'Vade Sapması'!$D$3-G2896,0))</f>
        <v/>
      </c>
      <c r="P2896" s="33" t="str">
        <f aca="false">IF(F2896="","",F2896*J2896)</f>
        <v/>
      </c>
      <c r="Q2896" s="33" t="str">
        <f aca="false">IF(F2896="","",F2896*L2896)</f>
        <v/>
      </c>
      <c r="R2896" s="33" t="str">
        <f aca="false">IF(F2896="","",IF(H2896="",F2896,0))</f>
        <v/>
      </c>
      <c r="S2896" s="32" t="str">
        <f aca="false">IF(F2896="","",IF(N(O2896)=0,"",IF(O2896&lt;=30,"1-30",IF(O2896&lt;=60,"31-60",IF(O2896&lt;=90,"61-90","90+")))))</f>
        <v/>
      </c>
      <c r="T2896" s="32" t="str">
        <f aca="false">IF(F2896="","",IF(E2896="","Diğer",E2896))</f>
        <v/>
      </c>
      <c r="U2896" s="32" t="str">
        <f aca="false">IF(OR(F2896="",C2896=""),"",IF(COUNTIF($C$2:C2896,C2896)=1,MAX($U$1:U2895)+1,""))</f>
        <v/>
      </c>
    </row>
    <row r="2897" customFormat="false" ht="15" hidden="false" customHeight="false" outlineLevel="0" collapsed="false">
      <c r="A2897" s="34"/>
      <c r="B2897" s="9"/>
      <c r="C2897" s="34"/>
      <c r="D2897" s="34"/>
      <c r="E2897" s="34"/>
      <c r="F2897" s="35"/>
      <c r="G2897" s="9"/>
      <c r="H2897" s="9"/>
      <c r="I2897" s="34"/>
      <c r="J2897" s="30" t="str">
        <f aca="false">IF(F2897="","",G2897-B2897)</f>
        <v/>
      </c>
      <c r="K2897" s="31" t="str">
        <f aca="false">IF(F2897="","",IF(H2897&lt;&gt;"",H2897,MAX('Vade Sapması'!$D$3,G2897)))</f>
        <v/>
      </c>
      <c r="L2897" s="30" t="str">
        <f aca="false">IF(F2897="","",K2897-B2897)</f>
        <v/>
      </c>
      <c r="M2897" s="30" t="str">
        <f aca="false">IF(F2897="","",L2897-J2897)</f>
        <v/>
      </c>
      <c r="N2897" s="32" t="str">
        <f aca="false">IF(F2897="","",IF(H2897&lt;&gt;"","Kapandı",IF('Vade Sapması'!$D$3&gt;G2897,"Açık · vadesi geçti","Açık · vadesi gelmedi")))</f>
        <v/>
      </c>
      <c r="O2897" s="30" t="str">
        <f aca="false">IF(F2897="","",IF(AND(H2897="",'Vade Sapması'!$D$3&gt;G2897),'Vade Sapması'!$D$3-G2897,0))</f>
        <v/>
      </c>
      <c r="P2897" s="33" t="str">
        <f aca="false">IF(F2897="","",F2897*J2897)</f>
        <v/>
      </c>
      <c r="Q2897" s="33" t="str">
        <f aca="false">IF(F2897="","",F2897*L2897)</f>
        <v/>
      </c>
      <c r="R2897" s="33" t="str">
        <f aca="false">IF(F2897="","",IF(H2897="",F2897,0))</f>
        <v/>
      </c>
      <c r="S2897" s="32" t="str">
        <f aca="false">IF(F2897="","",IF(N(O2897)=0,"",IF(O2897&lt;=30,"1-30",IF(O2897&lt;=60,"31-60",IF(O2897&lt;=90,"61-90","90+")))))</f>
        <v/>
      </c>
      <c r="T2897" s="32" t="str">
        <f aca="false">IF(F2897="","",IF(E2897="","Diğer",E2897))</f>
        <v/>
      </c>
      <c r="U2897" s="32" t="str">
        <f aca="false">IF(OR(F2897="",C2897=""),"",IF(COUNTIF($C$2:C2897,C2897)=1,MAX($U$1:U2896)+1,""))</f>
        <v/>
      </c>
    </row>
    <row r="2898" customFormat="false" ht="15" hidden="false" customHeight="false" outlineLevel="0" collapsed="false">
      <c r="A2898" s="34"/>
      <c r="B2898" s="9"/>
      <c r="C2898" s="34"/>
      <c r="D2898" s="34"/>
      <c r="E2898" s="34"/>
      <c r="F2898" s="35"/>
      <c r="G2898" s="9"/>
      <c r="H2898" s="9"/>
      <c r="I2898" s="34"/>
      <c r="J2898" s="30" t="str">
        <f aca="false">IF(F2898="","",G2898-B2898)</f>
        <v/>
      </c>
      <c r="K2898" s="31" t="str">
        <f aca="false">IF(F2898="","",IF(H2898&lt;&gt;"",H2898,MAX('Vade Sapması'!$D$3,G2898)))</f>
        <v/>
      </c>
      <c r="L2898" s="30" t="str">
        <f aca="false">IF(F2898="","",K2898-B2898)</f>
        <v/>
      </c>
      <c r="M2898" s="30" t="str">
        <f aca="false">IF(F2898="","",L2898-J2898)</f>
        <v/>
      </c>
      <c r="N2898" s="32" t="str">
        <f aca="false">IF(F2898="","",IF(H2898&lt;&gt;"","Kapandı",IF('Vade Sapması'!$D$3&gt;G2898,"Açık · vadesi geçti","Açık · vadesi gelmedi")))</f>
        <v/>
      </c>
      <c r="O2898" s="30" t="str">
        <f aca="false">IF(F2898="","",IF(AND(H2898="",'Vade Sapması'!$D$3&gt;G2898),'Vade Sapması'!$D$3-G2898,0))</f>
        <v/>
      </c>
      <c r="P2898" s="33" t="str">
        <f aca="false">IF(F2898="","",F2898*J2898)</f>
        <v/>
      </c>
      <c r="Q2898" s="33" t="str">
        <f aca="false">IF(F2898="","",F2898*L2898)</f>
        <v/>
      </c>
      <c r="R2898" s="33" t="str">
        <f aca="false">IF(F2898="","",IF(H2898="",F2898,0))</f>
        <v/>
      </c>
      <c r="S2898" s="32" t="str">
        <f aca="false">IF(F2898="","",IF(N(O2898)=0,"",IF(O2898&lt;=30,"1-30",IF(O2898&lt;=60,"31-60",IF(O2898&lt;=90,"61-90","90+")))))</f>
        <v/>
      </c>
      <c r="T2898" s="32" t="str">
        <f aca="false">IF(F2898="","",IF(E2898="","Diğer",E2898))</f>
        <v/>
      </c>
      <c r="U2898" s="32" t="str">
        <f aca="false">IF(OR(F2898="",C2898=""),"",IF(COUNTIF($C$2:C2898,C2898)=1,MAX($U$1:U2897)+1,""))</f>
        <v/>
      </c>
    </row>
    <row r="2899" customFormat="false" ht="15" hidden="false" customHeight="false" outlineLevel="0" collapsed="false">
      <c r="A2899" s="34"/>
      <c r="B2899" s="9"/>
      <c r="C2899" s="34"/>
      <c r="D2899" s="34"/>
      <c r="E2899" s="34"/>
      <c r="F2899" s="35"/>
      <c r="G2899" s="9"/>
      <c r="H2899" s="9"/>
      <c r="I2899" s="34"/>
      <c r="J2899" s="30" t="str">
        <f aca="false">IF(F2899="","",G2899-B2899)</f>
        <v/>
      </c>
      <c r="K2899" s="31" t="str">
        <f aca="false">IF(F2899="","",IF(H2899&lt;&gt;"",H2899,MAX('Vade Sapması'!$D$3,G2899)))</f>
        <v/>
      </c>
      <c r="L2899" s="30" t="str">
        <f aca="false">IF(F2899="","",K2899-B2899)</f>
        <v/>
      </c>
      <c r="M2899" s="30" t="str">
        <f aca="false">IF(F2899="","",L2899-J2899)</f>
        <v/>
      </c>
      <c r="N2899" s="32" t="str">
        <f aca="false">IF(F2899="","",IF(H2899&lt;&gt;"","Kapandı",IF('Vade Sapması'!$D$3&gt;G2899,"Açık · vadesi geçti","Açık · vadesi gelmedi")))</f>
        <v/>
      </c>
      <c r="O2899" s="30" t="str">
        <f aca="false">IF(F2899="","",IF(AND(H2899="",'Vade Sapması'!$D$3&gt;G2899),'Vade Sapması'!$D$3-G2899,0))</f>
        <v/>
      </c>
      <c r="P2899" s="33" t="str">
        <f aca="false">IF(F2899="","",F2899*J2899)</f>
        <v/>
      </c>
      <c r="Q2899" s="33" t="str">
        <f aca="false">IF(F2899="","",F2899*L2899)</f>
        <v/>
      </c>
      <c r="R2899" s="33" t="str">
        <f aca="false">IF(F2899="","",IF(H2899="",F2899,0))</f>
        <v/>
      </c>
      <c r="S2899" s="32" t="str">
        <f aca="false">IF(F2899="","",IF(N(O2899)=0,"",IF(O2899&lt;=30,"1-30",IF(O2899&lt;=60,"31-60",IF(O2899&lt;=90,"61-90","90+")))))</f>
        <v/>
      </c>
      <c r="T2899" s="32" t="str">
        <f aca="false">IF(F2899="","",IF(E2899="","Diğer",E2899))</f>
        <v/>
      </c>
      <c r="U2899" s="32" t="str">
        <f aca="false">IF(OR(F2899="",C2899=""),"",IF(COUNTIF($C$2:C2899,C2899)=1,MAX($U$1:U2898)+1,""))</f>
        <v/>
      </c>
    </row>
    <row r="2900" customFormat="false" ht="15" hidden="false" customHeight="false" outlineLevel="0" collapsed="false">
      <c r="A2900" s="34"/>
      <c r="B2900" s="9"/>
      <c r="C2900" s="34"/>
      <c r="D2900" s="34"/>
      <c r="E2900" s="34"/>
      <c r="F2900" s="35"/>
      <c r="G2900" s="9"/>
      <c r="H2900" s="9"/>
      <c r="I2900" s="34"/>
      <c r="J2900" s="30" t="str">
        <f aca="false">IF(F2900="","",G2900-B2900)</f>
        <v/>
      </c>
      <c r="K2900" s="31" t="str">
        <f aca="false">IF(F2900="","",IF(H2900&lt;&gt;"",H2900,MAX('Vade Sapması'!$D$3,G2900)))</f>
        <v/>
      </c>
      <c r="L2900" s="30" t="str">
        <f aca="false">IF(F2900="","",K2900-B2900)</f>
        <v/>
      </c>
      <c r="M2900" s="30" t="str">
        <f aca="false">IF(F2900="","",L2900-J2900)</f>
        <v/>
      </c>
      <c r="N2900" s="32" t="str">
        <f aca="false">IF(F2900="","",IF(H2900&lt;&gt;"","Kapandı",IF('Vade Sapması'!$D$3&gt;G2900,"Açık · vadesi geçti","Açık · vadesi gelmedi")))</f>
        <v/>
      </c>
      <c r="O2900" s="30" t="str">
        <f aca="false">IF(F2900="","",IF(AND(H2900="",'Vade Sapması'!$D$3&gt;G2900),'Vade Sapması'!$D$3-G2900,0))</f>
        <v/>
      </c>
      <c r="P2900" s="33" t="str">
        <f aca="false">IF(F2900="","",F2900*J2900)</f>
        <v/>
      </c>
      <c r="Q2900" s="33" t="str">
        <f aca="false">IF(F2900="","",F2900*L2900)</f>
        <v/>
      </c>
      <c r="R2900" s="33" t="str">
        <f aca="false">IF(F2900="","",IF(H2900="",F2900,0))</f>
        <v/>
      </c>
      <c r="S2900" s="32" t="str">
        <f aca="false">IF(F2900="","",IF(N(O2900)=0,"",IF(O2900&lt;=30,"1-30",IF(O2900&lt;=60,"31-60",IF(O2900&lt;=90,"61-90","90+")))))</f>
        <v/>
      </c>
      <c r="T2900" s="32" t="str">
        <f aca="false">IF(F2900="","",IF(E2900="","Diğer",E2900))</f>
        <v/>
      </c>
      <c r="U2900" s="32" t="str">
        <f aca="false">IF(OR(F2900="",C2900=""),"",IF(COUNTIF($C$2:C2900,C2900)=1,MAX($U$1:U2899)+1,""))</f>
        <v/>
      </c>
    </row>
    <row r="2901" customFormat="false" ht="15" hidden="false" customHeight="false" outlineLevel="0" collapsed="false">
      <c r="A2901" s="34"/>
      <c r="B2901" s="9"/>
      <c r="C2901" s="34"/>
      <c r="D2901" s="34"/>
      <c r="E2901" s="34"/>
      <c r="F2901" s="35"/>
      <c r="G2901" s="9"/>
      <c r="H2901" s="9"/>
      <c r="I2901" s="34"/>
      <c r="J2901" s="30" t="str">
        <f aca="false">IF(F2901="","",G2901-B2901)</f>
        <v/>
      </c>
      <c r="K2901" s="31" t="str">
        <f aca="false">IF(F2901="","",IF(H2901&lt;&gt;"",H2901,MAX('Vade Sapması'!$D$3,G2901)))</f>
        <v/>
      </c>
      <c r="L2901" s="30" t="str">
        <f aca="false">IF(F2901="","",K2901-B2901)</f>
        <v/>
      </c>
      <c r="M2901" s="30" t="str">
        <f aca="false">IF(F2901="","",L2901-J2901)</f>
        <v/>
      </c>
      <c r="N2901" s="32" t="str">
        <f aca="false">IF(F2901="","",IF(H2901&lt;&gt;"","Kapandı",IF('Vade Sapması'!$D$3&gt;G2901,"Açık · vadesi geçti","Açık · vadesi gelmedi")))</f>
        <v/>
      </c>
      <c r="O2901" s="30" t="str">
        <f aca="false">IF(F2901="","",IF(AND(H2901="",'Vade Sapması'!$D$3&gt;G2901),'Vade Sapması'!$D$3-G2901,0))</f>
        <v/>
      </c>
      <c r="P2901" s="33" t="str">
        <f aca="false">IF(F2901="","",F2901*J2901)</f>
        <v/>
      </c>
      <c r="Q2901" s="33" t="str">
        <f aca="false">IF(F2901="","",F2901*L2901)</f>
        <v/>
      </c>
      <c r="R2901" s="33" t="str">
        <f aca="false">IF(F2901="","",IF(H2901="",F2901,0))</f>
        <v/>
      </c>
      <c r="S2901" s="32" t="str">
        <f aca="false">IF(F2901="","",IF(N(O2901)=0,"",IF(O2901&lt;=30,"1-30",IF(O2901&lt;=60,"31-60",IF(O2901&lt;=90,"61-90","90+")))))</f>
        <v/>
      </c>
      <c r="T2901" s="32" t="str">
        <f aca="false">IF(F2901="","",IF(E2901="","Diğer",E2901))</f>
        <v/>
      </c>
      <c r="U2901" s="32" t="str">
        <f aca="false">IF(OR(F2901="",C2901=""),"",IF(COUNTIF($C$2:C2901,C2901)=1,MAX($U$1:U2900)+1,""))</f>
        <v/>
      </c>
    </row>
    <row r="2902" customFormat="false" ht="15" hidden="false" customHeight="false" outlineLevel="0" collapsed="false">
      <c r="A2902" s="34"/>
      <c r="B2902" s="9"/>
      <c r="C2902" s="34"/>
      <c r="D2902" s="34"/>
      <c r="E2902" s="34"/>
      <c r="F2902" s="35"/>
      <c r="G2902" s="9"/>
      <c r="H2902" s="9"/>
      <c r="I2902" s="34"/>
      <c r="J2902" s="30" t="str">
        <f aca="false">IF(F2902="","",G2902-B2902)</f>
        <v/>
      </c>
      <c r="K2902" s="31" t="str">
        <f aca="false">IF(F2902="","",IF(H2902&lt;&gt;"",H2902,MAX('Vade Sapması'!$D$3,G2902)))</f>
        <v/>
      </c>
      <c r="L2902" s="30" t="str">
        <f aca="false">IF(F2902="","",K2902-B2902)</f>
        <v/>
      </c>
      <c r="M2902" s="30" t="str">
        <f aca="false">IF(F2902="","",L2902-J2902)</f>
        <v/>
      </c>
      <c r="N2902" s="32" t="str">
        <f aca="false">IF(F2902="","",IF(H2902&lt;&gt;"","Kapandı",IF('Vade Sapması'!$D$3&gt;G2902,"Açık · vadesi geçti","Açık · vadesi gelmedi")))</f>
        <v/>
      </c>
      <c r="O2902" s="30" t="str">
        <f aca="false">IF(F2902="","",IF(AND(H2902="",'Vade Sapması'!$D$3&gt;G2902),'Vade Sapması'!$D$3-G2902,0))</f>
        <v/>
      </c>
      <c r="P2902" s="33" t="str">
        <f aca="false">IF(F2902="","",F2902*J2902)</f>
        <v/>
      </c>
      <c r="Q2902" s="33" t="str">
        <f aca="false">IF(F2902="","",F2902*L2902)</f>
        <v/>
      </c>
      <c r="R2902" s="33" t="str">
        <f aca="false">IF(F2902="","",IF(H2902="",F2902,0))</f>
        <v/>
      </c>
      <c r="S2902" s="32" t="str">
        <f aca="false">IF(F2902="","",IF(N(O2902)=0,"",IF(O2902&lt;=30,"1-30",IF(O2902&lt;=60,"31-60",IF(O2902&lt;=90,"61-90","90+")))))</f>
        <v/>
      </c>
      <c r="T2902" s="32" t="str">
        <f aca="false">IF(F2902="","",IF(E2902="","Diğer",E2902))</f>
        <v/>
      </c>
      <c r="U2902" s="32" t="str">
        <f aca="false">IF(OR(F2902="",C2902=""),"",IF(COUNTIF($C$2:C2902,C2902)=1,MAX($U$1:U2901)+1,""))</f>
        <v/>
      </c>
    </row>
    <row r="2903" customFormat="false" ht="15" hidden="false" customHeight="false" outlineLevel="0" collapsed="false">
      <c r="A2903" s="34"/>
      <c r="B2903" s="9"/>
      <c r="C2903" s="34"/>
      <c r="D2903" s="34"/>
      <c r="E2903" s="34"/>
      <c r="F2903" s="35"/>
      <c r="G2903" s="9"/>
      <c r="H2903" s="9"/>
      <c r="I2903" s="34"/>
      <c r="J2903" s="30" t="str">
        <f aca="false">IF(F2903="","",G2903-B2903)</f>
        <v/>
      </c>
      <c r="K2903" s="31" t="str">
        <f aca="false">IF(F2903="","",IF(H2903&lt;&gt;"",H2903,MAX('Vade Sapması'!$D$3,G2903)))</f>
        <v/>
      </c>
      <c r="L2903" s="30" t="str">
        <f aca="false">IF(F2903="","",K2903-B2903)</f>
        <v/>
      </c>
      <c r="M2903" s="30" t="str">
        <f aca="false">IF(F2903="","",L2903-J2903)</f>
        <v/>
      </c>
      <c r="N2903" s="32" t="str">
        <f aca="false">IF(F2903="","",IF(H2903&lt;&gt;"","Kapandı",IF('Vade Sapması'!$D$3&gt;G2903,"Açık · vadesi geçti","Açık · vadesi gelmedi")))</f>
        <v/>
      </c>
      <c r="O2903" s="30" t="str">
        <f aca="false">IF(F2903="","",IF(AND(H2903="",'Vade Sapması'!$D$3&gt;G2903),'Vade Sapması'!$D$3-G2903,0))</f>
        <v/>
      </c>
      <c r="P2903" s="33" t="str">
        <f aca="false">IF(F2903="","",F2903*J2903)</f>
        <v/>
      </c>
      <c r="Q2903" s="33" t="str">
        <f aca="false">IF(F2903="","",F2903*L2903)</f>
        <v/>
      </c>
      <c r="R2903" s="33" t="str">
        <f aca="false">IF(F2903="","",IF(H2903="",F2903,0))</f>
        <v/>
      </c>
      <c r="S2903" s="32" t="str">
        <f aca="false">IF(F2903="","",IF(N(O2903)=0,"",IF(O2903&lt;=30,"1-30",IF(O2903&lt;=60,"31-60",IF(O2903&lt;=90,"61-90","90+")))))</f>
        <v/>
      </c>
      <c r="T2903" s="32" t="str">
        <f aca="false">IF(F2903="","",IF(E2903="","Diğer",E2903))</f>
        <v/>
      </c>
      <c r="U2903" s="32" t="str">
        <f aca="false">IF(OR(F2903="",C2903=""),"",IF(COUNTIF($C$2:C2903,C2903)=1,MAX($U$1:U2902)+1,""))</f>
        <v/>
      </c>
    </row>
    <row r="2904" customFormat="false" ht="15" hidden="false" customHeight="false" outlineLevel="0" collapsed="false">
      <c r="A2904" s="34"/>
      <c r="B2904" s="9"/>
      <c r="C2904" s="34"/>
      <c r="D2904" s="34"/>
      <c r="E2904" s="34"/>
      <c r="F2904" s="35"/>
      <c r="G2904" s="9"/>
      <c r="H2904" s="9"/>
      <c r="I2904" s="34"/>
      <c r="J2904" s="30" t="str">
        <f aca="false">IF(F2904="","",G2904-B2904)</f>
        <v/>
      </c>
      <c r="K2904" s="31" t="str">
        <f aca="false">IF(F2904="","",IF(H2904&lt;&gt;"",H2904,MAX('Vade Sapması'!$D$3,G2904)))</f>
        <v/>
      </c>
      <c r="L2904" s="30" t="str">
        <f aca="false">IF(F2904="","",K2904-B2904)</f>
        <v/>
      </c>
      <c r="M2904" s="30" t="str">
        <f aca="false">IF(F2904="","",L2904-J2904)</f>
        <v/>
      </c>
      <c r="N2904" s="32" t="str">
        <f aca="false">IF(F2904="","",IF(H2904&lt;&gt;"","Kapandı",IF('Vade Sapması'!$D$3&gt;G2904,"Açık · vadesi geçti","Açık · vadesi gelmedi")))</f>
        <v/>
      </c>
      <c r="O2904" s="30" t="str">
        <f aca="false">IF(F2904="","",IF(AND(H2904="",'Vade Sapması'!$D$3&gt;G2904),'Vade Sapması'!$D$3-G2904,0))</f>
        <v/>
      </c>
      <c r="P2904" s="33" t="str">
        <f aca="false">IF(F2904="","",F2904*J2904)</f>
        <v/>
      </c>
      <c r="Q2904" s="33" t="str">
        <f aca="false">IF(F2904="","",F2904*L2904)</f>
        <v/>
      </c>
      <c r="R2904" s="33" t="str">
        <f aca="false">IF(F2904="","",IF(H2904="",F2904,0))</f>
        <v/>
      </c>
      <c r="S2904" s="32" t="str">
        <f aca="false">IF(F2904="","",IF(N(O2904)=0,"",IF(O2904&lt;=30,"1-30",IF(O2904&lt;=60,"31-60",IF(O2904&lt;=90,"61-90","90+")))))</f>
        <v/>
      </c>
      <c r="T2904" s="32" t="str">
        <f aca="false">IF(F2904="","",IF(E2904="","Diğer",E2904))</f>
        <v/>
      </c>
      <c r="U2904" s="32" t="str">
        <f aca="false">IF(OR(F2904="",C2904=""),"",IF(COUNTIF($C$2:C2904,C2904)=1,MAX($U$1:U2903)+1,""))</f>
        <v/>
      </c>
    </row>
    <row r="2905" customFormat="false" ht="15" hidden="false" customHeight="false" outlineLevel="0" collapsed="false">
      <c r="A2905" s="34"/>
      <c r="B2905" s="9"/>
      <c r="C2905" s="34"/>
      <c r="D2905" s="34"/>
      <c r="E2905" s="34"/>
      <c r="F2905" s="35"/>
      <c r="G2905" s="9"/>
      <c r="H2905" s="9"/>
      <c r="I2905" s="34"/>
      <c r="J2905" s="30" t="str">
        <f aca="false">IF(F2905="","",G2905-B2905)</f>
        <v/>
      </c>
      <c r="K2905" s="31" t="str">
        <f aca="false">IF(F2905="","",IF(H2905&lt;&gt;"",H2905,MAX('Vade Sapması'!$D$3,G2905)))</f>
        <v/>
      </c>
      <c r="L2905" s="30" t="str">
        <f aca="false">IF(F2905="","",K2905-B2905)</f>
        <v/>
      </c>
      <c r="M2905" s="30" t="str">
        <f aca="false">IF(F2905="","",L2905-J2905)</f>
        <v/>
      </c>
      <c r="N2905" s="32" t="str">
        <f aca="false">IF(F2905="","",IF(H2905&lt;&gt;"","Kapandı",IF('Vade Sapması'!$D$3&gt;G2905,"Açık · vadesi geçti","Açık · vadesi gelmedi")))</f>
        <v/>
      </c>
      <c r="O2905" s="30" t="str">
        <f aca="false">IF(F2905="","",IF(AND(H2905="",'Vade Sapması'!$D$3&gt;G2905),'Vade Sapması'!$D$3-G2905,0))</f>
        <v/>
      </c>
      <c r="P2905" s="33" t="str">
        <f aca="false">IF(F2905="","",F2905*J2905)</f>
        <v/>
      </c>
      <c r="Q2905" s="33" t="str">
        <f aca="false">IF(F2905="","",F2905*L2905)</f>
        <v/>
      </c>
      <c r="R2905" s="33" t="str">
        <f aca="false">IF(F2905="","",IF(H2905="",F2905,0))</f>
        <v/>
      </c>
      <c r="S2905" s="32" t="str">
        <f aca="false">IF(F2905="","",IF(N(O2905)=0,"",IF(O2905&lt;=30,"1-30",IF(O2905&lt;=60,"31-60",IF(O2905&lt;=90,"61-90","90+")))))</f>
        <v/>
      </c>
      <c r="T2905" s="32" t="str">
        <f aca="false">IF(F2905="","",IF(E2905="","Diğer",E2905))</f>
        <v/>
      </c>
      <c r="U2905" s="32" t="str">
        <f aca="false">IF(OR(F2905="",C2905=""),"",IF(COUNTIF($C$2:C2905,C2905)=1,MAX($U$1:U2904)+1,""))</f>
        <v/>
      </c>
    </row>
    <row r="2906" customFormat="false" ht="15" hidden="false" customHeight="false" outlineLevel="0" collapsed="false">
      <c r="A2906" s="34"/>
      <c r="B2906" s="9"/>
      <c r="C2906" s="34"/>
      <c r="D2906" s="34"/>
      <c r="E2906" s="34"/>
      <c r="F2906" s="35"/>
      <c r="G2906" s="9"/>
      <c r="H2906" s="9"/>
      <c r="I2906" s="34"/>
      <c r="J2906" s="30" t="str">
        <f aca="false">IF(F2906="","",G2906-B2906)</f>
        <v/>
      </c>
      <c r="K2906" s="31" t="str">
        <f aca="false">IF(F2906="","",IF(H2906&lt;&gt;"",H2906,MAX('Vade Sapması'!$D$3,G2906)))</f>
        <v/>
      </c>
      <c r="L2906" s="30" t="str">
        <f aca="false">IF(F2906="","",K2906-B2906)</f>
        <v/>
      </c>
      <c r="M2906" s="30" t="str">
        <f aca="false">IF(F2906="","",L2906-J2906)</f>
        <v/>
      </c>
      <c r="N2906" s="32" t="str">
        <f aca="false">IF(F2906="","",IF(H2906&lt;&gt;"","Kapandı",IF('Vade Sapması'!$D$3&gt;G2906,"Açık · vadesi geçti","Açık · vadesi gelmedi")))</f>
        <v/>
      </c>
      <c r="O2906" s="30" t="str">
        <f aca="false">IF(F2906="","",IF(AND(H2906="",'Vade Sapması'!$D$3&gt;G2906),'Vade Sapması'!$D$3-G2906,0))</f>
        <v/>
      </c>
      <c r="P2906" s="33" t="str">
        <f aca="false">IF(F2906="","",F2906*J2906)</f>
        <v/>
      </c>
      <c r="Q2906" s="33" t="str">
        <f aca="false">IF(F2906="","",F2906*L2906)</f>
        <v/>
      </c>
      <c r="R2906" s="33" t="str">
        <f aca="false">IF(F2906="","",IF(H2906="",F2906,0))</f>
        <v/>
      </c>
      <c r="S2906" s="32" t="str">
        <f aca="false">IF(F2906="","",IF(N(O2906)=0,"",IF(O2906&lt;=30,"1-30",IF(O2906&lt;=60,"31-60",IF(O2906&lt;=90,"61-90","90+")))))</f>
        <v/>
      </c>
      <c r="T2906" s="32" t="str">
        <f aca="false">IF(F2906="","",IF(E2906="","Diğer",E2906))</f>
        <v/>
      </c>
      <c r="U2906" s="32" t="str">
        <f aca="false">IF(OR(F2906="",C2906=""),"",IF(COUNTIF($C$2:C2906,C2906)=1,MAX($U$1:U2905)+1,""))</f>
        <v/>
      </c>
    </row>
    <row r="2907" customFormat="false" ht="15" hidden="false" customHeight="false" outlineLevel="0" collapsed="false">
      <c r="A2907" s="34"/>
      <c r="B2907" s="9"/>
      <c r="C2907" s="34"/>
      <c r="D2907" s="34"/>
      <c r="E2907" s="34"/>
      <c r="F2907" s="35"/>
      <c r="G2907" s="9"/>
      <c r="H2907" s="9"/>
      <c r="I2907" s="34"/>
      <c r="J2907" s="30" t="str">
        <f aca="false">IF(F2907="","",G2907-B2907)</f>
        <v/>
      </c>
      <c r="K2907" s="31" t="str">
        <f aca="false">IF(F2907="","",IF(H2907&lt;&gt;"",H2907,MAX('Vade Sapması'!$D$3,G2907)))</f>
        <v/>
      </c>
      <c r="L2907" s="30" t="str">
        <f aca="false">IF(F2907="","",K2907-B2907)</f>
        <v/>
      </c>
      <c r="M2907" s="30" t="str">
        <f aca="false">IF(F2907="","",L2907-J2907)</f>
        <v/>
      </c>
      <c r="N2907" s="32" t="str">
        <f aca="false">IF(F2907="","",IF(H2907&lt;&gt;"","Kapandı",IF('Vade Sapması'!$D$3&gt;G2907,"Açık · vadesi geçti","Açık · vadesi gelmedi")))</f>
        <v/>
      </c>
      <c r="O2907" s="30" t="str">
        <f aca="false">IF(F2907="","",IF(AND(H2907="",'Vade Sapması'!$D$3&gt;G2907),'Vade Sapması'!$D$3-G2907,0))</f>
        <v/>
      </c>
      <c r="P2907" s="33" t="str">
        <f aca="false">IF(F2907="","",F2907*J2907)</f>
        <v/>
      </c>
      <c r="Q2907" s="33" t="str">
        <f aca="false">IF(F2907="","",F2907*L2907)</f>
        <v/>
      </c>
      <c r="R2907" s="33" t="str">
        <f aca="false">IF(F2907="","",IF(H2907="",F2907,0))</f>
        <v/>
      </c>
      <c r="S2907" s="32" t="str">
        <f aca="false">IF(F2907="","",IF(N(O2907)=0,"",IF(O2907&lt;=30,"1-30",IF(O2907&lt;=60,"31-60",IF(O2907&lt;=90,"61-90","90+")))))</f>
        <v/>
      </c>
      <c r="T2907" s="32" t="str">
        <f aca="false">IF(F2907="","",IF(E2907="","Diğer",E2907))</f>
        <v/>
      </c>
      <c r="U2907" s="32" t="str">
        <f aca="false">IF(OR(F2907="",C2907=""),"",IF(COUNTIF($C$2:C2907,C2907)=1,MAX($U$1:U2906)+1,""))</f>
        <v/>
      </c>
    </row>
    <row r="2908" customFormat="false" ht="15" hidden="false" customHeight="false" outlineLevel="0" collapsed="false">
      <c r="A2908" s="34"/>
      <c r="B2908" s="9"/>
      <c r="C2908" s="34"/>
      <c r="D2908" s="34"/>
      <c r="E2908" s="34"/>
      <c r="F2908" s="35"/>
      <c r="G2908" s="9"/>
      <c r="H2908" s="9"/>
      <c r="I2908" s="34"/>
      <c r="J2908" s="30" t="str">
        <f aca="false">IF(F2908="","",G2908-B2908)</f>
        <v/>
      </c>
      <c r="K2908" s="31" t="str">
        <f aca="false">IF(F2908="","",IF(H2908&lt;&gt;"",H2908,MAX('Vade Sapması'!$D$3,G2908)))</f>
        <v/>
      </c>
      <c r="L2908" s="30" t="str">
        <f aca="false">IF(F2908="","",K2908-B2908)</f>
        <v/>
      </c>
      <c r="M2908" s="30" t="str">
        <f aca="false">IF(F2908="","",L2908-J2908)</f>
        <v/>
      </c>
      <c r="N2908" s="32" t="str">
        <f aca="false">IF(F2908="","",IF(H2908&lt;&gt;"","Kapandı",IF('Vade Sapması'!$D$3&gt;G2908,"Açık · vadesi geçti","Açık · vadesi gelmedi")))</f>
        <v/>
      </c>
      <c r="O2908" s="30" t="str">
        <f aca="false">IF(F2908="","",IF(AND(H2908="",'Vade Sapması'!$D$3&gt;G2908),'Vade Sapması'!$D$3-G2908,0))</f>
        <v/>
      </c>
      <c r="P2908" s="33" t="str">
        <f aca="false">IF(F2908="","",F2908*J2908)</f>
        <v/>
      </c>
      <c r="Q2908" s="33" t="str">
        <f aca="false">IF(F2908="","",F2908*L2908)</f>
        <v/>
      </c>
      <c r="R2908" s="33" t="str">
        <f aca="false">IF(F2908="","",IF(H2908="",F2908,0))</f>
        <v/>
      </c>
      <c r="S2908" s="32" t="str">
        <f aca="false">IF(F2908="","",IF(N(O2908)=0,"",IF(O2908&lt;=30,"1-30",IF(O2908&lt;=60,"31-60",IF(O2908&lt;=90,"61-90","90+")))))</f>
        <v/>
      </c>
      <c r="T2908" s="32" t="str">
        <f aca="false">IF(F2908="","",IF(E2908="","Diğer",E2908))</f>
        <v/>
      </c>
      <c r="U2908" s="32" t="str">
        <f aca="false">IF(OR(F2908="",C2908=""),"",IF(COUNTIF($C$2:C2908,C2908)=1,MAX($U$1:U2907)+1,""))</f>
        <v/>
      </c>
    </row>
    <row r="2909" customFormat="false" ht="15" hidden="false" customHeight="false" outlineLevel="0" collapsed="false">
      <c r="A2909" s="34"/>
      <c r="B2909" s="9"/>
      <c r="C2909" s="34"/>
      <c r="D2909" s="34"/>
      <c r="E2909" s="34"/>
      <c r="F2909" s="35"/>
      <c r="G2909" s="9"/>
      <c r="H2909" s="9"/>
      <c r="I2909" s="34"/>
      <c r="J2909" s="30" t="str">
        <f aca="false">IF(F2909="","",G2909-B2909)</f>
        <v/>
      </c>
      <c r="K2909" s="31" t="str">
        <f aca="false">IF(F2909="","",IF(H2909&lt;&gt;"",H2909,MAX('Vade Sapması'!$D$3,G2909)))</f>
        <v/>
      </c>
      <c r="L2909" s="30" t="str">
        <f aca="false">IF(F2909="","",K2909-B2909)</f>
        <v/>
      </c>
      <c r="M2909" s="30" t="str">
        <f aca="false">IF(F2909="","",L2909-J2909)</f>
        <v/>
      </c>
      <c r="N2909" s="32" t="str">
        <f aca="false">IF(F2909="","",IF(H2909&lt;&gt;"","Kapandı",IF('Vade Sapması'!$D$3&gt;G2909,"Açık · vadesi geçti","Açık · vadesi gelmedi")))</f>
        <v/>
      </c>
      <c r="O2909" s="30" t="str">
        <f aca="false">IF(F2909="","",IF(AND(H2909="",'Vade Sapması'!$D$3&gt;G2909),'Vade Sapması'!$D$3-G2909,0))</f>
        <v/>
      </c>
      <c r="P2909" s="33" t="str">
        <f aca="false">IF(F2909="","",F2909*J2909)</f>
        <v/>
      </c>
      <c r="Q2909" s="33" t="str">
        <f aca="false">IF(F2909="","",F2909*L2909)</f>
        <v/>
      </c>
      <c r="R2909" s="33" t="str">
        <f aca="false">IF(F2909="","",IF(H2909="",F2909,0))</f>
        <v/>
      </c>
      <c r="S2909" s="32" t="str">
        <f aca="false">IF(F2909="","",IF(N(O2909)=0,"",IF(O2909&lt;=30,"1-30",IF(O2909&lt;=60,"31-60",IF(O2909&lt;=90,"61-90","90+")))))</f>
        <v/>
      </c>
      <c r="T2909" s="32" t="str">
        <f aca="false">IF(F2909="","",IF(E2909="","Diğer",E2909))</f>
        <v/>
      </c>
      <c r="U2909" s="32" t="str">
        <f aca="false">IF(OR(F2909="",C2909=""),"",IF(COUNTIF($C$2:C2909,C2909)=1,MAX($U$1:U2908)+1,""))</f>
        <v/>
      </c>
    </row>
    <row r="2910" customFormat="false" ht="15" hidden="false" customHeight="false" outlineLevel="0" collapsed="false">
      <c r="A2910" s="34"/>
      <c r="B2910" s="9"/>
      <c r="C2910" s="34"/>
      <c r="D2910" s="34"/>
      <c r="E2910" s="34"/>
      <c r="F2910" s="35"/>
      <c r="G2910" s="9"/>
      <c r="H2910" s="9"/>
      <c r="I2910" s="34"/>
      <c r="J2910" s="30" t="str">
        <f aca="false">IF(F2910="","",G2910-B2910)</f>
        <v/>
      </c>
      <c r="K2910" s="31" t="str">
        <f aca="false">IF(F2910="","",IF(H2910&lt;&gt;"",H2910,MAX('Vade Sapması'!$D$3,G2910)))</f>
        <v/>
      </c>
      <c r="L2910" s="30" t="str">
        <f aca="false">IF(F2910="","",K2910-B2910)</f>
        <v/>
      </c>
      <c r="M2910" s="30" t="str">
        <f aca="false">IF(F2910="","",L2910-J2910)</f>
        <v/>
      </c>
      <c r="N2910" s="32" t="str">
        <f aca="false">IF(F2910="","",IF(H2910&lt;&gt;"","Kapandı",IF('Vade Sapması'!$D$3&gt;G2910,"Açık · vadesi geçti","Açık · vadesi gelmedi")))</f>
        <v/>
      </c>
      <c r="O2910" s="30" t="str">
        <f aca="false">IF(F2910="","",IF(AND(H2910="",'Vade Sapması'!$D$3&gt;G2910),'Vade Sapması'!$D$3-G2910,0))</f>
        <v/>
      </c>
      <c r="P2910" s="33" t="str">
        <f aca="false">IF(F2910="","",F2910*J2910)</f>
        <v/>
      </c>
      <c r="Q2910" s="33" t="str">
        <f aca="false">IF(F2910="","",F2910*L2910)</f>
        <v/>
      </c>
      <c r="R2910" s="33" t="str">
        <f aca="false">IF(F2910="","",IF(H2910="",F2910,0))</f>
        <v/>
      </c>
      <c r="S2910" s="32" t="str">
        <f aca="false">IF(F2910="","",IF(N(O2910)=0,"",IF(O2910&lt;=30,"1-30",IF(O2910&lt;=60,"31-60",IF(O2910&lt;=90,"61-90","90+")))))</f>
        <v/>
      </c>
      <c r="T2910" s="32" t="str">
        <f aca="false">IF(F2910="","",IF(E2910="","Diğer",E2910))</f>
        <v/>
      </c>
      <c r="U2910" s="32" t="str">
        <f aca="false">IF(OR(F2910="",C2910=""),"",IF(COUNTIF($C$2:C2910,C2910)=1,MAX($U$1:U2909)+1,""))</f>
        <v/>
      </c>
    </row>
    <row r="2911" customFormat="false" ht="15" hidden="false" customHeight="false" outlineLevel="0" collapsed="false">
      <c r="A2911" s="34"/>
      <c r="B2911" s="9"/>
      <c r="C2911" s="34"/>
      <c r="D2911" s="34"/>
      <c r="E2911" s="34"/>
      <c r="F2911" s="35"/>
      <c r="G2911" s="9"/>
      <c r="H2911" s="9"/>
      <c r="I2911" s="34"/>
      <c r="J2911" s="30" t="str">
        <f aca="false">IF(F2911="","",G2911-B2911)</f>
        <v/>
      </c>
      <c r="K2911" s="31" t="str">
        <f aca="false">IF(F2911="","",IF(H2911&lt;&gt;"",H2911,MAX('Vade Sapması'!$D$3,G2911)))</f>
        <v/>
      </c>
      <c r="L2911" s="30" t="str">
        <f aca="false">IF(F2911="","",K2911-B2911)</f>
        <v/>
      </c>
      <c r="M2911" s="30" t="str">
        <f aca="false">IF(F2911="","",L2911-J2911)</f>
        <v/>
      </c>
      <c r="N2911" s="32" t="str">
        <f aca="false">IF(F2911="","",IF(H2911&lt;&gt;"","Kapandı",IF('Vade Sapması'!$D$3&gt;G2911,"Açık · vadesi geçti","Açık · vadesi gelmedi")))</f>
        <v/>
      </c>
      <c r="O2911" s="30" t="str">
        <f aca="false">IF(F2911="","",IF(AND(H2911="",'Vade Sapması'!$D$3&gt;G2911),'Vade Sapması'!$D$3-G2911,0))</f>
        <v/>
      </c>
      <c r="P2911" s="33" t="str">
        <f aca="false">IF(F2911="","",F2911*J2911)</f>
        <v/>
      </c>
      <c r="Q2911" s="33" t="str">
        <f aca="false">IF(F2911="","",F2911*L2911)</f>
        <v/>
      </c>
      <c r="R2911" s="33" t="str">
        <f aca="false">IF(F2911="","",IF(H2911="",F2911,0))</f>
        <v/>
      </c>
      <c r="S2911" s="32" t="str">
        <f aca="false">IF(F2911="","",IF(N(O2911)=0,"",IF(O2911&lt;=30,"1-30",IF(O2911&lt;=60,"31-60",IF(O2911&lt;=90,"61-90","90+")))))</f>
        <v/>
      </c>
      <c r="T2911" s="32" t="str">
        <f aca="false">IF(F2911="","",IF(E2911="","Diğer",E2911))</f>
        <v/>
      </c>
      <c r="U2911" s="32" t="str">
        <f aca="false">IF(OR(F2911="",C2911=""),"",IF(COUNTIF($C$2:C2911,C2911)=1,MAX($U$1:U2910)+1,""))</f>
        <v/>
      </c>
    </row>
    <row r="2912" customFormat="false" ht="15" hidden="false" customHeight="false" outlineLevel="0" collapsed="false">
      <c r="A2912" s="34"/>
      <c r="B2912" s="9"/>
      <c r="C2912" s="34"/>
      <c r="D2912" s="34"/>
      <c r="E2912" s="34"/>
      <c r="F2912" s="35"/>
      <c r="G2912" s="9"/>
      <c r="H2912" s="9"/>
      <c r="I2912" s="34"/>
      <c r="J2912" s="30" t="str">
        <f aca="false">IF(F2912="","",G2912-B2912)</f>
        <v/>
      </c>
      <c r="K2912" s="31" t="str">
        <f aca="false">IF(F2912="","",IF(H2912&lt;&gt;"",H2912,MAX('Vade Sapması'!$D$3,G2912)))</f>
        <v/>
      </c>
      <c r="L2912" s="30" t="str">
        <f aca="false">IF(F2912="","",K2912-B2912)</f>
        <v/>
      </c>
      <c r="M2912" s="30" t="str">
        <f aca="false">IF(F2912="","",L2912-J2912)</f>
        <v/>
      </c>
      <c r="N2912" s="32" t="str">
        <f aca="false">IF(F2912="","",IF(H2912&lt;&gt;"","Kapandı",IF('Vade Sapması'!$D$3&gt;G2912,"Açık · vadesi geçti","Açık · vadesi gelmedi")))</f>
        <v/>
      </c>
      <c r="O2912" s="30" t="str">
        <f aca="false">IF(F2912="","",IF(AND(H2912="",'Vade Sapması'!$D$3&gt;G2912),'Vade Sapması'!$D$3-G2912,0))</f>
        <v/>
      </c>
      <c r="P2912" s="33" t="str">
        <f aca="false">IF(F2912="","",F2912*J2912)</f>
        <v/>
      </c>
      <c r="Q2912" s="33" t="str">
        <f aca="false">IF(F2912="","",F2912*L2912)</f>
        <v/>
      </c>
      <c r="R2912" s="33" t="str">
        <f aca="false">IF(F2912="","",IF(H2912="",F2912,0))</f>
        <v/>
      </c>
      <c r="S2912" s="32" t="str">
        <f aca="false">IF(F2912="","",IF(N(O2912)=0,"",IF(O2912&lt;=30,"1-30",IF(O2912&lt;=60,"31-60",IF(O2912&lt;=90,"61-90","90+")))))</f>
        <v/>
      </c>
      <c r="T2912" s="32" t="str">
        <f aca="false">IF(F2912="","",IF(E2912="","Diğer",E2912))</f>
        <v/>
      </c>
      <c r="U2912" s="32" t="str">
        <f aca="false">IF(OR(F2912="",C2912=""),"",IF(COUNTIF($C$2:C2912,C2912)=1,MAX($U$1:U2911)+1,""))</f>
        <v/>
      </c>
    </row>
    <row r="2913" customFormat="false" ht="15" hidden="false" customHeight="false" outlineLevel="0" collapsed="false">
      <c r="A2913" s="34"/>
      <c r="B2913" s="9"/>
      <c r="C2913" s="34"/>
      <c r="D2913" s="34"/>
      <c r="E2913" s="34"/>
      <c r="F2913" s="35"/>
      <c r="G2913" s="9"/>
      <c r="H2913" s="9"/>
      <c r="I2913" s="34"/>
      <c r="J2913" s="30" t="str">
        <f aca="false">IF(F2913="","",G2913-B2913)</f>
        <v/>
      </c>
      <c r="K2913" s="31" t="str">
        <f aca="false">IF(F2913="","",IF(H2913&lt;&gt;"",H2913,MAX('Vade Sapması'!$D$3,G2913)))</f>
        <v/>
      </c>
      <c r="L2913" s="30" t="str">
        <f aca="false">IF(F2913="","",K2913-B2913)</f>
        <v/>
      </c>
      <c r="M2913" s="30" t="str">
        <f aca="false">IF(F2913="","",L2913-J2913)</f>
        <v/>
      </c>
      <c r="N2913" s="32" t="str">
        <f aca="false">IF(F2913="","",IF(H2913&lt;&gt;"","Kapandı",IF('Vade Sapması'!$D$3&gt;G2913,"Açık · vadesi geçti","Açık · vadesi gelmedi")))</f>
        <v/>
      </c>
      <c r="O2913" s="30" t="str">
        <f aca="false">IF(F2913="","",IF(AND(H2913="",'Vade Sapması'!$D$3&gt;G2913),'Vade Sapması'!$D$3-G2913,0))</f>
        <v/>
      </c>
      <c r="P2913" s="33" t="str">
        <f aca="false">IF(F2913="","",F2913*J2913)</f>
        <v/>
      </c>
      <c r="Q2913" s="33" t="str">
        <f aca="false">IF(F2913="","",F2913*L2913)</f>
        <v/>
      </c>
      <c r="R2913" s="33" t="str">
        <f aca="false">IF(F2913="","",IF(H2913="",F2913,0))</f>
        <v/>
      </c>
      <c r="S2913" s="32" t="str">
        <f aca="false">IF(F2913="","",IF(N(O2913)=0,"",IF(O2913&lt;=30,"1-30",IF(O2913&lt;=60,"31-60",IF(O2913&lt;=90,"61-90","90+")))))</f>
        <v/>
      </c>
      <c r="T2913" s="32" t="str">
        <f aca="false">IF(F2913="","",IF(E2913="","Diğer",E2913))</f>
        <v/>
      </c>
      <c r="U2913" s="32" t="str">
        <f aca="false">IF(OR(F2913="",C2913=""),"",IF(COUNTIF($C$2:C2913,C2913)=1,MAX($U$1:U2912)+1,""))</f>
        <v/>
      </c>
    </row>
    <row r="2914" customFormat="false" ht="15" hidden="false" customHeight="false" outlineLevel="0" collapsed="false">
      <c r="A2914" s="34"/>
      <c r="B2914" s="9"/>
      <c r="C2914" s="34"/>
      <c r="D2914" s="34"/>
      <c r="E2914" s="34"/>
      <c r="F2914" s="35"/>
      <c r="G2914" s="9"/>
      <c r="H2914" s="9"/>
      <c r="I2914" s="34"/>
      <c r="J2914" s="30" t="str">
        <f aca="false">IF(F2914="","",G2914-B2914)</f>
        <v/>
      </c>
      <c r="K2914" s="31" t="str">
        <f aca="false">IF(F2914="","",IF(H2914&lt;&gt;"",H2914,MAX('Vade Sapması'!$D$3,G2914)))</f>
        <v/>
      </c>
      <c r="L2914" s="30" t="str">
        <f aca="false">IF(F2914="","",K2914-B2914)</f>
        <v/>
      </c>
      <c r="M2914" s="30" t="str">
        <f aca="false">IF(F2914="","",L2914-J2914)</f>
        <v/>
      </c>
      <c r="N2914" s="32" t="str">
        <f aca="false">IF(F2914="","",IF(H2914&lt;&gt;"","Kapandı",IF('Vade Sapması'!$D$3&gt;G2914,"Açık · vadesi geçti","Açık · vadesi gelmedi")))</f>
        <v/>
      </c>
      <c r="O2914" s="30" t="str">
        <f aca="false">IF(F2914="","",IF(AND(H2914="",'Vade Sapması'!$D$3&gt;G2914),'Vade Sapması'!$D$3-G2914,0))</f>
        <v/>
      </c>
      <c r="P2914" s="33" t="str">
        <f aca="false">IF(F2914="","",F2914*J2914)</f>
        <v/>
      </c>
      <c r="Q2914" s="33" t="str">
        <f aca="false">IF(F2914="","",F2914*L2914)</f>
        <v/>
      </c>
      <c r="R2914" s="33" t="str">
        <f aca="false">IF(F2914="","",IF(H2914="",F2914,0))</f>
        <v/>
      </c>
      <c r="S2914" s="32" t="str">
        <f aca="false">IF(F2914="","",IF(N(O2914)=0,"",IF(O2914&lt;=30,"1-30",IF(O2914&lt;=60,"31-60",IF(O2914&lt;=90,"61-90","90+")))))</f>
        <v/>
      </c>
      <c r="T2914" s="32" t="str">
        <f aca="false">IF(F2914="","",IF(E2914="","Diğer",E2914))</f>
        <v/>
      </c>
      <c r="U2914" s="32" t="str">
        <f aca="false">IF(OR(F2914="",C2914=""),"",IF(COUNTIF($C$2:C2914,C2914)=1,MAX($U$1:U2913)+1,""))</f>
        <v/>
      </c>
    </row>
    <row r="2915" customFormat="false" ht="15" hidden="false" customHeight="false" outlineLevel="0" collapsed="false">
      <c r="A2915" s="34"/>
      <c r="B2915" s="9"/>
      <c r="C2915" s="34"/>
      <c r="D2915" s="34"/>
      <c r="E2915" s="34"/>
      <c r="F2915" s="35"/>
      <c r="G2915" s="9"/>
      <c r="H2915" s="9"/>
      <c r="I2915" s="34"/>
      <c r="J2915" s="30" t="str">
        <f aca="false">IF(F2915="","",G2915-B2915)</f>
        <v/>
      </c>
      <c r="K2915" s="31" t="str">
        <f aca="false">IF(F2915="","",IF(H2915&lt;&gt;"",H2915,MAX('Vade Sapması'!$D$3,G2915)))</f>
        <v/>
      </c>
      <c r="L2915" s="30" t="str">
        <f aca="false">IF(F2915="","",K2915-B2915)</f>
        <v/>
      </c>
      <c r="M2915" s="30" t="str">
        <f aca="false">IF(F2915="","",L2915-J2915)</f>
        <v/>
      </c>
      <c r="N2915" s="32" t="str">
        <f aca="false">IF(F2915="","",IF(H2915&lt;&gt;"","Kapandı",IF('Vade Sapması'!$D$3&gt;G2915,"Açık · vadesi geçti","Açık · vadesi gelmedi")))</f>
        <v/>
      </c>
      <c r="O2915" s="30" t="str">
        <f aca="false">IF(F2915="","",IF(AND(H2915="",'Vade Sapması'!$D$3&gt;G2915),'Vade Sapması'!$D$3-G2915,0))</f>
        <v/>
      </c>
      <c r="P2915" s="33" t="str">
        <f aca="false">IF(F2915="","",F2915*J2915)</f>
        <v/>
      </c>
      <c r="Q2915" s="33" t="str">
        <f aca="false">IF(F2915="","",F2915*L2915)</f>
        <v/>
      </c>
      <c r="R2915" s="33" t="str">
        <f aca="false">IF(F2915="","",IF(H2915="",F2915,0))</f>
        <v/>
      </c>
      <c r="S2915" s="32" t="str">
        <f aca="false">IF(F2915="","",IF(N(O2915)=0,"",IF(O2915&lt;=30,"1-30",IF(O2915&lt;=60,"31-60",IF(O2915&lt;=90,"61-90","90+")))))</f>
        <v/>
      </c>
      <c r="T2915" s="32" t="str">
        <f aca="false">IF(F2915="","",IF(E2915="","Diğer",E2915))</f>
        <v/>
      </c>
      <c r="U2915" s="32" t="str">
        <f aca="false">IF(OR(F2915="",C2915=""),"",IF(COUNTIF($C$2:C2915,C2915)=1,MAX($U$1:U2914)+1,""))</f>
        <v/>
      </c>
    </row>
    <row r="2916" customFormat="false" ht="15" hidden="false" customHeight="false" outlineLevel="0" collapsed="false">
      <c r="A2916" s="34"/>
      <c r="B2916" s="9"/>
      <c r="C2916" s="34"/>
      <c r="D2916" s="34"/>
      <c r="E2916" s="34"/>
      <c r="F2916" s="35"/>
      <c r="G2916" s="9"/>
      <c r="H2916" s="9"/>
      <c r="I2916" s="34"/>
      <c r="J2916" s="30" t="str">
        <f aca="false">IF(F2916="","",G2916-B2916)</f>
        <v/>
      </c>
      <c r="K2916" s="31" t="str">
        <f aca="false">IF(F2916="","",IF(H2916&lt;&gt;"",H2916,MAX('Vade Sapması'!$D$3,G2916)))</f>
        <v/>
      </c>
      <c r="L2916" s="30" t="str">
        <f aca="false">IF(F2916="","",K2916-B2916)</f>
        <v/>
      </c>
      <c r="M2916" s="30" t="str">
        <f aca="false">IF(F2916="","",L2916-J2916)</f>
        <v/>
      </c>
      <c r="N2916" s="32" t="str">
        <f aca="false">IF(F2916="","",IF(H2916&lt;&gt;"","Kapandı",IF('Vade Sapması'!$D$3&gt;G2916,"Açık · vadesi geçti","Açık · vadesi gelmedi")))</f>
        <v/>
      </c>
      <c r="O2916" s="30" t="str">
        <f aca="false">IF(F2916="","",IF(AND(H2916="",'Vade Sapması'!$D$3&gt;G2916),'Vade Sapması'!$D$3-G2916,0))</f>
        <v/>
      </c>
      <c r="P2916" s="33" t="str">
        <f aca="false">IF(F2916="","",F2916*J2916)</f>
        <v/>
      </c>
      <c r="Q2916" s="33" t="str">
        <f aca="false">IF(F2916="","",F2916*L2916)</f>
        <v/>
      </c>
      <c r="R2916" s="33" t="str">
        <f aca="false">IF(F2916="","",IF(H2916="",F2916,0))</f>
        <v/>
      </c>
      <c r="S2916" s="32" t="str">
        <f aca="false">IF(F2916="","",IF(N(O2916)=0,"",IF(O2916&lt;=30,"1-30",IF(O2916&lt;=60,"31-60",IF(O2916&lt;=90,"61-90","90+")))))</f>
        <v/>
      </c>
      <c r="T2916" s="32" t="str">
        <f aca="false">IF(F2916="","",IF(E2916="","Diğer",E2916))</f>
        <v/>
      </c>
      <c r="U2916" s="32" t="str">
        <f aca="false">IF(OR(F2916="",C2916=""),"",IF(COUNTIF($C$2:C2916,C2916)=1,MAX($U$1:U2915)+1,""))</f>
        <v/>
      </c>
    </row>
    <row r="2917" customFormat="false" ht="15" hidden="false" customHeight="false" outlineLevel="0" collapsed="false">
      <c r="A2917" s="34"/>
      <c r="B2917" s="9"/>
      <c r="C2917" s="34"/>
      <c r="D2917" s="34"/>
      <c r="E2917" s="34"/>
      <c r="F2917" s="35"/>
      <c r="G2917" s="9"/>
      <c r="H2917" s="9"/>
      <c r="I2917" s="34"/>
      <c r="J2917" s="30" t="str">
        <f aca="false">IF(F2917="","",G2917-B2917)</f>
        <v/>
      </c>
      <c r="K2917" s="31" t="str">
        <f aca="false">IF(F2917="","",IF(H2917&lt;&gt;"",H2917,MAX('Vade Sapması'!$D$3,G2917)))</f>
        <v/>
      </c>
      <c r="L2917" s="30" t="str">
        <f aca="false">IF(F2917="","",K2917-B2917)</f>
        <v/>
      </c>
      <c r="M2917" s="30" t="str">
        <f aca="false">IF(F2917="","",L2917-J2917)</f>
        <v/>
      </c>
      <c r="N2917" s="32" t="str">
        <f aca="false">IF(F2917="","",IF(H2917&lt;&gt;"","Kapandı",IF('Vade Sapması'!$D$3&gt;G2917,"Açık · vadesi geçti","Açık · vadesi gelmedi")))</f>
        <v/>
      </c>
      <c r="O2917" s="30" t="str">
        <f aca="false">IF(F2917="","",IF(AND(H2917="",'Vade Sapması'!$D$3&gt;G2917),'Vade Sapması'!$D$3-G2917,0))</f>
        <v/>
      </c>
      <c r="P2917" s="33" t="str">
        <f aca="false">IF(F2917="","",F2917*J2917)</f>
        <v/>
      </c>
      <c r="Q2917" s="33" t="str">
        <f aca="false">IF(F2917="","",F2917*L2917)</f>
        <v/>
      </c>
      <c r="R2917" s="33" t="str">
        <f aca="false">IF(F2917="","",IF(H2917="",F2917,0))</f>
        <v/>
      </c>
      <c r="S2917" s="32" t="str">
        <f aca="false">IF(F2917="","",IF(N(O2917)=0,"",IF(O2917&lt;=30,"1-30",IF(O2917&lt;=60,"31-60",IF(O2917&lt;=90,"61-90","90+")))))</f>
        <v/>
      </c>
      <c r="T2917" s="32" t="str">
        <f aca="false">IF(F2917="","",IF(E2917="","Diğer",E2917))</f>
        <v/>
      </c>
      <c r="U2917" s="32" t="str">
        <f aca="false">IF(OR(F2917="",C2917=""),"",IF(COUNTIF($C$2:C2917,C2917)=1,MAX($U$1:U2916)+1,""))</f>
        <v/>
      </c>
    </row>
    <row r="2918" customFormat="false" ht="15" hidden="false" customHeight="false" outlineLevel="0" collapsed="false">
      <c r="A2918" s="34"/>
      <c r="B2918" s="9"/>
      <c r="C2918" s="34"/>
      <c r="D2918" s="34"/>
      <c r="E2918" s="34"/>
      <c r="F2918" s="35"/>
      <c r="G2918" s="9"/>
      <c r="H2918" s="9"/>
      <c r="I2918" s="34"/>
      <c r="J2918" s="30" t="str">
        <f aca="false">IF(F2918="","",G2918-B2918)</f>
        <v/>
      </c>
      <c r="K2918" s="31" t="str">
        <f aca="false">IF(F2918="","",IF(H2918&lt;&gt;"",H2918,MAX('Vade Sapması'!$D$3,G2918)))</f>
        <v/>
      </c>
      <c r="L2918" s="30" t="str">
        <f aca="false">IF(F2918="","",K2918-B2918)</f>
        <v/>
      </c>
      <c r="M2918" s="30" t="str">
        <f aca="false">IF(F2918="","",L2918-J2918)</f>
        <v/>
      </c>
      <c r="N2918" s="32" t="str">
        <f aca="false">IF(F2918="","",IF(H2918&lt;&gt;"","Kapandı",IF('Vade Sapması'!$D$3&gt;G2918,"Açık · vadesi geçti","Açık · vadesi gelmedi")))</f>
        <v/>
      </c>
      <c r="O2918" s="30" t="str">
        <f aca="false">IF(F2918="","",IF(AND(H2918="",'Vade Sapması'!$D$3&gt;G2918),'Vade Sapması'!$D$3-G2918,0))</f>
        <v/>
      </c>
      <c r="P2918" s="33" t="str">
        <f aca="false">IF(F2918="","",F2918*J2918)</f>
        <v/>
      </c>
      <c r="Q2918" s="33" t="str">
        <f aca="false">IF(F2918="","",F2918*L2918)</f>
        <v/>
      </c>
      <c r="R2918" s="33" t="str">
        <f aca="false">IF(F2918="","",IF(H2918="",F2918,0))</f>
        <v/>
      </c>
      <c r="S2918" s="32" t="str">
        <f aca="false">IF(F2918="","",IF(N(O2918)=0,"",IF(O2918&lt;=30,"1-30",IF(O2918&lt;=60,"31-60",IF(O2918&lt;=90,"61-90","90+")))))</f>
        <v/>
      </c>
      <c r="T2918" s="32" t="str">
        <f aca="false">IF(F2918="","",IF(E2918="","Diğer",E2918))</f>
        <v/>
      </c>
      <c r="U2918" s="32" t="str">
        <f aca="false">IF(OR(F2918="",C2918=""),"",IF(COUNTIF($C$2:C2918,C2918)=1,MAX($U$1:U2917)+1,""))</f>
        <v/>
      </c>
    </row>
    <row r="2919" customFormat="false" ht="15" hidden="false" customHeight="false" outlineLevel="0" collapsed="false">
      <c r="A2919" s="34"/>
      <c r="B2919" s="9"/>
      <c r="C2919" s="34"/>
      <c r="D2919" s="34"/>
      <c r="E2919" s="34"/>
      <c r="F2919" s="35"/>
      <c r="G2919" s="9"/>
      <c r="H2919" s="9"/>
      <c r="I2919" s="34"/>
      <c r="J2919" s="30" t="str">
        <f aca="false">IF(F2919="","",G2919-B2919)</f>
        <v/>
      </c>
      <c r="K2919" s="31" t="str">
        <f aca="false">IF(F2919="","",IF(H2919&lt;&gt;"",H2919,MAX('Vade Sapması'!$D$3,G2919)))</f>
        <v/>
      </c>
      <c r="L2919" s="30" t="str">
        <f aca="false">IF(F2919="","",K2919-B2919)</f>
        <v/>
      </c>
      <c r="M2919" s="30" t="str">
        <f aca="false">IF(F2919="","",L2919-J2919)</f>
        <v/>
      </c>
      <c r="N2919" s="32" t="str">
        <f aca="false">IF(F2919="","",IF(H2919&lt;&gt;"","Kapandı",IF('Vade Sapması'!$D$3&gt;G2919,"Açık · vadesi geçti","Açık · vadesi gelmedi")))</f>
        <v/>
      </c>
      <c r="O2919" s="30" t="str">
        <f aca="false">IF(F2919="","",IF(AND(H2919="",'Vade Sapması'!$D$3&gt;G2919),'Vade Sapması'!$D$3-G2919,0))</f>
        <v/>
      </c>
      <c r="P2919" s="33" t="str">
        <f aca="false">IF(F2919="","",F2919*J2919)</f>
        <v/>
      </c>
      <c r="Q2919" s="33" t="str">
        <f aca="false">IF(F2919="","",F2919*L2919)</f>
        <v/>
      </c>
      <c r="R2919" s="33" t="str">
        <f aca="false">IF(F2919="","",IF(H2919="",F2919,0))</f>
        <v/>
      </c>
      <c r="S2919" s="32" t="str">
        <f aca="false">IF(F2919="","",IF(N(O2919)=0,"",IF(O2919&lt;=30,"1-30",IF(O2919&lt;=60,"31-60",IF(O2919&lt;=90,"61-90","90+")))))</f>
        <v/>
      </c>
      <c r="T2919" s="32" t="str">
        <f aca="false">IF(F2919="","",IF(E2919="","Diğer",E2919))</f>
        <v/>
      </c>
      <c r="U2919" s="32" t="str">
        <f aca="false">IF(OR(F2919="",C2919=""),"",IF(COUNTIF($C$2:C2919,C2919)=1,MAX($U$1:U2918)+1,""))</f>
        <v/>
      </c>
    </row>
    <row r="2920" customFormat="false" ht="15" hidden="false" customHeight="false" outlineLevel="0" collapsed="false">
      <c r="A2920" s="34"/>
      <c r="B2920" s="9"/>
      <c r="C2920" s="34"/>
      <c r="D2920" s="34"/>
      <c r="E2920" s="34"/>
      <c r="F2920" s="35"/>
      <c r="G2920" s="9"/>
      <c r="H2920" s="9"/>
      <c r="I2920" s="34"/>
      <c r="J2920" s="30" t="str">
        <f aca="false">IF(F2920="","",G2920-B2920)</f>
        <v/>
      </c>
      <c r="K2920" s="31" t="str">
        <f aca="false">IF(F2920="","",IF(H2920&lt;&gt;"",H2920,MAX('Vade Sapması'!$D$3,G2920)))</f>
        <v/>
      </c>
      <c r="L2920" s="30" t="str">
        <f aca="false">IF(F2920="","",K2920-B2920)</f>
        <v/>
      </c>
      <c r="M2920" s="30" t="str">
        <f aca="false">IF(F2920="","",L2920-J2920)</f>
        <v/>
      </c>
      <c r="N2920" s="32" t="str">
        <f aca="false">IF(F2920="","",IF(H2920&lt;&gt;"","Kapandı",IF('Vade Sapması'!$D$3&gt;G2920,"Açık · vadesi geçti","Açık · vadesi gelmedi")))</f>
        <v/>
      </c>
      <c r="O2920" s="30" t="str">
        <f aca="false">IF(F2920="","",IF(AND(H2920="",'Vade Sapması'!$D$3&gt;G2920),'Vade Sapması'!$D$3-G2920,0))</f>
        <v/>
      </c>
      <c r="P2920" s="33" t="str">
        <f aca="false">IF(F2920="","",F2920*J2920)</f>
        <v/>
      </c>
      <c r="Q2920" s="33" t="str">
        <f aca="false">IF(F2920="","",F2920*L2920)</f>
        <v/>
      </c>
      <c r="R2920" s="33" t="str">
        <f aca="false">IF(F2920="","",IF(H2920="",F2920,0))</f>
        <v/>
      </c>
      <c r="S2920" s="32" t="str">
        <f aca="false">IF(F2920="","",IF(N(O2920)=0,"",IF(O2920&lt;=30,"1-30",IF(O2920&lt;=60,"31-60",IF(O2920&lt;=90,"61-90","90+")))))</f>
        <v/>
      </c>
      <c r="T2920" s="32" t="str">
        <f aca="false">IF(F2920="","",IF(E2920="","Diğer",E2920))</f>
        <v/>
      </c>
      <c r="U2920" s="32" t="str">
        <f aca="false">IF(OR(F2920="",C2920=""),"",IF(COUNTIF($C$2:C2920,C2920)=1,MAX($U$1:U2919)+1,""))</f>
        <v/>
      </c>
    </row>
    <row r="2921" customFormat="false" ht="15" hidden="false" customHeight="false" outlineLevel="0" collapsed="false">
      <c r="A2921" s="34"/>
      <c r="B2921" s="9"/>
      <c r="C2921" s="34"/>
      <c r="D2921" s="34"/>
      <c r="E2921" s="34"/>
      <c r="F2921" s="35"/>
      <c r="G2921" s="9"/>
      <c r="H2921" s="9"/>
      <c r="I2921" s="34"/>
      <c r="J2921" s="30" t="str">
        <f aca="false">IF(F2921="","",G2921-B2921)</f>
        <v/>
      </c>
      <c r="K2921" s="31" t="str">
        <f aca="false">IF(F2921="","",IF(H2921&lt;&gt;"",H2921,MAX('Vade Sapması'!$D$3,G2921)))</f>
        <v/>
      </c>
      <c r="L2921" s="30" t="str">
        <f aca="false">IF(F2921="","",K2921-B2921)</f>
        <v/>
      </c>
      <c r="M2921" s="30" t="str">
        <f aca="false">IF(F2921="","",L2921-J2921)</f>
        <v/>
      </c>
      <c r="N2921" s="32" t="str">
        <f aca="false">IF(F2921="","",IF(H2921&lt;&gt;"","Kapandı",IF('Vade Sapması'!$D$3&gt;G2921,"Açık · vadesi geçti","Açık · vadesi gelmedi")))</f>
        <v/>
      </c>
      <c r="O2921" s="30" t="str">
        <f aca="false">IF(F2921="","",IF(AND(H2921="",'Vade Sapması'!$D$3&gt;G2921),'Vade Sapması'!$D$3-G2921,0))</f>
        <v/>
      </c>
      <c r="P2921" s="33" t="str">
        <f aca="false">IF(F2921="","",F2921*J2921)</f>
        <v/>
      </c>
      <c r="Q2921" s="33" t="str">
        <f aca="false">IF(F2921="","",F2921*L2921)</f>
        <v/>
      </c>
      <c r="R2921" s="33" t="str">
        <f aca="false">IF(F2921="","",IF(H2921="",F2921,0))</f>
        <v/>
      </c>
      <c r="S2921" s="32" t="str">
        <f aca="false">IF(F2921="","",IF(N(O2921)=0,"",IF(O2921&lt;=30,"1-30",IF(O2921&lt;=60,"31-60",IF(O2921&lt;=90,"61-90","90+")))))</f>
        <v/>
      </c>
      <c r="T2921" s="32" t="str">
        <f aca="false">IF(F2921="","",IF(E2921="","Diğer",E2921))</f>
        <v/>
      </c>
      <c r="U2921" s="32" t="str">
        <f aca="false">IF(OR(F2921="",C2921=""),"",IF(COUNTIF($C$2:C2921,C2921)=1,MAX($U$1:U2920)+1,""))</f>
        <v/>
      </c>
    </row>
    <row r="2922" customFormat="false" ht="15" hidden="false" customHeight="false" outlineLevel="0" collapsed="false">
      <c r="A2922" s="34"/>
      <c r="B2922" s="9"/>
      <c r="C2922" s="34"/>
      <c r="D2922" s="34"/>
      <c r="E2922" s="34"/>
      <c r="F2922" s="35"/>
      <c r="G2922" s="9"/>
      <c r="H2922" s="9"/>
      <c r="I2922" s="34"/>
      <c r="J2922" s="30" t="str">
        <f aca="false">IF(F2922="","",G2922-B2922)</f>
        <v/>
      </c>
      <c r="K2922" s="31" t="str">
        <f aca="false">IF(F2922="","",IF(H2922&lt;&gt;"",H2922,MAX('Vade Sapması'!$D$3,G2922)))</f>
        <v/>
      </c>
      <c r="L2922" s="30" t="str">
        <f aca="false">IF(F2922="","",K2922-B2922)</f>
        <v/>
      </c>
      <c r="M2922" s="30" t="str">
        <f aca="false">IF(F2922="","",L2922-J2922)</f>
        <v/>
      </c>
      <c r="N2922" s="32" t="str">
        <f aca="false">IF(F2922="","",IF(H2922&lt;&gt;"","Kapandı",IF('Vade Sapması'!$D$3&gt;G2922,"Açık · vadesi geçti","Açık · vadesi gelmedi")))</f>
        <v/>
      </c>
      <c r="O2922" s="30" t="str">
        <f aca="false">IF(F2922="","",IF(AND(H2922="",'Vade Sapması'!$D$3&gt;G2922),'Vade Sapması'!$D$3-G2922,0))</f>
        <v/>
      </c>
      <c r="P2922" s="33" t="str">
        <f aca="false">IF(F2922="","",F2922*J2922)</f>
        <v/>
      </c>
      <c r="Q2922" s="33" t="str">
        <f aca="false">IF(F2922="","",F2922*L2922)</f>
        <v/>
      </c>
      <c r="R2922" s="33" t="str">
        <f aca="false">IF(F2922="","",IF(H2922="",F2922,0))</f>
        <v/>
      </c>
      <c r="S2922" s="32" t="str">
        <f aca="false">IF(F2922="","",IF(N(O2922)=0,"",IF(O2922&lt;=30,"1-30",IF(O2922&lt;=60,"31-60",IF(O2922&lt;=90,"61-90","90+")))))</f>
        <v/>
      </c>
      <c r="T2922" s="32" t="str">
        <f aca="false">IF(F2922="","",IF(E2922="","Diğer",E2922))</f>
        <v/>
      </c>
      <c r="U2922" s="32" t="str">
        <f aca="false">IF(OR(F2922="",C2922=""),"",IF(COUNTIF($C$2:C2922,C2922)=1,MAX($U$1:U2921)+1,""))</f>
        <v/>
      </c>
    </row>
    <row r="2923" customFormat="false" ht="15" hidden="false" customHeight="false" outlineLevel="0" collapsed="false">
      <c r="A2923" s="34"/>
      <c r="B2923" s="9"/>
      <c r="C2923" s="34"/>
      <c r="D2923" s="34"/>
      <c r="E2923" s="34"/>
      <c r="F2923" s="35"/>
      <c r="G2923" s="9"/>
      <c r="H2923" s="9"/>
      <c r="I2923" s="34"/>
      <c r="J2923" s="30" t="str">
        <f aca="false">IF(F2923="","",G2923-B2923)</f>
        <v/>
      </c>
      <c r="K2923" s="31" t="str">
        <f aca="false">IF(F2923="","",IF(H2923&lt;&gt;"",H2923,MAX('Vade Sapması'!$D$3,G2923)))</f>
        <v/>
      </c>
      <c r="L2923" s="30" t="str">
        <f aca="false">IF(F2923="","",K2923-B2923)</f>
        <v/>
      </c>
      <c r="M2923" s="30" t="str">
        <f aca="false">IF(F2923="","",L2923-J2923)</f>
        <v/>
      </c>
      <c r="N2923" s="32" t="str">
        <f aca="false">IF(F2923="","",IF(H2923&lt;&gt;"","Kapandı",IF('Vade Sapması'!$D$3&gt;G2923,"Açık · vadesi geçti","Açık · vadesi gelmedi")))</f>
        <v/>
      </c>
      <c r="O2923" s="30" t="str">
        <f aca="false">IF(F2923="","",IF(AND(H2923="",'Vade Sapması'!$D$3&gt;G2923),'Vade Sapması'!$D$3-G2923,0))</f>
        <v/>
      </c>
      <c r="P2923" s="33" t="str">
        <f aca="false">IF(F2923="","",F2923*J2923)</f>
        <v/>
      </c>
      <c r="Q2923" s="33" t="str">
        <f aca="false">IF(F2923="","",F2923*L2923)</f>
        <v/>
      </c>
      <c r="R2923" s="33" t="str">
        <f aca="false">IF(F2923="","",IF(H2923="",F2923,0))</f>
        <v/>
      </c>
      <c r="S2923" s="32" t="str">
        <f aca="false">IF(F2923="","",IF(N(O2923)=0,"",IF(O2923&lt;=30,"1-30",IF(O2923&lt;=60,"31-60",IF(O2923&lt;=90,"61-90","90+")))))</f>
        <v/>
      </c>
      <c r="T2923" s="32" t="str">
        <f aca="false">IF(F2923="","",IF(E2923="","Diğer",E2923))</f>
        <v/>
      </c>
      <c r="U2923" s="32" t="str">
        <f aca="false">IF(OR(F2923="",C2923=""),"",IF(COUNTIF($C$2:C2923,C2923)=1,MAX($U$1:U2922)+1,""))</f>
        <v/>
      </c>
    </row>
    <row r="2924" customFormat="false" ht="15" hidden="false" customHeight="false" outlineLevel="0" collapsed="false">
      <c r="A2924" s="34"/>
      <c r="B2924" s="9"/>
      <c r="C2924" s="34"/>
      <c r="D2924" s="34"/>
      <c r="E2924" s="34"/>
      <c r="F2924" s="35"/>
      <c r="G2924" s="9"/>
      <c r="H2924" s="9"/>
      <c r="I2924" s="34"/>
      <c r="J2924" s="30" t="str">
        <f aca="false">IF(F2924="","",G2924-B2924)</f>
        <v/>
      </c>
      <c r="K2924" s="31" t="str">
        <f aca="false">IF(F2924="","",IF(H2924&lt;&gt;"",H2924,MAX('Vade Sapması'!$D$3,G2924)))</f>
        <v/>
      </c>
      <c r="L2924" s="30" t="str">
        <f aca="false">IF(F2924="","",K2924-B2924)</f>
        <v/>
      </c>
      <c r="M2924" s="30" t="str">
        <f aca="false">IF(F2924="","",L2924-J2924)</f>
        <v/>
      </c>
      <c r="N2924" s="32" t="str">
        <f aca="false">IF(F2924="","",IF(H2924&lt;&gt;"","Kapandı",IF('Vade Sapması'!$D$3&gt;G2924,"Açık · vadesi geçti","Açık · vadesi gelmedi")))</f>
        <v/>
      </c>
      <c r="O2924" s="30" t="str">
        <f aca="false">IF(F2924="","",IF(AND(H2924="",'Vade Sapması'!$D$3&gt;G2924),'Vade Sapması'!$D$3-G2924,0))</f>
        <v/>
      </c>
      <c r="P2924" s="33" t="str">
        <f aca="false">IF(F2924="","",F2924*J2924)</f>
        <v/>
      </c>
      <c r="Q2924" s="33" t="str">
        <f aca="false">IF(F2924="","",F2924*L2924)</f>
        <v/>
      </c>
      <c r="R2924" s="33" t="str">
        <f aca="false">IF(F2924="","",IF(H2924="",F2924,0))</f>
        <v/>
      </c>
      <c r="S2924" s="32" t="str">
        <f aca="false">IF(F2924="","",IF(N(O2924)=0,"",IF(O2924&lt;=30,"1-30",IF(O2924&lt;=60,"31-60",IF(O2924&lt;=90,"61-90","90+")))))</f>
        <v/>
      </c>
      <c r="T2924" s="32" t="str">
        <f aca="false">IF(F2924="","",IF(E2924="","Diğer",E2924))</f>
        <v/>
      </c>
      <c r="U2924" s="32" t="str">
        <f aca="false">IF(OR(F2924="",C2924=""),"",IF(COUNTIF($C$2:C2924,C2924)=1,MAX($U$1:U2923)+1,""))</f>
        <v/>
      </c>
    </row>
    <row r="2925" customFormat="false" ht="15" hidden="false" customHeight="false" outlineLevel="0" collapsed="false">
      <c r="A2925" s="34"/>
      <c r="B2925" s="9"/>
      <c r="C2925" s="34"/>
      <c r="D2925" s="34"/>
      <c r="E2925" s="34"/>
      <c r="F2925" s="35"/>
      <c r="G2925" s="9"/>
      <c r="H2925" s="9"/>
      <c r="I2925" s="34"/>
      <c r="J2925" s="30" t="str">
        <f aca="false">IF(F2925="","",G2925-B2925)</f>
        <v/>
      </c>
      <c r="K2925" s="31" t="str">
        <f aca="false">IF(F2925="","",IF(H2925&lt;&gt;"",H2925,MAX('Vade Sapması'!$D$3,G2925)))</f>
        <v/>
      </c>
      <c r="L2925" s="30" t="str">
        <f aca="false">IF(F2925="","",K2925-B2925)</f>
        <v/>
      </c>
      <c r="M2925" s="30" t="str">
        <f aca="false">IF(F2925="","",L2925-J2925)</f>
        <v/>
      </c>
      <c r="N2925" s="32" t="str">
        <f aca="false">IF(F2925="","",IF(H2925&lt;&gt;"","Kapandı",IF('Vade Sapması'!$D$3&gt;G2925,"Açık · vadesi geçti","Açık · vadesi gelmedi")))</f>
        <v/>
      </c>
      <c r="O2925" s="30" t="str">
        <f aca="false">IF(F2925="","",IF(AND(H2925="",'Vade Sapması'!$D$3&gt;G2925),'Vade Sapması'!$D$3-G2925,0))</f>
        <v/>
      </c>
      <c r="P2925" s="33" t="str">
        <f aca="false">IF(F2925="","",F2925*J2925)</f>
        <v/>
      </c>
      <c r="Q2925" s="33" t="str">
        <f aca="false">IF(F2925="","",F2925*L2925)</f>
        <v/>
      </c>
      <c r="R2925" s="33" t="str">
        <f aca="false">IF(F2925="","",IF(H2925="",F2925,0))</f>
        <v/>
      </c>
      <c r="S2925" s="32" t="str">
        <f aca="false">IF(F2925="","",IF(N(O2925)=0,"",IF(O2925&lt;=30,"1-30",IF(O2925&lt;=60,"31-60",IF(O2925&lt;=90,"61-90","90+")))))</f>
        <v/>
      </c>
      <c r="T2925" s="32" t="str">
        <f aca="false">IF(F2925="","",IF(E2925="","Diğer",E2925))</f>
        <v/>
      </c>
      <c r="U2925" s="32" t="str">
        <f aca="false">IF(OR(F2925="",C2925=""),"",IF(COUNTIF($C$2:C2925,C2925)=1,MAX($U$1:U2924)+1,""))</f>
        <v/>
      </c>
    </row>
    <row r="2926" customFormat="false" ht="15" hidden="false" customHeight="false" outlineLevel="0" collapsed="false">
      <c r="A2926" s="34"/>
      <c r="B2926" s="9"/>
      <c r="C2926" s="34"/>
      <c r="D2926" s="34"/>
      <c r="E2926" s="34"/>
      <c r="F2926" s="35"/>
      <c r="G2926" s="9"/>
      <c r="H2926" s="9"/>
      <c r="I2926" s="34"/>
      <c r="J2926" s="30" t="str">
        <f aca="false">IF(F2926="","",G2926-B2926)</f>
        <v/>
      </c>
      <c r="K2926" s="31" t="str">
        <f aca="false">IF(F2926="","",IF(H2926&lt;&gt;"",H2926,MAX('Vade Sapması'!$D$3,G2926)))</f>
        <v/>
      </c>
      <c r="L2926" s="30" t="str">
        <f aca="false">IF(F2926="","",K2926-B2926)</f>
        <v/>
      </c>
      <c r="M2926" s="30" t="str">
        <f aca="false">IF(F2926="","",L2926-J2926)</f>
        <v/>
      </c>
      <c r="N2926" s="32" t="str">
        <f aca="false">IF(F2926="","",IF(H2926&lt;&gt;"","Kapandı",IF('Vade Sapması'!$D$3&gt;G2926,"Açık · vadesi geçti","Açık · vadesi gelmedi")))</f>
        <v/>
      </c>
      <c r="O2926" s="30" t="str">
        <f aca="false">IF(F2926="","",IF(AND(H2926="",'Vade Sapması'!$D$3&gt;G2926),'Vade Sapması'!$D$3-G2926,0))</f>
        <v/>
      </c>
      <c r="P2926" s="33" t="str">
        <f aca="false">IF(F2926="","",F2926*J2926)</f>
        <v/>
      </c>
      <c r="Q2926" s="33" t="str">
        <f aca="false">IF(F2926="","",F2926*L2926)</f>
        <v/>
      </c>
      <c r="R2926" s="33" t="str">
        <f aca="false">IF(F2926="","",IF(H2926="",F2926,0))</f>
        <v/>
      </c>
      <c r="S2926" s="32" t="str">
        <f aca="false">IF(F2926="","",IF(N(O2926)=0,"",IF(O2926&lt;=30,"1-30",IF(O2926&lt;=60,"31-60",IF(O2926&lt;=90,"61-90","90+")))))</f>
        <v/>
      </c>
      <c r="T2926" s="32" t="str">
        <f aca="false">IF(F2926="","",IF(E2926="","Diğer",E2926))</f>
        <v/>
      </c>
      <c r="U2926" s="32" t="str">
        <f aca="false">IF(OR(F2926="",C2926=""),"",IF(COUNTIF($C$2:C2926,C2926)=1,MAX($U$1:U2925)+1,""))</f>
        <v/>
      </c>
    </row>
    <row r="2927" customFormat="false" ht="15" hidden="false" customHeight="false" outlineLevel="0" collapsed="false">
      <c r="A2927" s="34"/>
      <c r="B2927" s="9"/>
      <c r="C2927" s="34"/>
      <c r="D2927" s="34"/>
      <c r="E2927" s="34"/>
      <c r="F2927" s="35"/>
      <c r="G2927" s="9"/>
      <c r="H2927" s="9"/>
      <c r="I2927" s="34"/>
      <c r="J2927" s="30" t="str">
        <f aca="false">IF(F2927="","",G2927-B2927)</f>
        <v/>
      </c>
      <c r="K2927" s="31" t="str">
        <f aca="false">IF(F2927="","",IF(H2927&lt;&gt;"",H2927,MAX('Vade Sapması'!$D$3,G2927)))</f>
        <v/>
      </c>
      <c r="L2927" s="30" t="str">
        <f aca="false">IF(F2927="","",K2927-B2927)</f>
        <v/>
      </c>
      <c r="M2927" s="30" t="str">
        <f aca="false">IF(F2927="","",L2927-J2927)</f>
        <v/>
      </c>
      <c r="N2927" s="32" t="str">
        <f aca="false">IF(F2927="","",IF(H2927&lt;&gt;"","Kapandı",IF('Vade Sapması'!$D$3&gt;G2927,"Açık · vadesi geçti","Açık · vadesi gelmedi")))</f>
        <v/>
      </c>
      <c r="O2927" s="30" t="str">
        <f aca="false">IF(F2927="","",IF(AND(H2927="",'Vade Sapması'!$D$3&gt;G2927),'Vade Sapması'!$D$3-G2927,0))</f>
        <v/>
      </c>
      <c r="P2927" s="33" t="str">
        <f aca="false">IF(F2927="","",F2927*J2927)</f>
        <v/>
      </c>
      <c r="Q2927" s="33" t="str">
        <f aca="false">IF(F2927="","",F2927*L2927)</f>
        <v/>
      </c>
      <c r="R2927" s="33" t="str">
        <f aca="false">IF(F2927="","",IF(H2927="",F2927,0))</f>
        <v/>
      </c>
      <c r="S2927" s="32" t="str">
        <f aca="false">IF(F2927="","",IF(N(O2927)=0,"",IF(O2927&lt;=30,"1-30",IF(O2927&lt;=60,"31-60",IF(O2927&lt;=90,"61-90","90+")))))</f>
        <v/>
      </c>
      <c r="T2927" s="32" t="str">
        <f aca="false">IF(F2927="","",IF(E2927="","Diğer",E2927))</f>
        <v/>
      </c>
      <c r="U2927" s="32" t="str">
        <f aca="false">IF(OR(F2927="",C2927=""),"",IF(COUNTIF($C$2:C2927,C2927)=1,MAX($U$1:U2926)+1,""))</f>
        <v/>
      </c>
    </row>
    <row r="2928" customFormat="false" ht="15" hidden="false" customHeight="false" outlineLevel="0" collapsed="false">
      <c r="A2928" s="34"/>
      <c r="B2928" s="9"/>
      <c r="C2928" s="34"/>
      <c r="D2928" s="34"/>
      <c r="E2928" s="34"/>
      <c r="F2928" s="35"/>
      <c r="G2928" s="9"/>
      <c r="H2928" s="9"/>
      <c r="I2928" s="34"/>
      <c r="J2928" s="30" t="str">
        <f aca="false">IF(F2928="","",G2928-B2928)</f>
        <v/>
      </c>
      <c r="K2928" s="31" t="str">
        <f aca="false">IF(F2928="","",IF(H2928&lt;&gt;"",H2928,MAX('Vade Sapması'!$D$3,G2928)))</f>
        <v/>
      </c>
      <c r="L2928" s="30" t="str">
        <f aca="false">IF(F2928="","",K2928-B2928)</f>
        <v/>
      </c>
      <c r="M2928" s="30" t="str">
        <f aca="false">IF(F2928="","",L2928-J2928)</f>
        <v/>
      </c>
      <c r="N2928" s="32" t="str">
        <f aca="false">IF(F2928="","",IF(H2928&lt;&gt;"","Kapandı",IF('Vade Sapması'!$D$3&gt;G2928,"Açık · vadesi geçti","Açık · vadesi gelmedi")))</f>
        <v/>
      </c>
      <c r="O2928" s="30" t="str">
        <f aca="false">IF(F2928="","",IF(AND(H2928="",'Vade Sapması'!$D$3&gt;G2928),'Vade Sapması'!$D$3-G2928,0))</f>
        <v/>
      </c>
      <c r="P2928" s="33" t="str">
        <f aca="false">IF(F2928="","",F2928*J2928)</f>
        <v/>
      </c>
      <c r="Q2928" s="33" t="str">
        <f aca="false">IF(F2928="","",F2928*L2928)</f>
        <v/>
      </c>
      <c r="R2928" s="33" t="str">
        <f aca="false">IF(F2928="","",IF(H2928="",F2928,0))</f>
        <v/>
      </c>
      <c r="S2928" s="32" t="str">
        <f aca="false">IF(F2928="","",IF(N(O2928)=0,"",IF(O2928&lt;=30,"1-30",IF(O2928&lt;=60,"31-60",IF(O2928&lt;=90,"61-90","90+")))))</f>
        <v/>
      </c>
      <c r="T2928" s="32" t="str">
        <f aca="false">IF(F2928="","",IF(E2928="","Diğer",E2928))</f>
        <v/>
      </c>
      <c r="U2928" s="32" t="str">
        <f aca="false">IF(OR(F2928="",C2928=""),"",IF(COUNTIF($C$2:C2928,C2928)=1,MAX($U$1:U2927)+1,""))</f>
        <v/>
      </c>
    </row>
    <row r="2929" customFormat="false" ht="15" hidden="false" customHeight="false" outlineLevel="0" collapsed="false">
      <c r="A2929" s="34"/>
      <c r="B2929" s="9"/>
      <c r="C2929" s="34"/>
      <c r="D2929" s="34"/>
      <c r="E2929" s="34"/>
      <c r="F2929" s="35"/>
      <c r="G2929" s="9"/>
      <c r="H2929" s="9"/>
      <c r="I2929" s="34"/>
      <c r="J2929" s="30" t="str">
        <f aca="false">IF(F2929="","",G2929-B2929)</f>
        <v/>
      </c>
      <c r="K2929" s="31" t="str">
        <f aca="false">IF(F2929="","",IF(H2929&lt;&gt;"",H2929,MAX('Vade Sapması'!$D$3,G2929)))</f>
        <v/>
      </c>
      <c r="L2929" s="30" t="str">
        <f aca="false">IF(F2929="","",K2929-B2929)</f>
        <v/>
      </c>
      <c r="M2929" s="30" t="str">
        <f aca="false">IF(F2929="","",L2929-J2929)</f>
        <v/>
      </c>
      <c r="N2929" s="32" t="str">
        <f aca="false">IF(F2929="","",IF(H2929&lt;&gt;"","Kapandı",IF('Vade Sapması'!$D$3&gt;G2929,"Açık · vadesi geçti","Açık · vadesi gelmedi")))</f>
        <v/>
      </c>
      <c r="O2929" s="30" t="str">
        <f aca="false">IF(F2929="","",IF(AND(H2929="",'Vade Sapması'!$D$3&gt;G2929),'Vade Sapması'!$D$3-G2929,0))</f>
        <v/>
      </c>
      <c r="P2929" s="33" t="str">
        <f aca="false">IF(F2929="","",F2929*J2929)</f>
        <v/>
      </c>
      <c r="Q2929" s="33" t="str">
        <f aca="false">IF(F2929="","",F2929*L2929)</f>
        <v/>
      </c>
      <c r="R2929" s="33" t="str">
        <f aca="false">IF(F2929="","",IF(H2929="",F2929,0))</f>
        <v/>
      </c>
      <c r="S2929" s="32" t="str">
        <f aca="false">IF(F2929="","",IF(N(O2929)=0,"",IF(O2929&lt;=30,"1-30",IF(O2929&lt;=60,"31-60",IF(O2929&lt;=90,"61-90","90+")))))</f>
        <v/>
      </c>
      <c r="T2929" s="32" t="str">
        <f aca="false">IF(F2929="","",IF(E2929="","Diğer",E2929))</f>
        <v/>
      </c>
      <c r="U2929" s="32" t="str">
        <f aca="false">IF(OR(F2929="",C2929=""),"",IF(COUNTIF($C$2:C2929,C2929)=1,MAX($U$1:U2928)+1,""))</f>
        <v/>
      </c>
    </row>
    <row r="2930" customFormat="false" ht="15" hidden="false" customHeight="false" outlineLevel="0" collapsed="false">
      <c r="A2930" s="34"/>
      <c r="B2930" s="9"/>
      <c r="C2930" s="34"/>
      <c r="D2930" s="34"/>
      <c r="E2930" s="34"/>
      <c r="F2930" s="35"/>
      <c r="G2930" s="9"/>
      <c r="H2930" s="9"/>
      <c r="I2930" s="34"/>
      <c r="J2930" s="30" t="str">
        <f aca="false">IF(F2930="","",G2930-B2930)</f>
        <v/>
      </c>
      <c r="K2930" s="31" t="str">
        <f aca="false">IF(F2930="","",IF(H2930&lt;&gt;"",H2930,MAX('Vade Sapması'!$D$3,G2930)))</f>
        <v/>
      </c>
      <c r="L2930" s="30" t="str">
        <f aca="false">IF(F2930="","",K2930-B2930)</f>
        <v/>
      </c>
      <c r="M2930" s="30" t="str">
        <f aca="false">IF(F2930="","",L2930-J2930)</f>
        <v/>
      </c>
      <c r="N2930" s="32" t="str">
        <f aca="false">IF(F2930="","",IF(H2930&lt;&gt;"","Kapandı",IF('Vade Sapması'!$D$3&gt;G2930,"Açık · vadesi geçti","Açık · vadesi gelmedi")))</f>
        <v/>
      </c>
      <c r="O2930" s="30" t="str">
        <f aca="false">IF(F2930="","",IF(AND(H2930="",'Vade Sapması'!$D$3&gt;G2930),'Vade Sapması'!$D$3-G2930,0))</f>
        <v/>
      </c>
      <c r="P2930" s="33" t="str">
        <f aca="false">IF(F2930="","",F2930*J2930)</f>
        <v/>
      </c>
      <c r="Q2930" s="33" t="str">
        <f aca="false">IF(F2930="","",F2930*L2930)</f>
        <v/>
      </c>
      <c r="R2930" s="33" t="str">
        <f aca="false">IF(F2930="","",IF(H2930="",F2930,0))</f>
        <v/>
      </c>
      <c r="S2930" s="32" t="str">
        <f aca="false">IF(F2930="","",IF(N(O2930)=0,"",IF(O2930&lt;=30,"1-30",IF(O2930&lt;=60,"31-60",IF(O2930&lt;=90,"61-90","90+")))))</f>
        <v/>
      </c>
      <c r="T2930" s="32" t="str">
        <f aca="false">IF(F2930="","",IF(E2930="","Diğer",E2930))</f>
        <v/>
      </c>
      <c r="U2930" s="32" t="str">
        <f aca="false">IF(OR(F2930="",C2930=""),"",IF(COUNTIF($C$2:C2930,C2930)=1,MAX($U$1:U2929)+1,""))</f>
        <v/>
      </c>
    </row>
    <row r="2931" customFormat="false" ht="15" hidden="false" customHeight="false" outlineLevel="0" collapsed="false">
      <c r="A2931" s="34"/>
      <c r="B2931" s="9"/>
      <c r="C2931" s="34"/>
      <c r="D2931" s="34"/>
      <c r="E2931" s="34"/>
      <c r="F2931" s="35"/>
      <c r="G2931" s="9"/>
      <c r="H2931" s="9"/>
      <c r="I2931" s="34"/>
      <c r="J2931" s="30" t="str">
        <f aca="false">IF(F2931="","",G2931-B2931)</f>
        <v/>
      </c>
      <c r="K2931" s="31" t="str">
        <f aca="false">IF(F2931="","",IF(H2931&lt;&gt;"",H2931,MAX('Vade Sapması'!$D$3,G2931)))</f>
        <v/>
      </c>
      <c r="L2931" s="30" t="str">
        <f aca="false">IF(F2931="","",K2931-B2931)</f>
        <v/>
      </c>
      <c r="M2931" s="30" t="str">
        <f aca="false">IF(F2931="","",L2931-J2931)</f>
        <v/>
      </c>
      <c r="N2931" s="32" t="str">
        <f aca="false">IF(F2931="","",IF(H2931&lt;&gt;"","Kapandı",IF('Vade Sapması'!$D$3&gt;G2931,"Açık · vadesi geçti","Açık · vadesi gelmedi")))</f>
        <v/>
      </c>
      <c r="O2931" s="30" t="str">
        <f aca="false">IF(F2931="","",IF(AND(H2931="",'Vade Sapması'!$D$3&gt;G2931),'Vade Sapması'!$D$3-G2931,0))</f>
        <v/>
      </c>
      <c r="P2931" s="33" t="str">
        <f aca="false">IF(F2931="","",F2931*J2931)</f>
        <v/>
      </c>
      <c r="Q2931" s="33" t="str">
        <f aca="false">IF(F2931="","",F2931*L2931)</f>
        <v/>
      </c>
      <c r="R2931" s="33" t="str">
        <f aca="false">IF(F2931="","",IF(H2931="",F2931,0))</f>
        <v/>
      </c>
      <c r="S2931" s="32" t="str">
        <f aca="false">IF(F2931="","",IF(N(O2931)=0,"",IF(O2931&lt;=30,"1-30",IF(O2931&lt;=60,"31-60",IF(O2931&lt;=90,"61-90","90+")))))</f>
        <v/>
      </c>
      <c r="T2931" s="32" t="str">
        <f aca="false">IF(F2931="","",IF(E2931="","Diğer",E2931))</f>
        <v/>
      </c>
      <c r="U2931" s="32" t="str">
        <f aca="false">IF(OR(F2931="",C2931=""),"",IF(COUNTIF($C$2:C2931,C2931)=1,MAX($U$1:U2930)+1,""))</f>
        <v/>
      </c>
    </row>
    <row r="2932" customFormat="false" ht="15" hidden="false" customHeight="false" outlineLevel="0" collapsed="false">
      <c r="A2932" s="34"/>
      <c r="B2932" s="9"/>
      <c r="C2932" s="34"/>
      <c r="D2932" s="34"/>
      <c r="E2932" s="34"/>
      <c r="F2932" s="35"/>
      <c r="G2932" s="9"/>
      <c r="H2932" s="9"/>
      <c r="I2932" s="34"/>
      <c r="J2932" s="30" t="str">
        <f aca="false">IF(F2932="","",G2932-B2932)</f>
        <v/>
      </c>
      <c r="K2932" s="31" t="str">
        <f aca="false">IF(F2932="","",IF(H2932&lt;&gt;"",H2932,MAX('Vade Sapması'!$D$3,G2932)))</f>
        <v/>
      </c>
      <c r="L2932" s="30" t="str">
        <f aca="false">IF(F2932="","",K2932-B2932)</f>
        <v/>
      </c>
      <c r="M2932" s="30" t="str">
        <f aca="false">IF(F2932="","",L2932-J2932)</f>
        <v/>
      </c>
      <c r="N2932" s="32" t="str">
        <f aca="false">IF(F2932="","",IF(H2932&lt;&gt;"","Kapandı",IF('Vade Sapması'!$D$3&gt;G2932,"Açık · vadesi geçti","Açık · vadesi gelmedi")))</f>
        <v/>
      </c>
      <c r="O2932" s="30" t="str">
        <f aca="false">IF(F2932="","",IF(AND(H2932="",'Vade Sapması'!$D$3&gt;G2932),'Vade Sapması'!$D$3-G2932,0))</f>
        <v/>
      </c>
      <c r="P2932" s="33" t="str">
        <f aca="false">IF(F2932="","",F2932*J2932)</f>
        <v/>
      </c>
      <c r="Q2932" s="33" t="str">
        <f aca="false">IF(F2932="","",F2932*L2932)</f>
        <v/>
      </c>
      <c r="R2932" s="33" t="str">
        <f aca="false">IF(F2932="","",IF(H2932="",F2932,0))</f>
        <v/>
      </c>
      <c r="S2932" s="32" t="str">
        <f aca="false">IF(F2932="","",IF(N(O2932)=0,"",IF(O2932&lt;=30,"1-30",IF(O2932&lt;=60,"31-60",IF(O2932&lt;=90,"61-90","90+")))))</f>
        <v/>
      </c>
      <c r="T2932" s="32" t="str">
        <f aca="false">IF(F2932="","",IF(E2932="","Diğer",E2932))</f>
        <v/>
      </c>
      <c r="U2932" s="32" t="str">
        <f aca="false">IF(OR(F2932="",C2932=""),"",IF(COUNTIF($C$2:C2932,C2932)=1,MAX($U$1:U2931)+1,""))</f>
        <v/>
      </c>
    </row>
    <row r="2933" customFormat="false" ht="15" hidden="false" customHeight="false" outlineLevel="0" collapsed="false">
      <c r="A2933" s="34"/>
      <c r="B2933" s="9"/>
      <c r="C2933" s="34"/>
      <c r="D2933" s="34"/>
      <c r="E2933" s="34"/>
      <c r="F2933" s="35"/>
      <c r="G2933" s="9"/>
      <c r="H2933" s="9"/>
      <c r="I2933" s="34"/>
      <c r="J2933" s="30" t="str">
        <f aca="false">IF(F2933="","",G2933-B2933)</f>
        <v/>
      </c>
      <c r="K2933" s="31" t="str">
        <f aca="false">IF(F2933="","",IF(H2933&lt;&gt;"",H2933,MAX('Vade Sapması'!$D$3,G2933)))</f>
        <v/>
      </c>
      <c r="L2933" s="30" t="str">
        <f aca="false">IF(F2933="","",K2933-B2933)</f>
        <v/>
      </c>
      <c r="M2933" s="30" t="str">
        <f aca="false">IF(F2933="","",L2933-J2933)</f>
        <v/>
      </c>
      <c r="N2933" s="32" t="str">
        <f aca="false">IF(F2933="","",IF(H2933&lt;&gt;"","Kapandı",IF('Vade Sapması'!$D$3&gt;G2933,"Açık · vadesi geçti","Açık · vadesi gelmedi")))</f>
        <v/>
      </c>
      <c r="O2933" s="30" t="str">
        <f aca="false">IF(F2933="","",IF(AND(H2933="",'Vade Sapması'!$D$3&gt;G2933),'Vade Sapması'!$D$3-G2933,0))</f>
        <v/>
      </c>
      <c r="P2933" s="33" t="str">
        <f aca="false">IF(F2933="","",F2933*J2933)</f>
        <v/>
      </c>
      <c r="Q2933" s="33" t="str">
        <f aca="false">IF(F2933="","",F2933*L2933)</f>
        <v/>
      </c>
      <c r="R2933" s="33" t="str">
        <f aca="false">IF(F2933="","",IF(H2933="",F2933,0))</f>
        <v/>
      </c>
      <c r="S2933" s="32" t="str">
        <f aca="false">IF(F2933="","",IF(N(O2933)=0,"",IF(O2933&lt;=30,"1-30",IF(O2933&lt;=60,"31-60",IF(O2933&lt;=90,"61-90","90+")))))</f>
        <v/>
      </c>
      <c r="T2933" s="32" t="str">
        <f aca="false">IF(F2933="","",IF(E2933="","Diğer",E2933))</f>
        <v/>
      </c>
      <c r="U2933" s="32" t="str">
        <f aca="false">IF(OR(F2933="",C2933=""),"",IF(COUNTIF($C$2:C2933,C2933)=1,MAX($U$1:U2932)+1,""))</f>
        <v/>
      </c>
    </row>
    <row r="2934" customFormat="false" ht="15" hidden="false" customHeight="false" outlineLevel="0" collapsed="false">
      <c r="A2934" s="34"/>
      <c r="B2934" s="9"/>
      <c r="C2934" s="34"/>
      <c r="D2934" s="34"/>
      <c r="E2934" s="34"/>
      <c r="F2934" s="35"/>
      <c r="G2934" s="9"/>
      <c r="H2934" s="9"/>
      <c r="I2934" s="34"/>
      <c r="J2934" s="30" t="str">
        <f aca="false">IF(F2934="","",G2934-B2934)</f>
        <v/>
      </c>
      <c r="K2934" s="31" t="str">
        <f aca="false">IF(F2934="","",IF(H2934&lt;&gt;"",H2934,MAX('Vade Sapması'!$D$3,G2934)))</f>
        <v/>
      </c>
      <c r="L2934" s="30" t="str">
        <f aca="false">IF(F2934="","",K2934-B2934)</f>
        <v/>
      </c>
      <c r="M2934" s="30" t="str">
        <f aca="false">IF(F2934="","",L2934-J2934)</f>
        <v/>
      </c>
      <c r="N2934" s="32" t="str">
        <f aca="false">IF(F2934="","",IF(H2934&lt;&gt;"","Kapandı",IF('Vade Sapması'!$D$3&gt;G2934,"Açık · vadesi geçti","Açık · vadesi gelmedi")))</f>
        <v/>
      </c>
      <c r="O2934" s="30" t="str">
        <f aca="false">IF(F2934="","",IF(AND(H2934="",'Vade Sapması'!$D$3&gt;G2934),'Vade Sapması'!$D$3-G2934,0))</f>
        <v/>
      </c>
      <c r="P2934" s="33" t="str">
        <f aca="false">IF(F2934="","",F2934*J2934)</f>
        <v/>
      </c>
      <c r="Q2934" s="33" t="str">
        <f aca="false">IF(F2934="","",F2934*L2934)</f>
        <v/>
      </c>
      <c r="R2934" s="33" t="str">
        <f aca="false">IF(F2934="","",IF(H2934="",F2934,0))</f>
        <v/>
      </c>
      <c r="S2934" s="32" t="str">
        <f aca="false">IF(F2934="","",IF(N(O2934)=0,"",IF(O2934&lt;=30,"1-30",IF(O2934&lt;=60,"31-60",IF(O2934&lt;=90,"61-90","90+")))))</f>
        <v/>
      </c>
      <c r="T2934" s="32" t="str">
        <f aca="false">IF(F2934="","",IF(E2934="","Diğer",E2934))</f>
        <v/>
      </c>
      <c r="U2934" s="32" t="str">
        <f aca="false">IF(OR(F2934="",C2934=""),"",IF(COUNTIF($C$2:C2934,C2934)=1,MAX($U$1:U2933)+1,""))</f>
        <v/>
      </c>
    </row>
    <row r="2935" customFormat="false" ht="15" hidden="false" customHeight="false" outlineLevel="0" collapsed="false">
      <c r="A2935" s="34"/>
      <c r="B2935" s="9"/>
      <c r="C2935" s="34"/>
      <c r="D2935" s="34"/>
      <c r="E2935" s="34"/>
      <c r="F2935" s="35"/>
      <c r="G2935" s="9"/>
      <c r="H2935" s="9"/>
      <c r="I2935" s="34"/>
      <c r="J2935" s="30" t="str">
        <f aca="false">IF(F2935="","",G2935-B2935)</f>
        <v/>
      </c>
      <c r="K2935" s="31" t="str">
        <f aca="false">IF(F2935="","",IF(H2935&lt;&gt;"",H2935,MAX('Vade Sapması'!$D$3,G2935)))</f>
        <v/>
      </c>
      <c r="L2935" s="30" t="str">
        <f aca="false">IF(F2935="","",K2935-B2935)</f>
        <v/>
      </c>
      <c r="M2935" s="30" t="str">
        <f aca="false">IF(F2935="","",L2935-J2935)</f>
        <v/>
      </c>
      <c r="N2935" s="32" t="str">
        <f aca="false">IF(F2935="","",IF(H2935&lt;&gt;"","Kapandı",IF('Vade Sapması'!$D$3&gt;G2935,"Açık · vadesi geçti","Açık · vadesi gelmedi")))</f>
        <v/>
      </c>
      <c r="O2935" s="30" t="str">
        <f aca="false">IF(F2935="","",IF(AND(H2935="",'Vade Sapması'!$D$3&gt;G2935),'Vade Sapması'!$D$3-G2935,0))</f>
        <v/>
      </c>
      <c r="P2935" s="33" t="str">
        <f aca="false">IF(F2935="","",F2935*J2935)</f>
        <v/>
      </c>
      <c r="Q2935" s="33" t="str">
        <f aca="false">IF(F2935="","",F2935*L2935)</f>
        <v/>
      </c>
      <c r="R2935" s="33" t="str">
        <f aca="false">IF(F2935="","",IF(H2935="",F2935,0))</f>
        <v/>
      </c>
      <c r="S2935" s="32" t="str">
        <f aca="false">IF(F2935="","",IF(N(O2935)=0,"",IF(O2935&lt;=30,"1-30",IF(O2935&lt;=60,"31-60",IF(O2935&lt;=90,"61-90","90+")))))</f>
        <v/>
      </c>
      <c r="T2935" s="32" t="str">
        <f aca="false">IF(F2935="","",IF(E2935="","Diğer",E2935))</f>
        <v/>
      </c>
      <c r="U2935" s="32" t="str">
        <f aca="false">IF(OR(F2935="",C2935=""),"",IF(COUNTIF($C$2:C2935,C2935)=1,MAX($U$1:U2934)+1,""))</f>
        <v/>
      </c>
    </row>
    <row r="2936" customFormat="false" ht="15" hidden="false" customHeight="false" outlineLevel="0" collapsed="false">
      <c r="A2936" s="34"/>
      <c r="B2936" s="9"/>
      <c r="C2936" s="34"/>
      <c r="D2936" s="34"/>
      <c r="E2936" s="34"/>
      <c r="F2936" s="35"/>
      <c r="G2936" s="9"/>
      <c r="H2936" s="9"/>
      <c r="I2936" s="34"/>
      <c r="J2936" s="30" t="str">
        <f aca="false">IF(F2936="","",G2936-B2936)</f>
        <v/>
      </c>
      <c r="K2936" s="31" t="str">
        <f aca="false">IF(F2936="","",IF(H2936&lt;&gt;"",H2936,MAX('Vade Sapması'!$D$3,G2936)))</f>
        <v/>
      </c>
      <c r="L2936" s="30" t="str">
        <f aca="false">IF(F2936="","",K2936-B2936)</f>
        <v/>
      </c>
      <c r="M2936" s="30" t="str">
        <f aca="false">IF(F2936="","",L2936-J2936)</f>
        <v/>
      </c>
      <c r="N2936" s="32" t="str">
        <f aca="false">IF(F2936="","",IF(H2936&lt;&gt;"","Kapandı",IF('Vade Sapması'!$D$3&gt;G2936,"Açık · vadesi geçti","Açık · vadesi gelmedi")))</f>
        <v/>
      </c>
      <c r="O2936" s="30" t="str">
        <f aca="false">IF(F2936="","",IF(AND(H2936="",'Vade Sapması'!$D$3&gt;G2936),'Vade Sapması'!$D$3-G2936,0))</f>
        <v/>
      </c>
      <c r="P2936" s="33" t="str">
        <f aca="false">IF(F2936="","",F2936*J2936)</f>
        <v/>
      </c>
      <c r="Q2936" s="33" t="str">
        <f aca="false">IF(F2936="","",F2936*L2936)</f>
        <v/>
      </c>
      <c r="R2936" s="33" t="str">
        <f aca="false">IF(F2936="","",IF(H2936="",F2936,0))</f>
        <v/>
      </c>
      <c r="S2936" s="32" t="str">
        <f aca="false">IF(F2936="","",IF(N(O2936)=0,"",IF(O2936&lt;=30,"1-30",IF(O2936&lt;=60,"31-60",IF(O2936&lt;=90,"61-90","90+")))))</f>
        <v/>
      </c>
      <c r="T2936" s="32" t="str">
        <f aca="false">IF(F2936="","",IF(E2936="","Diğer",E2936))</f>
        <v/>
      </c>
      <c r="U2936" s="32" t="str">
        <f aca="false">IF(OR(F2936="",C2936=""),"",IF(COUNTIF($C$2:C2936,C2936)=1,MAX($U$1:U2935)+1,""))</f>
        <v/>
      </c>
    </row>
    <row r="2937" customFormat="false" ht="15" hidden="false" customHeight="false" outlineLevel="0" collapsed="false">
      <c r="A2937" s="34"/>
      <c r="B2937" s="9"/>
      <c r="C2937" s="34"/>
      <c r="D2937" s="34"/>
      <c r="E2937" s="34"/>
      <c r="F2937" s="35"/>
      <c r="G2937" s="9"/>
      <c r="H2937" s="9"/>
      <c r="I2937" s="34"/>
      <c r="J2937" s="30" t="str">
        <f aca="false">IF(F2937="","",G2937-B2937)</f>
        <v/>
      </c>
      <c r="K2937" s="31" t="str">
        <f aca="false">IF(F2937="","",IF(H2937&lt;&gt;"",H2937,MAX('Vade Sapması'!$D$3,G2937)))</f>
        <v/>
      </c>
      <c r="L2937" s="30" t="str">
        <f aca="false">IF(F2937="","",K2937-B2937)</f>
        <v/>
      </c>
      <c r="M2937" s="30" t="str">
        <f aca="false">IF(F2937="","",L2937-J2937)</f>
        <v/>
      </c>
      <c r="N2937" s="32" t="str">
        <f aca="false">IF(F2937="","",IF(H2937&lt;&gt;"","Kapandı",IF('Vade Sapması'!$D$3&gt;G2937,"Açık · vadesi geçti","Açık · vadesi gelmedi")))</f>
        <v/>
      </c>
      <c r="O2937" s="30" t="str">
        <f aca="false">IF(F2937="","",IF(AND(H2937="",'Vade Sapması'!$D$3&gt;G2937),'Vade Sapması'!$D$3-G2937,0))</f>
        <v/>
      </c>
      <c r="P2937" s="33" t="str">
        <f aca="false">IF(F2937="","",F2937*J2937)</f>
        <v/>
      </c>
      <c r="Q2937" s="33" t="str">
        <f aca="false">IF(F2937="","",F2937*L2937)</f>
        <v/>
      </c>
      <c r="R2937" s="33" t="str">
        <f aca="false">IF(F2937="","",IF(H2937="",F2937,0))</f>
        <v/>
      </c>
      <c r="S2937" s="32" t="str">
        <f aca="false">IF(F2937="","",IF(N(O2937)=0,"",IF(O2937&lt;=30,"1-30",IF(O2937&lt;=60,"31-60",IF(O2937&lt;=90,"61-90","90+")))))</f>
        <v/>
      </c>
      <c r="T2937" s="32" t="str">
        <f aca="false">IF(F2937="","",IF(E2937="","Diğer",E2937))</f>
        <v/>
      </c>
      <c r="U2937" s="32" t="str">
        <f aca="false">IF(OR(F2937="",C2937=""),"",IF(COUNTIF($C$2:C2937,C2937)=1,MAX($U$1:U2936)+1,""))</f>
        <v/>
      </c>
    </row>
    <row r="2938" customFormat="false" ht="15" hidden="false" customHeight="false" outlineLevel="0" collapsed="false">
      <c r="A2938" s="34"/>
      <c r="B2938" s="9"/>
      <c r="C2938" s="34"/>
      <c r="D2938" s="34"/>
      <c r="E2938" s="34"/>
      <c r="F2938" s="35"/>
      <c r="G2938" s="9"/>
      <c r="H2938" s="9"/>
      <c r="I2938" s="34"/>
      <c r="J2938" s="30" t="str">
        <f aca="false">IF(F2938="","",G2938-B2938)</f>
        <v/>
      </c>
      <c r="K2938" s="31" t="str">
        <f aca="false">IF(F2938="","",IF(H2938&lt;&gt;"",H2938,MAX('Vade Sapması'!$D$3,G2938)))</f>
        <v/>
      </c>
      <c r="L2938" s="30" t="str">
        <f aca="false">IF(F2938="","",K2938-B2938)</f>
        <v/>
      </c>
      <c r="M2938" s="30" t="str">
        <f aca="false">IF(F2938="","",L2938-J2938)</f>
        <v/>
      </c>
      <c r="N2938" s="32" t="str">
        <f aca="false">IF(F2938="","",IF(H2938&lt;&gt;"","Kapandı",IF('Vade Sapması'!$D$3&gt;G2938,"Açık · vadesi geçti","Açık · vadesi gelmedi")))</f>
        <v/>
      </c>
      <c r="O2938" s="30" t="str">
        <f aca="false">IF(F2938="","",IF(AND(H2938="",'Vade Sapması'!$D$3&gt;G2938),'Vade Sapması'!$D$3-G2938,0))</f>
        <v/>
      </c>
      <c r="P2938" s="33" t="str">
        <f aca="false">IF(F2938="","",F2938*J2938)</f>
        <v/>
      </c>
      <c r="Q2938" s="33" t="str">
        <f aca="false">IF(F2938="","",F2938*L2938)</f>
        <v/>
      </c>
      <c r="R2938" s="33" t="str">
        <f aca="false">IF(F2938="","",IF(H2938="",F2938,0))</f>
        <v/>
      </c>
      <c r="S2938" s="32" t="str">
        <f aca="false">IF(F2938="","",IF(N(O2938)=0,"",IF(O2938&lt;=30,"1-30",IF(O2938&lt;=60,"31-60",IF(O2938&lt;=90,"61-90","90+")))))</f>
        <v/>
      </c>
      <c r="T2938" s="32" t="str">
        <f aca="false">IF(F2938="","",IF(E2938="","Diğer",E2938))</f>
        <v/>
      </c>
      <c r="U2938" s="32" t="str">
        <f aca="false">IF(OR(F2938="",C2938=""),"",IF(COUNTIF($C$2:C2938,C2938)=1,MAX($U$1:U2937)+1,""))</f>
        <v/>
      </c>
    </row>
    <row r="2939" customFormat="false" ht="15" hidden="false" customHeight="false" outlineLevel="0" collapsed="false">
      <c r="A2939" s="34"/>
      <c r="B2939" s="9"/>
      <c r="C2939" s="34"/>
      <c r="D2939" s="34"/>
      <c r="E2939" s="34"/>
      <c r="F2939" s="35"/>
      <c r="G2939" s="9"/>
      <c r="H2939" s="9"/>
      <c r="I2939" s="34"/>
      <c r="J2939" s="30" t="str">
        <f aca="false">IF(F2939="","",G2939-B2939)</f>
        <v/>
      </c>
      <c r="K2939" s="31" t="str">
        <f aca="false">IF(F2939="","",IF(H2939&lt;&gt;"",H2939,MAX('Vade Sapması'!$D$3,G2939)))</f>
        <v/>
      </c>
      <c r="L2939" s="30" t="str">
        <f aca="false">IF(F2939="","",K2939-B2939)</f>
        <v/>
      </c>
      <c r="M2939" s="30" t="str">
        <f aca="false">IF(F2939="","",L2939-J2939)</f>
        <v/>
      </c>
      <c r="N2939" s="32" t="str">
        <f aca="false">IF(F2939="","",IF(H2939&lt;&gt;"","Kapandı",IF('Vade Sapması'!$D$3&gt;G2939,"Açık · vadesi geçti","Açık · vadesi gelmedi")))</f>
        <v/>
      </c>
      <c r="O2939" s="30" t="str">
        <f aca="false">IF(F2939="","",IF(AND(H2939="",'Vade Sapması'!$D$3&gt;G2939),'Vade Sapması'!$D$3-G2939,0))</f>
        <v/>
      </c>
      <c r="P2939" s="33" t="str">
        <f aca="false">IF(F2939="","",F2939*J2939)</f>
        <v/>
      </c>
      <c r="Q2939" s="33" t="str">
        <f aca="false">IF(F2939="","",F2939*L2939)</f>
        <v/>
      </c>
      <c r="R2939" s="33" t="str">
        <f aca="false">IF(F2939="","",IF(H2939="",F2939,0))</f>
        <v/>
      </c>
      <c r="S2939" s="32" t="str">
        <f aca="false">IF(F2939="","",IF(N(O2939)=0,"",IF(O2939&lt;=30,"1-30",IF(O2939&lt;=60,"31-60",IF(O2939&lt;=90,"61-90","90+")))))</f>
        <v/>
      </c>
      <c r="T2939" s="32" t="str">
        <f aca="false">IF(F2939="","",IF(E2939="","Diğer",E2939))</f>
        <v/>
      </c>
      <c r="U2939" s="32" t="str">
        <f aca="false">IF(OR(F2939="",C2939=""),"",IF(COUNTIF($C$2:C2939,C2939)=1,MAX($U$1:U2938)+1,""))</f>
        <v/>
      </c>
    </row>
    <row r="2940" customFormat="false" ht="15" hidden="false" customHeight="false" outlineLevel="0" collapsed="false">
      <c r="A2940" s="34"/>
      <c r="B2940" s="9"/>
      <c r="C2940" s="34"/>
      <c r="D2940" s="34"/>
      <c r="E2940" s="34"/>
      <c r="F2940" s="35"/>
      <c r="G2940" s="9"/>
      <c r="H2940" s="9"/>
      <c r="I2940" s="34"/>
      <c r="J2940" s="30" t="str">
        <f aca="false">IF(F2940="","",G2940-B2940)</f>
        <v/>
      </c>
      <c r="K2940" s="31" t="str">
        <f aca="false">IF(F2940="","",IF(H2940&lt;&gt;"",H2940,MAX('Vade Sapması'!$D$3,G2940)))</f>
        <v/>
      </c>
      <c r="L2940" s="30" t="str">
        <f aca="false">IF(F2940="","",K2940-B2940)</f>
        <v/>
      </c>
      <c r="M2940" s="30" t="str">
        <f aca="false">IF(F2940="","",L2940-J2940)</f>
        <v/>
      </c>
      <c r="N2940" s="32" t="str">
        <f aca="false">IF(F2940="","",IF(H2940&lt;&gt;"","Kapandı",IF('Vade Sapması'!$D$3&gt;G2940,"Açık · vadesi geçti","Açık · vadesi gelmedi")))</f>
        <v/>
      </c>
      <c r="O2940" s="30" t="str">
        <f aca="false">IF(F2940="","",IF(AND(H2940="",'Vade Sapması'!$D$3&gt;G2940),'Vade Sapması'!$D$3-G2940,0))</f>
        <v/>
      </c>
      <c r="P2940" s="33" t="str">
        <f aca="false">IF(F2940="","",F2940*J2940)</f>
        <v/>
      </c>
      <c r="Q2940" s="33" t="str">
        <f aca="false">IF(F2940="","",F2940*L2940)</f>
        <v/>
      </c>
      <c r="R2940" s="33" t="str">
        <f aca="false">IF(F2940="","",IF(H2940="",F2940,0))</f>
        <v/>
      </c>
      <c r="S2940" s="32" t="str">
        <f aca="false">IF(F2940="","",IF(N(O2940)=0,"",IF(O2940&lt;=30,"1-30",IF(O2940&lt;=60,"31-60",IF(O2940&lt;=90,"61-90","90+")))))</f>
        <v/>
      </c>
      <c r="T2940" s="32" t="str">
        <f aca="false">IF(F2940="","",IF(E2940="","Diğer",E2940))</f>
        <v/>
      </c>
      <c r="U2940" s="32" t="str">
        <f aca="false">IF(OR(F2940="",C2940=""),"",IF(COUNTIF($C$2:C2940,C2940)=1,MAX($U$1:U2939)+1,""))</f>
        <v/>
      </c>
    </row>
    <row r="2941" customFormat="false" ht="15" hidden="false" customHeight="false" outlineLevel="0" collapsed="false">
      <c r="A2941" s="34"/>
      <c r="B2941" s="9"/>
      <c r="C2941" s="34"/>
      <c r="D2941" s="34"/>
      <c r="E2941" s="34"/>
      <c r="F2941" s="35"/>
      <c r="G2941" s="9"/>
      <c r="H2941" s="9"/>
      <c r="I2941" s="34"/>
      <c r="J2941" s="30" t="str">
        <f aca="false">IF(F2941="","",G2941-B2941)</f>
        <v/>
      </c>
      <c r="K2941" s="31" t="str">
        <f aca="false">IF(F2941="","",IF(H2941&lt;&gt;"",H2941,MAX('Vade Sapması'!$D$3,G2941)))</f>
        <v/>
      </c>
      <c r="L2941" s="30" t="str">
        <f aca="false">IF(F2941="","",K2941-B2941)</f>
        <v/>
      </c>
      <c r="M2941" s="30" t="str">
        <f aca="false">IF(F2941="","",L2941-J2941)</f>
        <v/>
      </c>
      <c r="N2941" s="32" t="str">
        <f aca="false">IF(F2941="","",IF(H2941&lt;&gt;"","Kapandı",IF('Vade Sapması'!$D$3&gt;G2941,"Açık · vadesi geçti","Açık · vadesi gelmedi")))</f>
        <v/>
      </c>
      <c r="O2941" s="30" t="str">
        <f aca="false">IF(F2941="","",IF(AND(H2941="",'Vade Sapması'!$D$3&gt;G2941),'Vade Sapması'!$D$3-G2941,0))</f>
        <v/>
      </c>
      <c r="P2941" s="33" t="str">
        <f aca="false">IF(F2941="","",F2941*J2941)</f>
        <v/>
      </c>
      <c r="Q2941" s="33" t="str">
        <f aca="false">IF(F2941="","",F2941*L2941)</f>
        <v/>
      </c>
      <c r="R2941" s="33" t="str">
        <f aca="false">IF(F2941="","",IF(H2941="",F2941,0))</f>
        <v/>
      </c>
      <c r="S2941" s="32" t="str">
        <f aca="false">IF(F2941="","",IF(N(O2941)=0,"",IF(O2941&lt;=30,"1-30",IF(O2941&lt;=60,"31-60",IF(O2941&lt;=90,"61-90","90+")))))</f>
        <v/>
      </c>
      <c r="T2941" s="32" t="str">
        <f aca="false">IF(F2941="","",IF(E2941="","Diğer",E2941))</f>
        <v/>
      </c>
      <c r="U2941" s="32" t="str">
        <f aca="false">IF(OR(F2941="",C2941=""),"",IF(COUNTIF($C$2:C2941,C2941)=1,MAX($U$1:U2940)+1,""))</f>
        <v/>
      </c>
    </row>
    <row r="2942" customFormat="false" ht="15" hidden="false" customHeight="false" outlineLevel="0" collapsed="false">
      <c r="A2942" s="34"/>
      <c r="B2942" s="9"/>
      <c r="C2942" s="34"/>
      <c r="D2942" s="34"/>
      <c r="E2942" s="34"/>
      <c r="F2942" s="35"/>
      <c r="G2942" s="9"/>
      <c r="H2942" s="9"/>
      <c r="I2942" s="34"/>
      <c r="J2942" s="30" t="str">
        <f aca="false">IF(F2942="","",G2942-B2942)</f>
        <v/>
      </c>
      <c r="K2942" s="31" t="str">
        <f aca="false">IF(F2942="","",IF(H2942&lt;&gt;"",H2942,MAX('Vade Sapması'!$D$3,G2942)))</f>
        <v/>
      </c>
      <c r="L2942" s="30" t="str">
        <f aca="false">IF(F2942="","",K2942-B2942)</f>
        <v/>
      </c>
      <c r="M2942" s="30" t="str">
        <f aca="false">IF(F2942="","",L2942-J2942)</f>
        <v/>
      </c>
      <c r="N2942" s="32" t="str">
        <f aca="false">IF(F2942="","",IF(H2942&lt;&gt;"","Kapandı",IF('Vade Sapması'!$D$3&gt;G2942,"Açık · vadesi geçti","Açık · vadesi gelmedi")))</f>
        <v/>
      </c>
      <c r="O2942" s="30" t="str">
        <f aca="false">IF(F2942="","",IF(AND(H2942="",'Vade Sapması'!$D$3&gt;G2942),'Vade Sapması'!$D$3-G2942,0))</f>
        <v/>
      </c>
      <c r="P2942" s="33" t="str">
        <f aca="false">IF(F2942="","",F2942*J2942)</f>
        <v/>
      </c>
      <c r="Q2942" s="33" t="str">
        <f aca="false">IF(F2942="","",F2942*L2942)</f>
        <v/>
      </c>
      <c r="R2942" s="33" t="str">
        <f aca="false">IF(F2942="","",IF(H2942="",F2942,0))</f>
        <v/>
      </c>
      <c r="S2942" s="32" t="str">
        <f aca="false">IF(F2942="","",IF(N(O2942)=0,"",IF(O2942&lt;=30,"1-30",IF(O2942&lt;=60,"31-60",IF(O2942&lt;=90,"61-90","90+")))))</f>
        <v/>
      </c>
      <c r="T2942" s="32" t="str">
        <f aca="false">IF(F2942="","",IF(E2942="","Diğer",E2942))</f>
        <v/>
      </c>
      <c r="U2942" s="32" t="str">
        <f aca="false">IF(OR(F2942="",C2942=""),"",IF(COUNTIF($C$2:C2942,C2942)=1,MAX($U$1:U2941)+1,""))</f>
        <v/>
      </c>
    </row>
    <row r="2943" customFormat="false" ht="15" hidden="false" customHeight="false" outlineLevel="0" collapsed="false">
      <c r="A2943" s="34"/>
      <c r="B2943" s="9"/>
      <c r="C2943" s="34"/>
      <c r="D2943" s="34"/>
      <c r="E2943" s="34"/>
      <c r="F2943" s="35"/>
      <c r="G2943" s="9"/>
      <c r="H2943" s="9"/>
      <c r="I2943" s="34"/>
      <c r="J2943" s="30" t="str">
        <f aca="false">IF(F2943="","",G2943-B2943)</f>
        <v/>
      </c>
      <c r="K2943" s="31" t="str">
        <f aca="false">IF(F2943="","",IF(H2943&lt;&gt;"",H2943,MAX('Vade Sapması'!$D$3,G2943)))</f>
        <v/>
      </c>
      <c r="L2943" s="30" t="str">
        <f aca="false">IF(F2943="","",K2943-B2943)</f>
        <v/>
      </c>
      <c r="M2943" s="30" t="str">
        <f aca="false">IF(F2943="","",L2943-J2943)</f>
        <v/>
      </c>
      <c r="N2943" s="32" t="str">
        <f aca="false">IF(F2943="","",IF(H2943&lt;&gt;"","Kapandı",IF('Vade Sapması'!$D$3&gt;G2943,"Açık · vadesi geçti","Açık · vadesi gelmedi")))</f>
        <v/>
      </c>
      <c r="O2943" s="30" t="str">
        <f aca="false">IF(F2943="","",IF(AND(H2943="",'Vade Sapması'!$D$3&gt;G2943),'Vade Sapması'!$D$3-G2943,0))</f>
        <v/>
      </c>
      <c r="P2943" s="33" t="str">
        <f aca="false">IF(F2943="","",F2943*J2943)</f>
        <v/>
      </c>
      <c r="Q2943" s="33" t="str">
        <f aca="false">IF(F2943="","",F2943*L2943)</f>
        <v/>
      </c>
      <c r="R2943" s="33" t="str">
        <f aca="false">IF(F2943="","",IF(H2943="",F2943,0))</f>
        <v/>
      </c>
      <c r="S2943" s="32" t="str">
        <f aca="false">IF(F2943="","",IF(N(O2943)=0,"",IF(O2943&lt;=30,"1-30",IF(O2943&lt;=60,"31-60",IF(O2943&lt;=90,"61-90","90+")))))</f>
        <v/>
      </c>
      <c r="T2943" s="32" t="str">
        <f aca="false">IF(F2943="","",IF(E2943="","Diğer",E2943))</f>
        <v/>
      </c>
      <c r="U2943" s="32" t="str">
        <f aca="false">IF(OR(F2943="",C2943=""),"",IF(COUNTIF($C$2:C2943,C2943)=1,MAX($U$1:U2942)+1,""))</f>
        <v/>
      </c>
    </row>
    <row r="2944" customFormat="false" ht="15" hidden="false" customHeight="false" outlineLevel="0" collapsed="false">
      <c r="A2944" s="34"/>
      <c r="B2944" s="9"/>
      <c r="C2944" s="34"/>
      <c r="D2944" s="34"/>
      <c r="E2944" s="34"/>
      <c r="F2944" s="35"/>
      <c r="G2944" s="9"/>
      <c r="H2944" s="9"/>
      <c r="I2944" s="34"/>
      <c r="J2944" s="30" t="str">
        <f aca="false">IF(F2944="","",G2944-B2944)</f>
        <v/>
      </c>
      <c r="K2944" s="31" t="str">
        <f aca="false">IF(F2944="","",IF(H2944&lt;&gt;"",H2944,MAX('Vade Sapması'!$D$3,G2944)))</f>
        <v/>
      </c>
      <c r="L2944" s="30" t="str">
        <f aca="false">IF(F2944="","",K2944-B2944)</f>
        <v/>
      </c>
      <c r="M2944" s="30" t="str">
        <f aca="false">IF(F2944="","",L2944-J2944)</f>
        <v/>
      </c>
      <c r="N2944" s="32" t="str">
        <f aca="false">IF(F2944="","",IF(H2944&lt;&gt;"","Kapandı",IF('Vade Sapması'!$D$3&gt;G2944,"Açık · vadesi geçti","Açık · vadesi gelmedi")))</f>
        <v/>
      </c>
      <c r="O2944" s="30" t="str">
        <f aca="false">IF(F2944="","",IF(AND(H2944="",'Vade Sapması'!$D$3&gt;G2944),'Vade Sapması'!$D$3-G2944,0))</f>
        <v/>
      </c>
      <c r="P2944" s="33" t="str">
        <f aca="false">IF(F2944="","",F2944*J2944)</f>
        <v/>
      </c>
      <c r="Q2944" s="33" t="str">
        <f aca="false">IF(F2944="","",F2944*L2944)</f>
        <v/>
      </c>
      <c r="R2944" s="33" t="str">
        <f aca="false">IF(F2944="","",IF(H2944="",F2944,0))</f>
        <v/>
      </c>
      <c r="S2944" s="32" t="str">
        <f aca="false">IF(F2944="","",IF(N(O2944)=0,"",IF(O2944&lt;=30,"1-30",IF(O2944&lt;=60,"31-60",IF(O2944&lt;=90,"61-90","90+")))))</f>
        <v/>
      </c>
      <c r="T2944" s="32" t="str">
        <f aca="false">IF(F2944="","",IF(E2944="","Diğer",E2944))</f>
        <v/>
      </c>
      <c r="U2944" s="32" t="str">
        <f aca="false">IF(OR(F2944="",C2944=""),"",IF(COUNTIF($C$2:C2944,C2944)=1,MAX($U$1:U2943)+1,""))</f>
        <v/>
      </c>
    </row>
    <row r="2945" customFormat="false" ht="15" hidden="false" customHeight="false" outlineLevel="0" collapsed="false">
      <c r="A2945" s="34"/>
      <c r="B2945" s="9"/>
      <c r="C2945" s="34"/>
      <c r="D2945" s="34"/>
      <c r="E2945" s="34"/>
      <c r="F2945" s="35"/>
      <c r="G2945" s="9"/>
      <c r="H2945" s="9"/>
      <c r="I2945" s="34"/>
      <c r="J2945" s="30" t="str">
        <f aca="false">IF(F2945="","",G2945-B2945)</f>
        <v/>
      </c>
      <c r="K2945" s="31" t="str">
        <f aca="false">IF(F2945="","",IF(H2945&lt;&gt;"",H2945,MAX('Vade Sapması'!$D$3,G2945)))</f>
        <v/>
      </c>
      <c r="L2945" s="30" t="str">
        <f aca="false">IF(F2945="","",K2945-B2945)</f>
        <v/>
      </c>
      <c r="M2945" s="30" t="str">
        <f aca="false">IF(F2945="","",L2945-J2945)</f>
        <v/>
      </c>
      <c r="N2945" s="32" t="str">
        <f aca="false">IF(F2945="","",IF(H2945&lt;&gt;"","Kapandı",IF('Vade Sapması'!$D$3&gt;G2945,"Açık · vadesi geçti","Açık · vadesi gelmedi")))</f>
        <v/>
      </c>
      <c r="O2945" s="30" t="str">
        <f aca="false">IF(F2945="","",IF(AND(H2945="",'Vade Sapması'!$D$3&gt;G2945),'Vade Sapması'!$D$3-G2945,0))</f>
        <v/>
      </c>
      <c r="P2945" s="33" t="str">
        <f aca="false">IF(F2945="","",F2945*J2945)</f>
        <v/>
      </c>
      <c r="Q2945" s="33" t="str">
        <f aca="false">IF(F2945="","",F2945*L2945)</f>
        <v/>
      </c>
      <c r="R2945" s="33" t="str">
        <f aca="false">IF(F2945="","",IF(H2945="",F2945,0))</f>
        <v/>
      </c>
      <c r="S2945" s="32" t="str">
        <f aca="false">IF(F2945="","",IF(N(O2945)=0,"",IF(O2945&lt;=30,"1-30",IF(O2945&lt;=60,"31-60",IF(O2945&lt;=90,"61-90","90+")))))</f>
        <v/>
      </c>
      <c r="T2945" s="32" t="str">
        <f aca="false">IF(F2945="","",IF(E2945="","Diğer",E2945))</f>
        <v/>
      </c>
      <c r="U2945" s="32" t="str">
        <f aca="false">IF(OR(F2945="",C2945=""),"",IF(COUNTIF($C$2:C2945,C2945)=1,MAX($U$1:U2944)+1,""))</f>
        <v/>
      </c>
    </row>
    <row r="2946" customFormat="false" ht="15" hidden="false" customHeight="false" outlineLevel="0" collapsed="false">
      <c r="A2946" s="34"/>
      <c r="B2946" s="9"/>
      <c r="C2946" s="34"/>
      <c r="D2946" s="34"/>
      <c r="E2946" s="34"/>
      <c r="F2946" s="35"/>
      <c r="G2946" s="9"/>
      <c r="H2946" s="9"/>
      <c r="I2946" s="34"/>
      <c r="J2946" s="30" t="str">
        <f aca="false">IF(F2946="","",G2946-B2946)</f>
        <v/>
      </c>
      <c r="K2946" s="31" t="str">
        <f aca="false">IF(F2946="","",IF(H2946&lt;&gt;"",H2946,MAX('Vade Sapması'!$D$3,G2946)))</f>
        <v/>
      </c>
      <c r="L2946" s="30" t="str">
        <f aca="false">IF(F2946="","",K2946-B2946)</f>
        <v/>
      </c>
      <c r="M2946" s="30" t="str">
        <f aca="false">IF(F2946="","",L2946-J2946)</f>
        <v/>
      </c>
      <c r="N2946" s="32" t="str">
        <f aca="false">IF(F2946="","",IF(H2946&lt;&gt;"","Kapandı",IF('Vade Sapması'!$D$3&gt;G2946,"Açık · vadesi geçti","Açık · vadesi gelmedi")))</f>
        <v/>
      </c>
      <c r="O2946" s="30" t="str">
        <f aca="false">IF(F2946="","",IF(AND(H2946="",'Vade Sapması'!$D$3&gt;G2946),'Vade Sapması'!$D$3-G2946,0))</f>
        <v/>
      </c>
      <c r="P2946" s="33" t="str">
        <f aca="false">IF(F2946="","",F2946*J2946)</f>
        <v/>
      </c>
      <c r="Q2946" s="33" t="str">
        <f aca="false">IF(F2946="","",F2946*L2946)</f>
        <v/>
      </c>
      <c r="R2946" s="33" t="str">
        <f aca="false">IF(F2946="","",IF(H2946="",F2946,0))</f>
        <v/>
      </c>
      <c r="S2946" s="32" t="str">
        <f aca="false">IF(F2946="","",IF(N(O2946)=0,"",IF(O2946&lt;=30,"1-30",IF(O2946&lt;=60,"31-60",IF(O2946&lt;=90,"61-90","90+")))))</f>
        <v/>
      </c>
      <c r="T2946" s="32" t="str">
        <f aca="false">IF(F2946="","",IF(E2946="","Diğer",E2946))</f>
        <v/>
      </c>
      <c r="U2946" s="32" t="str">
        <f aca="false">IF(OR(F2946="",C2946=""),"",IF(COUNTIF($C$2:C2946,C2946)=1,MAX($U$1:U2945)+1,""))</f>
        <v/>
      </c>
    </row>
    <row r="2947" customFormat="false" ht="15" hidden="false" customHeight="false" outlineLevel="0" collapsed="false">
      <c r="A2947" s="34"/>
      <c r="B2947" s="9"/>
      <c r="C2947" s="34"/>
      <c r="D2947" s="34"/>
      <c r="E2947" s="34"/>
      <c r="F2947" s="35"/>
      <c r="G2947" s="9"/>
      <c r="H2947" s="9"/>
      <c r="I2947" s="34"/>
      <c r="J2947" s="30" t="str">
        <f aca="false">IF(F2947="","",G2947-B2947)</f>
        <v/>
      </c>
      <c r="K2947" s="31" t="str">
        <f aca="false">IF(F2947="","",IF(H2947&lt;&gt;"",H2947,MAX('Vade Sapması'!$D$3,G2947)))</f>
        <v/>
      </c>
      <c r="L2947" s="30" t="str">
        <f aca="false">IF(F2947="","",K2947-B2947)</f>
        <v/>
      </c>
      <c r="M2947" s="30" t="str">
        <f aca="false">IF(F2947="","",L2947-J2947)</f>
        <v/>
      </c>
      <c r="N2947" s="32" t="str">
        <f aca="false">IF(F2947="","",IF(H2947&lt;&gt;"","Kapandı",IF('Vade Sapması'!$D$3&gt;G2947,"Açık · vadesi geçti","Açık · vadesi gelmedi")))</f>
        <v/>
      </c>
      <c r="O2947" s="30" t="str">
        <f aca="false">IF(F2947="","",IF(AND(H2947="",'Vade Sapması'!$D$3&gt;G2947),'Vade Sapması'!$D$3-G2947,0))</f>
        <v/>
      </c>
      <c r="P2947" s="33" t="str">
        <f aca="false">IF(F2947="","",F2947*J2947)</f>
        <v/>
      </c>
      <c r="Q2947" s="33" t="str">
        <f aca="false">IF(F2947="","",F2947*L2947)</f>
        <v/>
      </c>
      <c r="R2947" s="33" t="str">
        <f aca="false">IF(F2947="","",IF(H2947="",F2947,0))</f>
        <v/>
      </c>
      <c r="S2947" s="32" t="str">
        <f aca="false">IF(F2947="","",IF(N(O2947)=0,"",IF(O2947&lt;=30,"1-30",IF(O2947&lt;=60,"31-60",IF(O2947&lt;=90,"61-90","90+")))))</f>
        <v/>
      </c>
      <c r="T2947" s="32" t="str">
        <f aca="false">IF(F2947="","",IF(E2947="","Diğer",E2947))</f>
        <v/>
      </c>
      <c r="U2947" s="32" t="str">
        <f aca="false">IF(OR(F2947="",C2947=""),"",IF(COUNTIF($C$2:C2947,C2947)=1,MAX($U$1:U2946)+1,""))</f>
        <v/>
      </c>
    </row>
    <row r="2948" customFormat="false" ht="15" hidden="false" customHeight="false" outlineLevel="0" collapsed="false">
      <c r="A2948" s="34"/>
      <c r="B2948" s="9"/>
      <c r="C2948" s="34"/>
      <c r="D2948" s="34"/>
      <c r="E2948" s="34"/>
      <c r="F2948" s="35"/>
      <c r="G2948" s="9"/>
      <c r="H2948" s="9"/>
      <c r="I2948" s="34"/>
      <c r="J2948" s="30" t="str">
        <f aca="false">IF(F2948="","",G2948-B2948)</f>
        <v/>
      </c>
      <c r="K2948" s="31" t="str">
        <f aca="false">IF(F2948="","",IF(H2948&lt;&gt;"",H2948,MAX('Vade Sapması'!$D$3,G2948)))</f>
        <v/>
      </c>
      <c r="L2948" s="30" t="str">
        <f aca="false">IF(F2948="","",K2948-B2948)</f>
        <v/>
      </c>
      <c r="M2948" s="30" t="str">
        <f aca="false">IF(F2948="","",L2948-J2948)</f>
        <v/>
      </c>
      <c r="N2948" s="32" t="str">
        <f aca="false">IF(F2948="","",IF(H2948&lt;&gt;"","Kapandı",IF('Vade Sapması'!$D$3&gt;G2948,"Açık · vadesi geçti","Açık · vadesi gelmedi")))</f>
        <v/>
      </c>
      <c r="O2948" s="30" t="str">
        <f aca="false">IF(F2948="","",IF(AND(H2948="",'Vade Sapması'!$D$3&gt;G2948),'Vade Sapması'!$D$3-G2948,0))</f>
        <v/>
      </c>
      <c r="P2948" s="33" t="str">
        <f aca="false">IF(F2948="","",F2948*J2948)</f>
        <v/>
      </c>
      <c r="Q2948" s="33" t="str">
        <f aca="false">IF(F2948="","",F2948*L2948)</f>
        <v/>
      </c>
      <c r="R2948" s="33" t="str">
        <f aca="false">IF(F2948="","",IF(H2948="",F2948,0))</f>
        <v/>
      </c>
      <c r="S2948" s="32" t="str">
        <f aca="false">IF(F2948="","",IF(N(O2948)=0,"",IF(O2948&lt;=30,"1-30",IF(O2948&lt;=60,"31-60",IF(O2948&lt;=90,"61-90","90+")))))</f>
        <v/>
      </c>
      <c r="T2948" s="32" t="str">
        <f aca="false">IF(F2948="","",IF(E2948="","Diğer",E2948))</f>
        <v/>
      </c>
      <c r="U2948" s="32" t="str">
        <f aca="false">IF(OR(F2948="",C2948=""),"",IF(COUNTIF($C$2:C2948,C2948)=1,MAX($U$1:U2947)+1,""))</f>
        <v/>
      </c>
    </row>
    <row r="2949" customFormat="false" ht="15" hidden="false" customHeight="false" outlineLevel="0" collapsed="false">
      <c r="A2949" s="34"/>
      <c r="B2949" s="9"/>
      <c r="C2949" s="34"/>
      <c r="D2949" s="34"/>
      <c r="E2949" s="34"/>
      <c r="F2949" s="35"/>
      <c r="G2949" s="9"/>
      <c r="H2949" s="9"/>
      <c r="I2949" s="34"/>
      <c r="J2949" s="30" t="str">
        <f aca="false">IF(F2949="","",G2949-B2949)</f>
        <v/>
      </c>
      <c r="K2949" s="31" t="str">
        <f aca="false">IF(F2949="","",IF(H2949&lt;&gt;"",H2949,MAX('Vade Sapması'!$D$3,G2949)))</f>
        <v/>
      </c>
      <c r="L2949" s="30" t="str">
        <f aca="false">IF(F2949="","",K2949-B2949)</f>
        <v/>
      </c>
      <c r="M2949" s="30" t="str">
        <f aca="false">IF(F2949="","",L2949-J2949)</f>
        <v/>
      </c>
      <c r="N2949" s="32" t="str">
        <f aca="false">IF(F2949="","",IF(H2949&lt;&gt;"","Kapandı",IF('Vade Sapması'!$D$3&gt;G2949,"Açık · vadesi geçti","Açık · vadesi gelmedi")))</f>
        <v/>
      </c>
      <c r="O2949" s="30" t="str">
        <f aca="false">IF(F2949="","",IF(AND(H2949="",'Vade Sapması'!$D$3&gt;G2949),'Vade Sapması'!$D$3-G2949,0))</f>
        <v/>
      </c>
      <c r="P2949" s="33" t="str">
        <f aca="false">IF(F2949="","",F2949*J2949)</f>
        <v/>
      </c>
      <c r="Q2949" s="33" t="str">
        <f aca="false">IF(F2949="","",F2949*L2949)</f>
        <v/>
      </c>
      <c r="R2949" s="33" t="str">
        <f aca="false">IF(F2949="","",IF(H2949="",F2949,0))</f>
        <v/>
      </c>
      <c r="S2949" s="32" t="str">
        <f aca="false">IF(F2949="","",IF(N(O2949)=0,"",IF(O2949&lt;=30,"1-30",IF(O2949&lt;=60,"31-60",IF(O2949&lt;=90,"61-90","90+")))))</f>
        <v/>
      </c>
      <c r="T2949" s="32" t="str">
        <f aca="false">IF(F2949="","",IF(E2949="","Diğer",E2949))</f>
        <v/>
      </c>
      <c r="U2949" s="32" t="str">
        <f aca="false">IF(OR(F2949="",C2949=""),"",IF(COUNTIF($C$2:C2949,C2949)=1,MAX($U$1:U2948)+1,""))</f>
        <v/>
      </c>
    </row>
    <row r="2950" customFormat="false" ht="15" hidden="false" customHeight="false" outlineLevel="0" collapsed="false">
      <c r="A2950" s="34"/>
      <c r="B2950" s="9"/>
      <c r="C2950" s="34"/>
      <c r="D2950" s="34"/>
      <c r="E2950" s="34"/>
      <c r="F2950" s="35"/>
      <c r="G2950" s="9"/>
      <c r="H2950" s="9"/>
      <c r="I2950" s="34"/>
      <c r="J2950" s="30" t="str">
        <f aca="false">IF(F2950="","",G2950-B2950)</f>
        <v/>
      </c>
      <c r="K2950" s="31" t="str">
        <f aca="false">IF(F2950="","",IF(H2950&lt;&gt;"",H2950,MAX('Vade Sapması'!$D$3,G2950)))</f>
        <v/>
      </c>
      <c r="L2950" s="30" t="str">
        <f aca="false">IF(F2950="","",K2950-B2950)</f>
        <v/>
      </c>
      <c r="M2950" s="30" t="str">
        <f aca="false">IF(F2950="","",L2950-J2950)</f>
        <v/>
      </c>
      <c r="N2950" s="32" t="str">
        <f aca="false">IF(F2950="","",IF(H2950&lt;&gt;"","Kapandı",IF('Vade Sapması'!$D$3&gt;G2950,"Açık · vadesi geçti","Açık · vadesi gelmedi")))</f>
        <v/>
      </c>
      <c r="O2950" s="30" t="str">
        <f aca="false">IF(F2950="","",IF(AND(H2950="",'Vade Sapması'!$D$3&gt;G2950),'Vade Sapması'!$D$3-G2950,0))</f>
        <v/>
      </c>
      <c r="P2950" s="33" t="str">
        <f aca="false">IF(F2950="","",F2950*J2950)</f>
        <v/>
      </c>
      <c r="Q2950" s="33" t="str">
        <f aca="false">IF(F2950="","",F2950*L2950)</f>
        <v/>
      </c>
      <c r="R2950" s="33" t="str">
        <f aca="false">IF(F2950="","",IF(H2950="",F2950,0))</f>
        <v/>
      </c>
      <c r="S2950" s="32" t="str">
        <f aca="false">IF(F2950="","",IF(N(O2950)=0,"",IF(O2950&lt;=30,"1-30",IF(O2950&lt;=60,"31-60",IF(O2950&lt;=90,"61-90","90+")))))</f>
        <v/>
      </c>
      <c r="T2950" s="32" t="str">
        <f aca="false">IF(F2950="","",IF(E2950="","Diğer",E2950))</f>
        <v/>
      </c>
      <c r="U2950" s="32" t="str">
        <f aca="false">IF(OR(F2950="",C2950=""),"",IF(COUNTIF($C$2:C2950,C2950)=1,MAX($U$1:U2949)+1,""))</f>
        <v/>
      </c>
    </row>
    <row r="2951" customFormat="false" ht="15" hidden="false" customHeight="false" outlineLevel="0" collapsed="false">
      <c r="A2951" s="34"/>
      <c r="B2951" s="9"/>
      <c r="C2951" s="34"/>
      <c r="D2951" s="34"/>
      <c r="E2951" s="34"/>
      <c r="F2951" s="35"/>
      <c r="G2951" s="9"/>
      <c r="H2951" s="9"/>
      <c r="I2951" s="34"/>
      <c r="J2951" s="30" t="str">
        <f aca="false">IF(F2951="","",G2951-B2951)</f>
        <v/>
      </c>
      <c r="K2951" s="31" t="str">
        <f aca="false">IF(F2951="","",IF(H2951&lt;&gt;"",H2951,MAX('Vade Sapması'!$D$3,G2951)))</f>
        <v/>
      </c>
      <c r="L2951" s="30" t="str">
        <f aca="false">IF(F2951="","",K2951-B2951)</f>
        <v/>
      </c>
      <c r="M2951" s="30" t="str">
        <f aca="false">IF(F2951="","",L2951-J2951)</f>
        <v/>
      </c>
      <c r="N2951" s="32" t="str">
        <f aca="false">IF(F2951="","",IF(H2951&lt;&gt;"","Kapandı",IF('Vade Sapması'!$D$3&gt;G2951,"Açık · vadesi geçti","Açık · vadesi gelmedi")))</f>
        <v/>
      </c>
      <c r="O2951" s="30" t="str">
        <f aca="false">IF(F2951="","",IF(AND(H2951="",'Vade Sapması'!$D$3&gt;G2951),'Vade Sapması'!$D$3-G2951,0))</f>
        <v/>
      </c>
      <c r="P2951" s="33" t="str">
        <f aca="false">IF(F2951="","",F2951*J2951)</f>
        <v/>
      </c>
      <c r="Q2951" s="33" t="str">
        <f aca="false">IF(F2951="","",F2951*L2951)</f>
        <v/>
      </c>
      <c r="R2951" s="33" t="str">
        <f aca="false">IF(F2951="","",IF(H2951="",F2951,0))</f>
        <v/>
      </c>
      <c r="S2951" s="32" t="str">
        <f aca="false">IF(F2951="","",IF(N(O2951)=0,"",IF(O2951&lt;=30,"1-30",IF(O2951&lt;=60,"31-60",IF(O2951&lt;=90,"61-90","90+")))))</f>
        <v/>
      </c>
      <c r="T2951" s="32" t="str">
        <f aca="false">IF(F2951="","",IF(E2951="","Diğer",E2951))</f>
        <v/>
      </c>
      <c r="U2951" s="32" t="str">
        <f aca="false">IF(OR(F2951="",C2951=""),"",IF(COUNTIF($C$2:C2951,C2951)=1,MAX($U$1:U2950)+1,""))</f>
        <v/>
      </c>
    </row>
    <row r="2952" customFormat="false" ht="15" hidden="false" customHeight="false" outlineLevel="0" collapsed="false">
      <c r="A2952" s="34"/>
      <c r="B2952" s="9"/>
      <c r="C2952" s="34"/>
      <c r="D2952" s="34"/>
      <c r="E2952" s="34"/>
      <c r="F2952" s="35"/>
      <c r="G2952" s="9"/>
      <c r="H2952" s="9"/>
      <c r="I2952" s="34"/>
      <c r="J2952" s="30" t="str">
        <f aca="false">IF(F2952="","",G2952-B2952)</f>
        <v/>
      </c>
      <c r="K2952" s="31" t="str">
        <f aca="false">IF(F2952="","",IF(H2952&lt;&gt;"",H2952,MAX('Vade Sapması'!$D$3,G2952)))</f>
        <v/>
      </c>
      <c r="L2952" s="30" t="str">
        <f aca="false">IF(F2952="","",K2952-B2952)</f>
        <v/>
      </c>
      <c r="M2952" s="30" t="str">
        <f aca="false">IF(F2952="","",L2952-J2952)</f>
        <v/>
      </c>
      <c r="N2952" s="32" t="str">
        <f aca="false">IF(F2952="","",IF(H2952&lt;&gt;"","Kapandı",IF('Vade Sapması'!$D$3&gt;G2952,"Açık · vadesi geçti","Açık · vadesi gelmedi")))</f>
        <v/>
      </c>
      <c r="O2952" s="30" t="str">
        <f aca="false">IF(F2952="","",IF(AND(H2952="",'Vade Sapması'!$D$3&gt;G2952),'Vade Sapması'!$D$3-G2952,0))</f>
        <v/>
      </c>
      <c r="P2952" s="33" t="str">
        <f aca="false">IF(F2952="","",F2952*J2952)</f>
        <v/>
      </c>
      <c r="Q2952" s="33" t="str">
        <f aca="false">IF(F2952="","",F2952*L2952)</f>
        <v/>
      </c>
      <c r="R2952" s="33" t="str">
        <f aca="false">IF(F2952="","",IF(H2952="",F2952,0))</f>
        <v/>
      </c>
      <c r="S2952" s="32" t="str">
        <f aca="false">IF(F2952="","",IF(N(O2952)=0,"",IF(O2952&lt;=30,"1-30",IF(O2952&lt;=60,"31-60",IF(O2952&lt;=90,"61-90","90+")))))</f>
        <v/>
      </c>
      <c r="T2952" s="32" t="str">
        <f aca="false">IF(F2952="","",IF(E2952="","Diğer",E2952))</f>
        <v/>
      </c>
      <c r="U2952" s="32" t="str">
        <f aca="false">IF(OR(F2952="",C2952=""),"",IF(COUNTIF($C$2:C2952,C2952)=1,MAX($U$1:U2951)+1,""))</f>
        <v/>
      </c>
    </row>
    <row r="2953" customFormat="false" ht="15" hidden="false" customHeight="false" outlineLevel="0" collapsed="false">
      <c r="A2953" s="34"/>
      <c r="B2953" s="9"/>
      <c r="C2953" s="34"/>
      <c r="D2953" s="34"/>
      <c r="E2953" s="34"/>
      <c r="F2953" s="35"/>
      <c r="G2953" s="9"/>
      <c r="H2953" s="9"/>
      <c r="I2953" s="34"/>
      <c r="J2953" s="30" t="str">
        <f aca="false">IF(F2953="","",G2953-B2953)</f>
        <v/>
      </c>
      <c r="K2953" s="31" t="str">
        <f aca="false">IF(F2953="","",IF(H2953&lt;&gt;"",H2953,MAX('Vade Sapması'!$D$3,G2953)))</f>
        <v/>
      </c>
      <c r="L2953" s="30" t="str">
        <f aca="false">IF(F2953="","",K2953-B2953)</f>
        <v/>
      </c>
      <c r="M2953" s="30" t="str">
        <f aca="false">IF(F2953="","",L2953-J2953)</f>
        <v/>
      </c>
      <c r="N2953" s="32" t="str">
        <f aca="false">IF(F2953="","",IF(H2953&lt;&gt;"","Kapandı",IF('Vade Sapması'!$D$3&gt;G2953,"Açık · vadesi geçti","Açık · vadesi gelmedi")))</f>
        <v/>
      </c>
      <c r="O2953" s="30" t="str">
        <f aca="false">IF(F2953="","",IF(AND(H2953="",'Vade Sapması'!$D$3&gt;G2953),'Vade Sapması'!$D$3-G2953,0))</f>
        <v/>
      </c>
      <c r="P2953" s="33" t="str">
        <f aca="false">IF(F2953="","",F2953*J2953)</f>
        <v/>
      </c>
      <c r="Q2953" s="33" t="str">
        <f aca="false">IF(F2953="","",F2953*L2953)</f>
        <v/>
      </c>
      <c r="R2953" s="33" t="str">
        <f aca="false">IF(F2953="","",IF(H2953="",F2953,0))</f>
        <v/>
      </c>
      <c r="S2953" s="32" t="str">
        <f aca="false">IF(F2953="","",IF(N(O2953)=0,"",IF(O2953&lt;=30,"1-30",IF(O2953&lt;=60,"31-60",IF(O2953&lt;=90,"61-90","90+")))))</f>
        <v/>
      </c>
      <c r="T2953" s="32" t="str">
        <f aca="false">IF(F2953="","",IF(E2953="","Diğer",E2953))</f>
        <v/>
      </c>
      <c r="U2953" s="32" t="str">
        <f aca="false">IF(OR(F2953="",C2953=""),"",IF(COUNTIF($C$2:C2953,C2953)=1,MAX($U$1:U2952)+1,""))</f>
        <v/>
      </c>
    </row>
    <row r="2954" customFormat="false" ht="15" hidden="false" customHeight="false" outlineLevel="0" collapsed="false">
      <c r="A2954" s="34"/>
      <c r="B2954" s="9"/>
      <c r="C2954" s="34"/>
      <c r="D2954" s="34"/>
      <c r="E2954" s="34"/>
      <c r="F2954" s="35"/>
      <c r="G2954" s="9"/>
      <c r="H2954" s="9"/>
      <c r="I2954" s="34"/>
      <c r="J2954" s="30" t="str">
        <f aca="false">IF(F2954="","",G2954-B2954)</f>
        <v/>
      </c>
      <c r="K2954" s="31" t="str">
        <f aca="false">IF(F2954="","",IF(H2954&lt;&gt;"",H2954,MAX('Vade Sapması'!$D$3,G2954)))</f>
        <v/>
      </c>
      <c r="L2954" s="30" t="str">
        <f aca="false">IF(F2954="","",K2954-B2954)</f>
        <v/>
      </c>
      <c r="M2954" s="30" t="str">
        <f aca="false">IF(F2954="","",L2954-J2954)</f>
        <v/>
      </c>
      <c r="N2954" s="32" t="str">
        <f aca="false">IF(F2954="","",IF(H2954&lt;&gt;"","Kapandı",IF('Vade Sapması'!$D$3&gt;G2954,"Açık · vadesi geçti","Açık · vadesi gelmedi")))</f>
        <v/>
      </c>
      <c r="O2954" s="30" t="str">
        <f aca="false">IF(F2954="","",IF(AND(H2954="",'Vade Sapması'!$D$3&gt;G2954),'Vade Sapması'!$D$3-G2954,0))</f>
        <v/>
      </c>
      <c r="P2954" s="33" t="str">
        <f aca="false">IF(F2954="","",F2954*J2954)</f>
        <v/>
      </c>
      <c r="Q2954" s="33" t="str">
        <f aca="false">IF(F2954="","",F2954*L2954)</f>
        <v/>
      </c>
      <c r="R2954" s="33" t="str">
        <f aca="false">IF(F2954="","",IF(H2954="",F2954,0))</f>
        <v/>
      </c>
      <c r="S2954" s="32" t="str">
        <f aca="false">IF(F2954="","",IF(N(O2954)=0,"",IF(O2954&lt;=30,"1-30",IF(O2954&lt;=60,"31-60",IF(O2954&lt;=90,"61-90","90+")))))</f>
        <v/>
      </c>
      <c r="T2954" s="32" t="str">
        <f aca="false">IF(F2954="","",IF(E2954="","Diğer",E2954))</f>
        <v/>
      </c>
      <c r="U2954" s="32" t="str">
        <f aca="false">IF(OR(F2954="",C2954=""),"",IF(COUNTIF($C$2:C2954,C2954)=1,MAX($U$1:U2953)+1,""))</f>
        <v/>
      </c>
    </row>
    <row r="2955" customFormat="false" ht="15" hidden="false" customHeight="false" outlineLevel="0" collapsed="false">
      <c r="A2955" s="34"/>
      <c r="B2955" s="9"/>
      <c r="C2955" s="34"/>
      <c r="D2955" s="34"/>
      <c r="E2955" s="34"/>
      <c r="F2955" s="35"/>
      <c r="G2955" s="9"/>
      <c r="H2955" s="9"/>
      <c r="I2955" s="34"/>
      <c r="J2955" s="30" t="str">
        <f aca="false">IF(F2955="","",G2955-B2955)</f>
        <v/>
      </c>
      <c r="K2955" s="31" t="str">
        <f aca="false">IF(F2955="","",IF(H2955&lt;&gt;"",H2955,MAX('Vade Sapması'!$D$3,G2955)))</f>
        <v/>
      </c>
      <c r="L2955" s="30" t="str">
        <f aca="false">IF(F2955="","",K2955-B2955)</f>
        <v/>
      </c>
      <c r="M2955" s="30" t="str">
        <f aca="false">IF(F2955="","",L2955-J2955)</f>
        <v/>
      </c>
      <c r="N2955" s="32" t="str">
        <f aca="false">IF(F2955="","",IF(H2955&lt;&gt;"","Kapandı",IF('Vade Sapması'!$D$3&gt;G2955,"Açık · vadesi geçti","Açık · vadesi gelmedi")))</f>
        <v/>
      </c>
      <c r="O2955" s="30" t="str">
        <f aca="false">IF(F2955="","",IF(AND(H2955="",'Vade Sapması'!$D$3&gt;G2955),'Vade Sapması'!$D$3-G2955,0))</f>
        <v/>
      </c>
      <c r="P2955" s="33" t="str">
        <f aca="false">IF(F2955="","",F2955*J2955)</f>
        <v/>
      </c>
      <c r="Q2955" s="33" t="str">
        <f aca="false">IF(F2955="","",F2955*L2955)</f>
        <v/>
      </c>
      <c r="R2955" s="33" t="str">
        <f aca="false">IF(F2955="","",IF(H2955="",F2955,0))</f>
        <v/>
      </c>
      <c r="S2955" s="32" t="str">
        <f aca="false">IF(F2955="","",IF(N(O2955)=0,"",IF(O2955&lt;=30,"1-30",IF(O2955&lt;=60,"31-60",IF(O2955&lt;=90,"61-90","90+")))))</f>
        <v/>
      </c>
      <c r="T2955" s="32" t="str">
        <f aca="false">IF(F2955="","",IF(E2955="","Diğer",E2955))</f>
        <v/>
      </c>
      <c r="U2955" s="32" t="str">
        <f aca="false">IF(OR(F2955="",C2955=""),"",IF(COUNTIF($C$2:C2955,C2955)=1,MAX($U$1:U2954)+1,""))</f>
        <v/>
      </c>
    </row>
    <row r="2956" customFormat="false" ht="15" hidden="false" customHeight="false" outlineLevel="0" collapsed="false">
      <c r="A2956" s="34"/>
      <c r="B2956" s="9"/>
      <c r="C2956" s="34"/>
      <c r="D2956" s="34"/>
      <c r="E2956" s="34"/>
      <c r="F2956" s="35"/>
      <c r="G2956" s="9"/>
      <c r="H2956" s="9"/>
      <c r="I2956" s="34"/>
      <c r="J2956" s="30" t="str">
        <f aca="false">IF(F2956="","",G2956-B2956)</f>
        <v/>
      </c>
      <c r="K2956" s="31" t="str">
        <f aca="false">IF(F2956="","",IF(H2956&lt;&gt;"",H2956,MAX('Vade Sapması'!$D$3,G2956)))</f>
        <v/>
      </c>
      <c r="L2956" s="30" t="str">
        <f aca="false">IF(F2956="","",K2956-B2956)</f>
        <v/>
      </c>
      <c r="M2956" s="30" t="str">
        <f aca="false">IF(F2956="","",L2956-J2956)</f>
        <v/>
      </c>
      <c r="N2956" s="32" t="str">
        <f aca="false">IF(F2956="","",IF(H2956&lt;&gt;"","Kapandı",IF('Vade Sapması'!$D$3&gt;G2956,"Açık · vadesi geçti","Açık · vadesi gelmedi")))</f>
        <v/>
      </c>
      <c r="O2956" s="30" t="str">
        <f aca="false">IF(F2956="","",IF(AND(H2956="",'Vade Sapması'!$D$3&gt;G2956),'Vade Sapması'!$D$3-G2956,0))</f>
        <v/>
      </c>
      <c r="P2956" s="33" t="str">
        <f aca="false">IF(F2956="","",F2956*J2956)</f>
        <v/>
      </c>
      <c r="Q2956" s="33" t="str">
        <f aca="false">IF(F2956="","",F2956*L2956)</f>
        <v/>
      </c>
      <c r="R2956" s="33" t="str">
        <f aca="false">IF(F2956="","",IF(H2956="",F2956,0))</f>
        <v/>
      </c>
      <c r="S2956" s="32" t="str">
        <f aca="false">IF(F2956="","",IF(N(O2956)=0,"",IF(O2956&lt;=30,"1-30",IF(O2956&lt;=60,"31-60",IF(O2956&lt;=90,"61-90","90+")))))</f>
        <v/>
      </c>
      <c r="T2956" s="32" t="str">
        <f aca="false">IF(F2956="","",IF(E2956="","Diğer",E2956))</f>
        <v/>
      </c>
      <c r="U2956" s="32" t="str">
        <f aca="false">IF(OR(F2956="",C2956=""),"",IF(COUNTIF($C$2:C2956,C2956)=1,MAX($U$1:U2955)+1,""))</f>
        <v/>
      </c>
    </row>
    <row r="2957" customFormat="false" ht="15" hidden="false" customHeight="false" outlineLevel="0" collapsed="false">
      <c r="A2957" s="34"/>
      <c r="B2957" s="9"/>
      <c r="C2957" s="34"/>
      <c r="D2957" s="34"/>
      <c r="E2957" s="34"/>
      <c r="F2957" s="35"/>
      <c r="G2957" s="9"/>
      <c r="H2957" s="9"/>
      <c r="I2957" s="34"/>
      <c r="J2957" s="30" t="str">
        <f aca="false">IF(F2957="","",G2957-B2957)</f>
        <v/>
      </c>
      <c r="K2957" s="31" t="str">
        <f aca="false">IF(F2957="","",IF(H2957&lt;&gt;"",H2957,MAX('Vade Sapması'!$D$3,G2957)))</f>
        <v/>
      </c>
      <c r="L2957" s="30" t="str">
        <f aca="false">IF(F2957="","",K2957-B2957)</f>
        <v/>
      </c>
      <c r="M2957" s="30" t="str">
        <f aca="false">IF(F2957="","",L2957-J2957)</f>
        <v/>
      </c>
      <c r="N2957" s="32" t="str">
        <f aca="false">IF(F2957="","",IF(H2957&lt;&gt;"","Kapandı",IF('Vade Sapması'!$D$3&gt;G2957,"Açık · vadesi geçti","Açık · vadesi gelmedi")))</f>
        <v/>
      </c>
      <c r="O2957" s="30" t="str">
        <f aca="false">IF(F2957="","",IF(AND(H2957="",'Vade Sapması'!$D$3&gt;G2957),'Vade Sapması'!$D$3-G2957,0))</f>
        <v/>
      </c>
      <c r="P2957" s="33" t="str">
        <f aca="false">IF(F2957="","",F2957*J2957)</f>
        <v/>
      </c>
      <c r="Q2957" s="33" t="str">
        <f aca="false">IF(F2957="","",F2957*L2957)</f>
        <v/>
      </c>
      <c r="R2957" s="33" t="str">
        <f aca="false">IF(F2957="","",IF(H2957="",F2957,0))</f>
        <v/>
      </c>
      <c r="S2957" s="32" t="str">
        <f aca="false">IF(F2957="","",IF(N(O2957)=0,"",IF(O2957&lt;=30,"1-30",IF(O2957&lt;=60,"31-60",IF(O2957&lt;=90,"61-90","90+")))))</f>
        <v/>
      </c>
      <c r="T2957" s="32" t="str">
        <f aca="false">IF(F2957="","",IF(E2957="","Diğer",E2957))</f>
        <v/>
      </c>
      <c r="U2957" s="32" t="str">
        <f aca="false">IF(OR(F2957="",C2957=""),"",IF(COUNTIF($C$2:C2957,C2957)=1,MAX($U$1:U2956)+1,""))</f>
        <v/>
      </c>
    </row>
    <row r="2958" customFormat="false" ht="15" hidden="false" customHeight="false" outlineLevel="0" collapsed="false">
      <c r="A2958" s="34"/>
      <c r="B2958" s="9"/>
      <c r="C2958" s="34"/>
      <c r="D2958" s="34"/>
      <c r="E2958" s="34"/>
      <c r="F2958" s="35"/>
      <c r="G2958" s="9"/>
      <c r="H2958" s="9"/>
      <c r="I2958" s="34"/>
      <c r="J2958" s="30" t="str">
        <f aca="false">IF(F2958="","",G2958-B2958)</f>
        <v/>
      </c>
      <c r="K2958" s="31" t="str">
        <f aca="false">IF(F2958="","",IF(H2958&lt;&gt;"",H2958,MAX('Vade Sapması'!$D$3,G2958)))</f>
        <v/>
      </c>
      <c r="L2958" s="30" t="str">
        <f aca="false">IF(F2958="","",K2958-B2958)</f>
        <v/>
      </c>
      <c r="M2958" s="30" t="str">
        <f aca="false">IF(F2958="","",L2958-J2958)</f>
        <v/>
      </c>
      <c r="N2958" s="32" t="str">
        <f aca="false">IF(F2958="","",IF(H2958&lt;&gt;"","Kapandı",IF('Vade Sapması'!$D$3&gt;G2958,"Açık · vadesi geçti","Açık · vadesi gelmedi")))</f>
        <v/>
      </c>
      <c r="O2958" s="30" t="str">
        <f aca="false">IF(F2958="","",IF(AND(H2958="",'Vade Sapması'!$D$3&gt;G2958),'Vade Sapması'!$D$3-G2958,0))</f>
        <v/>
      </c>
      <c r="P2958" s="33" t="str">
        <f aca="false">IF(F2958="","",F2958*J2958)</f>
        <v/>
      </c>
      <c r="Q2958" s="33" t="str">
        <f aca="false">IF(F2958="","",F2958*L2958)</f>
        <v/>
      </c>
      <c r="R2958" s="33" t="str">
        <f aca="false">IF(F2958="","",IF(H2958="",F2958,0))</f>
        <v/>
      </c>
      <c r="S2958" s="32" t="str">
        <f aca="false">IF(F2958="","",IF(N(O2958)=0,"",IF(O2958&lt;=30,"1-30",IF(O2958&lt;=60,"31-60",IF(O2958&lt;=90,"61-90","90+")))))</f>
        <v/>
      </c>
      <c r="T2958" s="32" t="str">
        <f aca="false">IF(F2958="","",IF(E2958="","Diğer",E2958))</f>
        <v/>
      </c>
      <c r="U2958" s="32" t="str">
        <f aca="false">IF(OR(F2958="",C2958=""),"",IF(COUNTIF($C$2:C2958,C2958)=1,MAX($U$1:U2957)+1,""))</f>
        <v/>
      </c>
    </row>
    <row r="2959" customFormat="false" ht="15" hidden="false" customHeight="false" outlineLevel="0" collapsed="false">
      <c r="A2959" s="34"/>
      <c r="B2959" s="9"/>
      <c r="C2959" s="34"/>
      <c r="D2959" s="34"/>
      <c r="E2959" s="34"/>
      <c r="F2959" s="35"/>
      <c r="G2959" s="9"/>
      <c r="H2959" s="9"/>
      <c r="I2959" s="34"/>
      <c r="J2959" s="30" t="str">
        <f aca="false">IF(F2959="","",G2959-B2959)</f>
        <v/>
      </c>
      <c r="K2959" s="31" t="str">
        <f aca="false">IF(F2959="","",IF(H2959&lt;&gt;"",H2959,MAX('Vade Sapması'!$D$3,G2959)))</f>
        <v/>
      </c>
      <c r="L2959" s="30" t="str">
        <f aca="false">IF(F2959="","",K2959-B2959)</f>
        <v/>
      </c>
      <c r="M2959" s="30" t="str">
        <f aca="false">IF(F2959="","",L2959-J2959)</f>
        <v/>
      </c>
      <c r="N2959" s="32" t="str">
        <f aca="false">IF(F2959="","",IF(H2959&lt;&gt;"","Kapandı",IF('Vade Sapması'!$D$3&gt;G2959,"Açık · vadesi geçti","Açık · vadesi gelmedi")))</f>
        <v/>
      </c>
      <c r="O2959" s="30" t="str">
        <f aca="false">IF(F2959="","",IF(AND(H2959="",'Vade Sapması'!$D$3&gt;G2959),'Vade Sapması'!$D$3-G2959,0))</f>
        <v/>
      </c>
      <c r="P2959" s="33" t="str">
        <f aca="false">IF(F2959="","",F2959*J2959)</f>
        <v/>
      </c>
      <c r="Q2959" s="33" t="str">
        <f aca="false">IF(F2959="","",F2959*L2959)</f>
        <v/>
      </c>
      <c r="R2959" s="33" t="str">
        <f aca="false">IF(F2959="","",IF(H2959="",F2959,0))</f>
        <v/>
      </c>
      <c r="S2959" s="32" t="str">
        <f aca="false">IF(F2959="","",IF(N(O2959)=0,"",IF(O2959&lt;=30,"1-30",IF(O2959&lt;=60,"31-60",IF(O2959&lt;=90,"61-90","90+")))))</f>
        <v/>
      </c>
      <c r="T2959" s="32" t="str">
        <f aca="false">IF(F2959="","",IF(E2959="","Diğer",E2959))</f>
        <v/>
      </c>
      <c r="U2959" s="32" t="str">
        <f aca="false">IF(OR(F2959="",C2959=""),"",IF(COUNTIF($C$2:C2959,C2959)=1,MAX($U$1:U2958)+1,""))</f>
        <v/>
      </c>
    </row>
    <row r="2960" customFormat="false" ht="15" hidden="false" customHeight="false" outlineLevel="0" collapsed="false">
      <c r="A2960" s="34"/>
      <c r="B2960" s="9"/>
      <c r="C2960" s="34"/>
      <c r="D2960" s="34"/>
      <c r="E2960" s="34"/>
      <c r="F2960" s="35"/>
      <c r="G2960" s="9"/>
      <c r="H2960" s="9"/>
      <c r="I2960" s="34"/>
      <c r="J2960" s="30" t="str">
        <f aca="false">IF(F2960="","",G2960-B2960)</f>
        <v/>
      </c>
      <c r="K2960" s="31" t="str">
        <f aca="false">IF(F2960="","",IF(H2960&lt;&gt;"",H2960,MAX('Vade Sapması'!$D$3,G2960)))</f>
        <v/>
      </c>
      <c r="L2960" s="30" t="str">
        <f aca="false">IF(F2960="","",K2960-B2960)</f>
        <v/>
      </c>
      <c r="M2960" s="30" t="str">
        <f aca="false">IF(F2960="","",L2960-J2960)</f>
        <v/>
      </c>
      <c r="N2960" s="32" t="str">
        <f aca="false">IF(F2960="","",IF(H2960&lt;&gt;"","Kapandı",IF('Vade Sapması'!$D$3&gt;G2960,"Açık · vadesi geçti","Açık · vadesi gelmedi")))</f>
        <v/>
      </c>
      <c r="O2960" s="30" t="str">
        <f aca="false">IF(F2960="","",IF(AND(H2960="",'Vade Sapması'!$D$3&gt;G2960),'Vade Sapması'!$D$3-G2960,0))</f>
        <v/>
      </c>
      <c r="P2960" s="33" t="str">
        <f aca="false">IF(F2960="","",F2960*J2960)</f>
        <v/>
      </c>
      <c r="Q2960" s="33" t="str">
        <f aca="false">IF(F2960="","",F2960*L2960)</f>
        <v/>
      </c>
      <c r="R2960" s="33" t="str">
        <f aca="false">IF(F2960="","",IF(H2960="",F2960,0))</f>
        <v/>
      </c>
      <c r="S2960" s="32" t="str">
        <f aca="false">IF(F2960="","",IF(N(O2960)=0,"",IF(O2960&lt;=30,"1-30",IF(O2960&lt;=60,"31-60",IF(O2960&lt;=90,"61-90","90+")))))</f>
        <v/>
      </c>
      <c r="T2960" s="32" t="str">
        <f aca="false">IF(F2960="","",IF(E2960="","Diğer",E2960))</f>
        <v/>
      </c>
      <c r="U2960" s="32" t="str">
        <f aca="false">IF(OR(F2960="",C2960=""),"",IF(COUNTIF($C$2:C2960,C2960)=1,MAX($U$1:U2959)+1,""))</f>
        <v/>
      </c>
    </row>
    <row r="2961" customFormat="false" ht="15" hidden="false" customHeight="false" outlineLevel="0" collapsed="false">
      <c r="A2961" s="34"/>
      <c r="B2961" s="9"/>
      <c r="C2961" s="34"/>
      <c r="D2961" s="34"/>
      <c r="E2961" s="34"/>
      <c r="F2961" s="35"/>
      <c r="G2961" s="9"/>
      <c r="H2961" s="9"/>
      <c r="I2961" s="34"/>
      <c r="J2961" s="30" t="str">
        <f aca="false">IF(F2961="","",G2961-B2961)</f>
        <v/>
      </c>
      <c r="K2961" s="31" t="str">
        <f aca="false">IF(F2961="","",IF(H2961&lt;&gt;"",H2961,MAX('Vade Sapması'!$D$3,G2961)))</f>
        <v/>
      </c>
      <c r="L2961" s="30" t="str">
        <f aca="false">IF(F2961="","",K2961-B2961)</f>
        <v/>
      </c>
      <c r="M2961" s="30" t="str">
        <f aca="false">IF(F2961="","",L2961-J2961)</f>
        <v/>
      </c>
      <c r="N2961" s="32" t="str">
        <f aca="false">IF(F2961="","",IF(H2961&lt;&gt;"","Kapandı",IF('Vade Sapması'!$D$3&gt;G2961,"Açık · vadesi geçti","Açık · vadesi gelmedi")))</f>
        <v/>
      </c>
      <c r="O2961" s="30" t="str">
        <f aca="false">IF(F2961="","",IF(AND(H2961="",'Vade Sapması'!$D$3&gt;G2961),'Vade Sapması'!$D$3-G2961,0))</f>
        <v/>
      </c>
      <c r="P2961" s="33" t="str">
        <f aca="false">IF(F2961="","",F2961*J2961)</f>
        <v/>
      </c>
      <c r="Q2961" s="33" t="str">
        <f aca="false">IF(F2961="","",F2961*L2961)</f>
        <v/>
      </c>
      <c r="R2961" s="33" t="str">
        <f aca="false">IF(F2961="","",IF(H2961="",F2961,0))</f>
        <v/>
      </c>
      <c r="S2961" s="32" t="str">
        <f aca="false">IF(F2961="","",IF(N(O2961)=0,"",IF(O2961&lt;=30,"1-30",IF(O2961&lt;=60,"31-60",IF(O2961&lt;=90,"61-90","90+")))))</f>
        <v/>
      </c>
      <c r="T2961" s="32" t="str">
        <f aca="false">IF(F2961="","",IF(E2961="","Diğer",E2961))</f>
        <v/>
      </c>
      <c r="U2961" s="32" t="str">
        <f aca="false">IF(OR(F2961="",C2961=""),"",IF(COUNTIF($C$2:C2961,C2961)=1,MAX($U$1:U2960)+1,""))</f>
        <v/>
      </c>
    </row>
    <row r="2962" customFormat="false" ht="15" hidden="false" customHeight="false" outlineLevel="0" collapsed="false">
      <c r="A2962" s="34"/>
      <c r="B2962" s="9"/>
      <c r="C2962" s="34"/>
      <c r="D2962" s="34"/>
      <c r="E2962" s="34"/>
      <c r="F2962" s="35"/>
      <c r="G2962" s="9"/>
      <c r="H2962" s="9"/>
      <c r="I2962" s="34"/>
      <c r="J2962" s="30" t="str">
        <f aca="false">IF(F2962="","",G2962-B2962)</f>
        <v/>
      </c>
      <c r="K2962" s="31" t="str">
        <f aca="false">IF(F2962="","",IF(H2962&lt;&gt;"",H2962,MAX('Vade Sapması'!$D$3,G2962)))</f>
        <v/>
      </c>
      <c r="L2962" s="30" t="str">
        <f aca="false">IF(F2962="","",K2962-B2962)</f>
        <v/>
      </c>
      <c r="M2962" s="30" t="str">
        <f aca="false">IF(F2962="","",L2962-J2962)</f>
        <v/>
      </c>
      <c r="N2962" s="32" t="str">
        <f aca="false">IF(F2962="","",IF(H2962&lt;&gt;"","Kapandı",IF('Vade Sapması'!$D$3&gt;G2962,"Açık · vadesi geçti","Açık · vadesi gelmedi")))</f>
        <v/>
      </c>
      <c r="O2962" s="30" t="str">
        <f aca="false">IF(F2962="","",IF(AND(H2962="",'Vade Sapması'!$D$3&gt;G2962),'Vade Sapması'!$D$3-G2962,0))</f>
        <v/>
      </c>
      <c r="P2962" s="33" t="str">
        <f aca="false">IF(F2962="","",F2962*J2962)</f>
        <v/>
      </c>
      <c r="Q2962" s="33" t="str">
        <f aca="false">IF(F2962="","",F2962*L2962)</f>
        <v/>
      </c>
      <c r="R2962" s="33" t="str">
        <f aca="false">IF(F2962="","",IF(H2962="",F2962,0))</f>
        <v/>
      </c>
      <c r="S2962" s="32" t="str">
        <f aca="false">IF(F2962="","",IF(N(O2962)=0,"",IF(O2962&lt;=30,"1-30",IF(O2962&lt;=60,"31-60",IF(O2962&lt;=90,"61-90","90+")))))</f>
        <v/>
      </c>
      <c r="T2962" s="32" t="str">
        <f aca="false">IF(F2962="","",IF(E2962="","Diğer",E2962))</f>
        <v/>
      </c>
      <c r="U2962" s="32" t="str">
        <f aca="false">IF(OR(F2962="",C2962=""),"",IF(COUNTIF($C$2:C2962,C2962)=1,MAX($U$1:U2961)+1,""))</f>
        <v/>
      </c>
    </row>
    <row r="2963" customFormat="false" ht="15" hidden="false" customHeight="false" outlineLevel="0" collapsed="false">
      <c r="A2963" s="34"/>
      <c r="B2963" s="9"/>
      <c r="C2963" s="34"/>
      <c r="D2963" s="34"/>
      <c r="E2963" s="34"/>
      <c r="F2963" s="35"/>
      <c r="G2963" s="9"/>
      <c r="H2963" s="9"/>
      <c r="I2963" s="34"/>
      <c r="J2963" s="30" t="str">
        <f aca="false">IF(F2963="","",G2963-B2963)</f>
        <v/>
      </c>
      <c r="K2963" s="31" t="str">
        <f aca="false">IF(F2963="","",IF(H2963&lt;&gt;"",H2963,MAX('Vade Sapması'!$D$3,G2963)))</f>
        <v/>
      </c>
      <c r="L2963" s="30" t="str">
        <f aca="false">IF(F2963="","",K2963-B2963)</f>
        <v/>
      </c>
      <c r="M2963" s="30" t="str">
        <f aca="false">IF(F2963="","",L2963-J2963)</f>
        <v/>
      </c>
      <c r="N2963" s="32" t="str">
        <f aca="false">IF(F2963="","",IF(H2963&lt;&gt;"","Kapandı",IF('Vade Sapması'!$D$3&gt;G2963,"Açık · vadesi geçti","Açık · vadesi gelmedi")))</f>
        <v/>
      </c>
      <c r="O2963" s="30" t="str">
        <f aca="false">IF(F2963="","",IF(AND(H2963="",'Vade Sapması'!$D$3&gt;G2963),'Vade Sapması'!$D$3-G2963,0))</f>
        <v/>
      </c>
      <c r="P2963" s="33" t="str">
        <f aca="false">IF(F2963="","",F2963*J2963)</f>
        <v/>
      </c>
      <c r="Q2963" s="33" t="str">
        <f aca="false">IF(F2963="","",F2963*L2963)</f>
        <v/>
      </c>
      <c r="R2963" s="33" t="str">
        <f aca="false">IF(F2963="","",IF(H2963="",F2963,0))</f>
        <v/>
      </c>
      <c r="S2963" s="32" t="str">
        <f aca="false">IF(F2963="","",IF(N(O2963)=0,"",IF(O2963&lt;=30,"1-30",IF(O2963&lt;=60,"31-60",IF(O2963&lt;=90,"61-90","90+")))))</f>
        <v/>
      </c>
      <c r="T2963" s="32" t="str">
        <f aca="false">IF(F2963="","",IF(E2963="","Diğer",E2963))</f>
        <v/>
      </c>
      <c r="U2963" s="32" t="str">
        <f aca="false">IF(OR(F2963="",C2963=""),"",IF(COUNTIF($C$2:C2963,C2963)=1,MAX($U$1:U2962)+1,""))</f>
        <v/>
      </c>
    </row>
    <row r="2964" customFormat="false" ht="15" hidden="false" customHeight="false" outlineLevel="0" collapsed="false">
      <c r="A2964" s="34"/>
      <c r="B2964" s="9"/>
      <c r="C2964" s="34"/>
      <c r="D2964" s="34"/>
      <c r="E2964" s="34"/>
      <c r="F2964" s="35"/>
      <c r="G2964" s="9"/>
      <c r="H2964" s="9"/>
      <c r="I2964" s="34"/>
      <c r="J2964" s="30" t="str">
        <f aca="false">IF(F2964="","",G2964-B2964)</f>
        <v/>
      </c>
      <c r="K2964" s="31" t="str">
        <f aca="false">IF(F2964="","",IF(H2964&lt;&gt;"",H2964,MAX('Vade Sapması'!$D$3,G2964)))</f>
        <v/>
      </c>
      <c r="L2964" s="30" t="str">
        <f aca="false">IF(F2964="","",K2964-B2964)</f>
        <v/>
      </c>
      <c r="M2964" s="30" t="str">
        <f aca="false">IF(F2964="","",L2964-J2964)</f>
        <v/>
      </c>
      <c r="N2964" s="32" t="str">
        <f aca="false">IF(F2964="","",IF(H2964&lt;&gt;"","Kapandı",IF('Vade Sapması'!$D$3&gt;G2964,"Açık · vadesi geçti","Açık · vadesi gelmedi")))</f>
        <v/>
      </c>
      <c r="O2964" s="30" t="str">
        <f aca="false">IF(F2964="","",IF(AND(H2964="",'Vade Sapması'!$D$3&gt;G2964),'Vade Sapması'!$D$3-G2964,0))</f>
        <v/>
      </c>
      <c r="P2964" s="33" t="str">
        <f aca="false">IF(F2964="","",F2964*J2964)</f>
        <v/>
      </c>
      <c r="Q2964" s="33" t="str">
        <f aca="false">IF(F2964="","",F2964*L2964)</f>
        <v/>
      </c>
      <c r="R2964" s="33" t="str">
        <f aca="false">IF(F2964="","",IF(H2964="",F2964,0))</f>
        <v/>
      </c>
      <c r="S2964" s="32" t="str">
        <f aca="false">IF(F2964="","",IF(N(O2964)=0,"",IF(O2964&lt;=30,"1-30",IF(O2964&lt;=60,"31-60",IF(O2964&lt;=90,"61-90","90+")))))</f>
        <v/>
      </c>
      <c r="T2964" s="32" t="str">
        <f aca="false">IF(F2964="","",IF(E2964="","Diğer",E2964))</f>
        <v/>
      </c>
      <c r="U2964" s="32" t="str">
        <f aca="false">IF(OR(F2964="",C2964=""),"",IF(COUNTIF($C$2:C2964,C2964)=1,MAX($U$1:U2963)+1,""))</f>
        <v/>
      </c>
    </row>
    <row r="2965" customFormat="false" ht="15" hidden="false" customHeight="false" outlineLevel="0" collapsed="false">
      <c r="A2965" s="34"/>
      <c r="B2965" s="9"/>
      <c r="C2965" s="34"/>
      <c r="D2965" s="34"/>
      <c r="E2965" s="34"/>
      <c r="F2965" s="35"/>
      <c r="G2965" s="9"/>
      <c r="H2965" s="9"/>
      <c r="I2965" s="34"/>
      <c r="J2965" s="30" t="str">
        <f aca="false">IF(F2965="","",G2965-B2965)</f>
        <v/>
      </c>
      <c r="K2965" s="31" t="str">
        <f aca="false">IF(F2965="","",IF(H2965&lt;&gt;"",H2965,MAX('Vade Sapması'!$D$3,G2965)))</f>
        <v/>
      </c>
      <c r="L2965" s="30" t="str">
        <f aca="false">IF(F2965="","",K2965-B2965)</f>
        <v/>
      </c>
      <c r="M2965" s="30" t="str">
        <f aca="false">IF(F2965="","",L2965-J2965)</f>
        <v/>
      </c>
      <c r="N2965" s="32" t="str">
        <f aca="false">IF(F2965="","",IF(H2965&lt;&gt;"","Kapandı",IF('Vade Sapması'!$D$3&gt;G2965,"Açık · vadesi geçti","Açık · vadesi gelmedi")))</f>
        <v/>
      </c>
      <c r="O2965" s="30" t="str">
        <f aca="false">IF(F2965="","",IF(AND(H2965="",'Vade Sapması'!$D$3&gt;G2965),'Vade Sapması'!$D$3-G2965,0))</f>
        <v/>
      </c>
      <c r="P2965" s="33" t="str">
        <f aca="false">IF(F2965="","",F2965*J2965)</f>
        <v/>
      </c>
      <c r="Q2965" s="33" t="str">
        <f aca="false">IF(F2965="","",F2965*L2965)</f>
        <v/>
      </c>
      <c r="R2965" s="33" t="str">
        <f aca="false">IF(F2965="","",IF(H2965="",F2965,0))</f>
        <v/>
      </c>
      <c r="S2965" s="32" t="str">
        <f aca="false">IF(F2965="","",IF(N(O2965)=0,"",IF(O2965&lt;=30,"1-30",IF(O2965&lt;=60,"31-60",IF(O2965&lt;=90,"61-90","90+")))))</f>
        <v/>
      </c>
      <c r="T2965" s="32" t="str">
        <f aca="false">IF(F2965="","",IF(E2965="","Diğer",E2965))</f>
        <v/>
      </c>
      <c r="U2965" s="32" t="str">
        <f aca="false">IF(OR(F2965="",C2965=""),"",IF(COUNTIF($C$2:C2965,C2965)=1,MAX($U$1:U2964)+1,""))</f>
        <v/>
      </c>
    </row>
    <row r="2966" customFormat="false" ht="15" hidden="false" customHeight="false" outlineLevel="0" collapsed="false">
      <c r="A2966" s="34"/>
      <c r="B2966" s="9"/>
      <c r="C2966" s="34"/>
      <c r="D2966" s="34"/>
      <c r="E2966" s="34"/>
      <c r="F2966" s="35"/>
      <c r="G2966" s="9"/>
      <c r="H2966" s="9"/>
      <c r="I2966" s="34"/>
      <c r="J2966" s="30" t="str">
        <f aca="false">IF(F2966="","",G2966-B2966)</f>
        <v/>
      </c>
      <c r="K2966" s="31" t="str">
        <f aca="false">IF(F2966="","",IF(H2966&lt;&gt;"",H2966,MAX('Vade Sapması'!$D$3,G2966)))</f>
        <v/>
      </c>
      <c r="L2966" s="30" t="str">
        <f aca="false">IF(F2966="","",K2966-B2966)</f>
        <v/>
      </c>
      <c r="M2966" s="30" t="str">
        <f aca="false">IF(F2966="","",L2966-J2966)</f>
        <v/>
      </c>
      <c r="N2966" s="32" t="str">
        <f aca="false">IF(F2966="","",IF(H2966&lt;&gt;"","Kapandı",IF('Vade Sapması'!$D$3&gt;G2966,"Açık · vadesi geçti","Açık · vadesi gelmedi")))</f>
        <v/>
      </c>
      <c r="O2966" s="30" t="str">
        <f aca="false">IF(F2966="","",IF(AND(H2966="",'Vade Sapması'!$D$3&gt;G2966),'Vade Sapması'!$D$3-G2966,0))</f>
        <v/>
      </c>
      <c r="P2966" s="33" t="str">
        <f aca="false">IF(F2966="","",F2966*J2966)</f>
        <v/>
      </c>
      <c r="Q2966" s="33" t="str">
        <f aca="false">IF(F2966="","",F2966*L2966)</f>
        <v/>
      </c>
      <c r="R2966" s="33" t="str">
        <f aca="false">IF(F2966="","",IF(H2966="",F2966,0))</f>
        <v/>
      </c>
      <c r="S2966" s="32" t="str">
        <f aca="false">IF(F2966="","",IF(N(O2966)=0,"",IF(O2966&lt;=30,"1-30",IF(O2966&lt;=60,"31-60",IF(O2966&lt;=90,"61-90","90+")))))</f>
        <v/>
      </c>
      <c r="T2966" s="32" t="str">
        <f aca="false">IF(F2966="","",IF(E2966="","Diğer",E2966))</f>
        <v/>
      </c>
      <c r="U2966" s="32" t="str">
        <f aca="false">IF(OR(F2966="",C2966=""),"",IF(COUNTIF($C$2:C2966,C2966)=1,MAX($U$1:U2965)+1,""))</f>
        <v/>
      </c>
    </row>
    <row r="2967" customFormat="false" ht="15" hidden="false" customHeight="false" outlineLevel="0" collapsed="false">
      <c r="A2967" s="34"/>
      <c r="B2967" s="9"/>
      <c r="C2967" s="34"/>
      <c r="D2967" s="34"/>
      <c r="E2967" s="34"/>
      <c r="F2967" s="35"/>
      <c r="G2967" s="9"/>
      <c r="H2967" s="9"/>
      <c r="I2967" s="34"/>
      <c r="J2967" s="30" t="str">
        <f aca="false">IF(F2967="","",G2967-B2967)</f>
        <v/>
      </c>
      <c r="K2967" s="31" t="str">
        <f aca="false">IF(F2967="","",IF(H2967&lt;&gt;"",H2967,MAX('Vade Sapması'!$D$3,G2967)))</f>
        <v/>
      </c>
      <c r="L2967" s="30" t="str">
        <f aca="false">IF(F2967="","",K2967-B2967)</f>
        <v/>
      </c>
      <c r="M2967" s="30" t="str">
        <f aca="false">IF(F2967="","",L2967-J2967)</f>
        <v/>
      </c>
      <c r="N2967" s="32" t="str">
        <f aca="false">IF(F2967="","",IF(H2967&lt;&gt;"","Kapandı",IF('Vade Sapması'!$D$3&gt;G2967,"Açık · vadesi geçti","Açık · vadesi gelmedi")))</f>
        <v/>
      </c>
      <c r="O2967" s="30" t="str">
        <f aca="false">IF(F2967="","",IF(AND(H2967="",'Vade Sapması'!$D$3&gt;G2967),'Vade Sapması'!$D$3-G2967,0))</f>
        <v/>
      </c>
      <c r="P2967" s="33" t="str">
        <f aca="false">IF(F2967="","",F2967*J2967)</f>
        <v/>
      </c>
      <c r="Q2967" s="33" t="str">
        <f aca="false">IF(F2967="","",F2967*L2967)</f>
        <v/>
      </c>
      <c r="R2967" s="33" t="str">
        <f aca="false">IF(F2967="","",IF(H2967="",F2967,0))</f>
        <v/>
      </c>
      <c r="S2967" s="32" t="str">
        <f aca="false">IF(F2967="","",IF(N(O2967)=0,"",IF(O2967&lt;=30,"1-30",IF(O2967&lt;=60,"31-60",IF(O2967&lt;=90,"61-90","90+")))))</f>
        <v/>
      </c>
      <c r="T2967" s="32" t="str">
        <f aca="false">IF(F2967="","",IF(E2967="","Diğer",E2967))</f>
        <v/>
      </c>
      <c r="U2967" s="32" t="str">
        <f aca="false">IF(OR(F2967="",C2967=""),"",IF(COUNTIF($C$2:C2967,C2967)=1,MAX($U$1:U2966)+1,""))</f>
        <v/>
      </c>
    </row>
    <row r="2968" customFormat="false" ht="15" hidden="false" customHeight="false" outlineLevel="0" collapsed="false">
      <c r="A2968" s="34"/>
      <c r="B2968" s="9"/>
      <c r="C2968" s="34"/>
      <c r="D2968" s="34"/>
      <c r="E2968" s="34"/>
      <c r="F2968" s="35"/>
      <c r="G2968" s="9"/>
      <c r="H2968" s="9"/>
      <c r="I2968" s="34"/>
      <c r="J2968" s="30" t="str">
        <f aca="false">IF(F2968="","",G2968-B2968)</f>
        <v/>
      </c>
      <c r="K2968" s="31" t="str">
        <f aca="false">IF(F2968="","",IF(H2968&lt;&gt;"",H2968,MAX('Vade Sapması'!$D$3,G2968)))</f>
        <v/>
      </c>
      <c r="L2968" s="30" t="str">
        <f aca="false">IF(F2968="","",K2968-B2968)</f>
        <v/>
      </c>
      <c r="M2968" s="30" t="str">
        <f aca="false">IF(F2968="","",L2968-J2968)</f>
        <v/>
      </c>
      <c r="N2968" s="32" t="str">
        <f aca="false">IF(F2968="","",IF(H2968&lt;&gt;"","Kapandı",IF('Vade Sapması'!$D$3&gt;G2968,"Açık · vadesi geçti","Açık · vadesi gelmedi")))</f>
        <v/>
      </c>
      <c r="O2968" s="30" t="str">
        <f aca="false">IF(F2968="","",IF(AND(H2968="",'Vade Sapması'!$D$3&gt;G2968),'Vade Sapması'!$D$3-G2968,0))</f>
        <v/>
      </c>
      <c r="P2968" s="33" t="str">
        <f aca="false">IF(F2968="","",F2968*J2968)</f>
        <v/>
      </c>
      <c r="Q2968" s="33" t="str">
        <f aca="false">IF(F2968="","",F2968*L2968)</f>
        <v/>
      </c>
      <c r="R2968" s="33" t="str">
        <f aca="false">IF(F2968="","",IF(H2968="",F2968,0))</f>
        <v/>
      </c>
      <c r="S2968" s="32" t="str">
        <f aca="false">IF(F2968="","",IF(N(O2968)=0,"",IF(O2968&lt;=30,"1-30",IF(O2968&lt;=60,"31-60",IF(O2968&lt;=90,"61-90","90+")))))</f>
        <v/>
      </c>
      <c r="T2968" s="32" t="str">
        <f aca="false">IF(F2968="","",IF(E2968="","Diğer",E2968))</f>
        <v/>
      </c>
      <c r="U2968" s="32" t="str">
        <f aca="false">IF(OR(F2968="",C2968=""),"",IF(COUNTIF($C$2:C2968,C2968)=1,MAX($U$1:U2967)+1,""))</f>
        <v/>
      </c>
    </row>
    <row r="2969" customFormat="false" ht="15" hidden="false" customHeight="false" outlineLevel="0" collapsed="false">
      <c r="A2969" s="34"/>
      <c r="B2969" s="9"/>
      <c r="C2969" s="34"/>
      <c r="D2969" s="34"/>
      <c r="E2969" s="34"/>
      <c r="F2969" s="35"/>
      <c r="G2969" s="9"/>
      <c r="H2969" s="9"/>
      <c r="I2969" s="34"/>
      <c r="J2969" s="30" t="str">
        <f aca="false">IF(F2969="","",G2969-B2969)</f>
        <v/>
      </c>
      <c r="K2969" s="31" t="str">
        <f aca="false">IF(F2969="","",IF(H2969&lt;&gt;"",H2969,MAX('Vade Sapması'!$D$3,G2969)))</f>
        <v/>
      </c>
      <c r="L2969" s="30" t="str">
        <f aca="false">IF(F2969="","",K2969-B2969)</f>
        <v/>
      </c>
      <c r="M2969" s="30" t="str">
        <f aca="false">IF(F2969="","",L2969-J2969)</f>
        <v/>
      </c>
      <c r="N2969" s="32" t="str">
        <f aca="false">IF(F2969="","",IF(H2969&lt;&gt;"","Kapandı",IF('Vade Sapması'!$D$3&gt;G2969,"Açık · vadesi geçti","Açık · vadesi gelmedi")))</f>
        <v/>
      </c>
      <c r="O2969" s="30" t="str">
        <f aca="false">IF(F2969="","",IF(AND(H2969="",'Vade Sapması'!$D$3&gt;G2969),'Vade Sapması'!$D$3-G2969,0))</f>
        <v/>
      </c>
      <c r="P2969" s="33" t="str">
        <f aca="false">IF(F2969="","",F2969*J2969)</f>
        <v/>
      </c>
      <c r="Q2969" s="33" t="str">
        <f aca="false">IF(F2969="","",F2969*L2969)</f>
        <v/>
      </c>
      <c r="R2969" s="33" t="str">
        <f aca="false">IF(F2969="","",IF(H2969="",F2969,0))</f>
        <v/>
      </c>
      <c r="S2969" s="32" t="str">
        <f aca="false">IF(F2969="","",IF(N(O2969)=0,"",IF(O2969&lt;=30,"1-30",IF(O2969&lt;=60,"31-60",IF(O2969&lt;=90,"61-90","90+")))))</f>
        <v/>
      </c>
      <c r="T2969" s="32" t="str">
        <f aca="false">IF(F2969="","",IF(E2969="","Diğer",E2969))</f>
        <v/>
      </c>
      <c r="U2969" s="32" t="str">
        <f aca="false">IF(OR(F2969="",C2969=""),"",IF(COUNTIF($C$2:C2969,C2969)=1,MAX($U$1:U2968)+1,""))</f>
        <v/>
      </c>
    </row>
    <row r="2970" customFormat="false" ht="15" hidden="false" customHeight="false" outlineLevel="0" collapsed="false">
      <c r="A2970" s="34"/>
      <c r="B2970" s="9"/>
      <c r="C2970" s="34"/>
      <c r="D2970" s="34"/>
      <c r="E2970" s="34"/>
      <c r="F2970" s="35"/>
      <c r="G2970" s="9"/>
      <c r="H2970" s="9"/>
      <c r="I2970" s="34"/>
      <c r="J2970" s="30" t="str">
        <f aca="false">IF(F2970="","",G2970-B2970)</f>
        <v/>
      </c>
      <c r="K2970" s="31" t="str">
        <f aca="false">IF(F2970="","",IF(H2970&lt;&gt;"",H2970,MAX('Vade Sapması'!$D$3,G2970)))</f>
        <v/>
      </c>
      <c r="L2970" s="30" t="str">
        <f aca="false">IF(F2970="","",K2970-B2970)</f>
        <v/>
      </c>
      <c r="M2970" s="30" t="str">
        <f aca="false">IF(F2970="","",L2970-J2970)</f>
        <v/>
      </c>
      <c r="N2970" s="32" t="str">
        <f aca="false">IF(F2970="","",IF(H2970&lt;&gt;"","Kapandı",IF('Vade Sapması'!$D$3&gt;G2970,"Açık · vadesi geçti","Açık · vadesi gelmedi")))</f>
        <v/>
      </c>
      <c r="O2970" s="30" t="str">
        <f aca="false">IF(F2970="","",IF(AND(H2970="",'Vade Sapması'!$D$3&gt;G2970),'Vade Sapması'!$D$3-G2970,0))</f>
        <v/>
      </c>
      <c r="P2970" s="33" t="str">
        <f aca="false">IF(F2970="","",F2970*J2970)</f>
        <v/>
      </c>
      <c r="Q2970" s="33" t="str">
        <f aca="false">IF(F2970="","",F2970*L2970)</f>
        <v/>
      </c>
      <c r="R2970" s="33" t="str">
        <f aca="false">IF(F2970="","",IF(H2970="",F2970,0))</f>
        <v/>
      </c>
      <c r="S2970" s="32" t="str">
        <f aca="false">IF(F2970="","",IF(N(O2970)=0,"",IF(O2970&lt;=30,"1-30",IF(O2970&lt;=60,"31-60",IF(O2970&lt;=90,"61-90","90+")))))</f>
        <v/>
      </c>
      <c r="T2970" s="32" t="str">
        <f aca="false">IF(F2970="","",IF(E2970="","Diğer",E2970))</f>
        <v/>
      </c>
      <c r="U2970" s="32" t="str">
        <f aca="false">IF(OR(F2970="",C2970=""),"",IF(COUNTIF($C$2:C2970,C2970)=1,MAX($U$1:U2969)+1,""))</f>
        <v/>
      </c>
    </row>
    <row r="2971" customFormat="false" ht="15" hidden="false" customHeight="false" outlineLevel="0" collapsed="false">
      <c r="A2971" s="34"/>
      <c r="B2971" s="9"/>
      <c r="C2971" s="34"/>
      <c r="D2971" s="34"/>
      <c r="E2971" s="34"/>
      <c r="F2971" s="35"/>
      <c r="G2971" s="9"/>
      <c r="H2971" s="9"/>
      <c r="I2971" s="34"/>
      <c r="J2971" s="30" t="str">
        <f aca="false">IF(F2971="","",G2971-B2971)</f>
        <v/>
      </c>
      <c r="K2971" s="31" t="str">
        <f aca="false">IF(F2971="","",IF(H2971&lt;&gt;"",H2971,MAX('Vade Sapması'!$D$3,G2971)))</f>
        <v/>
      </c>
      <c r="L2971" s="30" t="str">
        <f aca="false">IF(F2971="","",K2971-B2971)</f>
        <v/>
      </c>
      <c r="M2971" s="30" t="str">
        <f aca="false">IF(F2971="","",L2971-J2971)</f>
        <v/>
      </c>
      <c r="N2971" s="32" t="str">
        <f aca="false">IF(F2971="","",IF(H2971&lt;&gt;"","Kapandı",IF('Vade Sapması'!$D$3&gt;G2971,"Açık · vadesi geçti","Açık · vadesi gelmedi")))</f>
        <v/>
      </c>
      <c r="O2971" s="30" t="str">
        <f aca="false">IF(F2971="","",IF(AND(H2971="",'Vade Sapması'!$D$3&gt;G2971),'Vade Sapması'!$D$3-G2971,0))</f>
        <v/>
      </c>
      <c r="P2971" s="33" t="str">
        <f aca="false">IF(F2971="","",F2971*J2971)</f>
        <v/>
      </c>
      <c r="Q2971" s="33" t="str">
        <f aca="false">IF(F2971="","",F2971*L2971)</f>
        <v/>
      </c>
      <c r="R2971" s="33" t="str">
        <f aca="false">IF(F2971="","",IF(H2971="",F2971,0))</f>
        <v/>
      </c>
      <c r="S2971" s="32" t="str">
        <f aca="false">IF(F2971="","",IF(N(O2971)=0,"",IF(O2971&lt;=30,"1-30",IF(O2971&lt;=60,"31-60",IF(O2971&lt;=90,"61-90","90+")))))</f>
        <v/>
      </c>
      <c r="T2971" s="32" t="str">
        <f aca="false">IF(F2971="","",IF(E2971="","Diğer",E2971))</f>
        <v/>
      </c>
      <c r="U2971" s="32" t="str">
        <f aca="false">IF(OR(F2971="",C2971=""),"",IF(COUNTIF($C$2:C2971,C2971)=1,MAX($U$1:U2970)+1,""))</f>
        <v/>
      </c>
    </row>
    <row r="2972" customFormat="false" ht="15" hidden="false" customHeight="false" outlineLevel="0" collapsed="false">
      <c r="A2972" s="34"/>
      <c r="B2972" s="9"/>
      <c r="C2972" s="34"/>
      <c r="D2972" s="34"/>
      <c r="E2972" s="34"/>
      <c r="F2972" s="35"/>
      <c r="G2972" s="9"/>
      <c r="H2972" s="9"/>
      <c r="I2972" s="34"/>
      <c r="J2972" s="30" t="str">
        <f aca="false">IF(F2972="","",G2972-B2972)</f>
        <v/>
      </c>
      <c r="K2972" s="31" t="str">
        <f aca="false">IF(F2972="","",IF(H2972&lt;&gt;"",H2972,MAX('Vade Sapması'!$D$3,G2972)))</f>
        <v/>
      </c>
      <c r="L2972" s="30" t="str">
        <f aca="false">IF(F2972="","",K2972-B2972)</f>
        <v/>
      </c>
      <c r="M2972" s="30" t="str">
        <f aca="false">IF(F2972="","",L2972-J2972)</f>
        <v/>
      </c>
      <c r="N2972" s="32" t="str">
        <f aca="false">IF(F2972="","",IF(H2972&lt;&gt;"","Kapandı",IF('Vade Sapması'!$D$3&gt;G2972,"Açık · vadesi geçti","Açık · vadesi gelmedi")))</f>
        <v/>
      </c>
      <c r="O2972" s="30" t="str">
        <f aca="false">IF(F2972="","",IF(AND(H2972="",'Vade Sapması'!$D$3&gt;G2972),'Vade Sapması'!$D$3-G2972,0))</f>
        <v/>
      </c>
      <c r="P2972" s="33" t="str">
        <f aca="false">IF(F2972="","",F2972*J2972)</f>
        <v/>
      </c>
      <c r="Q2972" s="33" t="str">
        <f aca="false">IF(F2972="","",F2972*L2972)</f>
        <v/>
      </c>
      <c r="R2972" s="33" t="str">
        <f aca="false">IF(F2972="","",IF(H2972="",F2972,0))</f>
        <v/>
      </c>
      <c r="S2972" s="32" t="str">
        <f aca="false">IF(F2972="","",IF(N(O2972)=0,"",IF(O2972&lt;=30,"1-30",IF(O2972&lt;=60,"31-60",IF(O2972&lt;=90,"61-90","90+")))))</f>
        <v/>
      </c>
      <c r="T2972" s="32" t="str">
        <f aca="false">IF(F2972="","",IF(E2972="","Diğer",E2972))</f>
        <v/>
      </c>
      <c r="U2972" s="32" t="str">
        <f aca="false">IF(OR(F2972="",C2972=""),"",IF(COUNTIF($C$2:C2972,C2972)=1,MAX($U$1:U2971)+1,""))</f>
        <v/>
      </c>
    </row>
    <row r="2973" customFormat="false" ht="15" hidden="false" customHeight="false" outlineLevel="0" collapsed="false">
      <c r="A2973" s="34"/>
      <c r="B2973" s="9"/>
      <c r="C2973" s="34"/>
      <c r="D2973" s="34"/>
      <c r="E2973" s="34"/>
      <c r="F2973" s="35"/>
      <c r="G2973" s="9"/>
      <c r="H2973" s="9"/>
      <c r="I2973" s="34"/>
      <c r="J2973" s="30" t="str">
        <f aca="false">IF(F2973="","",G2973-B2973)</f>
        <v/>
      </c>
      <c r="K2973" s="31" t="str">
        <f aca="false">IF(F2973="","",IF(H2973&lt;&gt;"",H2973,MAX('Vade Sapması'!$D$3,G2973)))</f>
        <v/>
      </c>
      <c r="L2973" s="30" t="str">
        <f aca="false">IF(F2973="","",K2973-B2973)</f>
        <v/>
      </c>
      <c r="M2973" s="30" t="str">
        <f aca="false">IF(F2973="","",L2973-J2973)</f>
        <v/>
      </c>
      <c r="N2973" s="32" t="str">
        <f aca="false">IF(F2973="","",IF(H2973&lt;&gt;"","Kapandı",IF('Vade Sapması'!$D$3&gt;G2973,"Açık · vadesi geçti","Açık · vadesi gelmedi")))</f>
        <v/>
      </c>
      <c r="O2973" s="30" t="str">
        <f aca="false">IF(F2973="","",IF(AND(H2973="",'Vade Sapması'!$D$3&gt;G2973),'Vade Sapması'!$D$3-G2973,0))</f>
        <v/>
      </c>
      <c r="P2973" s="33" t="str">
        <f aca="false">IF(F2973="","",F2973*J2973)</f>
        <v/>
      </c>
      <c r="Q2973" s="33" t="str">
        <f aca="false">IF(F2973="","",F2973*L2973)</f>
        <v/>
      </c>
      <c r="R2973" s="33" t="str">
        <f aca="false">IF(F2973="","",IF(H2973="",F2973,0))</f>
        <v/>
      </c>
      <c r="S2973" s="32" t="str">
        <f aca="false">IF(F2973="","",IF(N(O2973)=0,"",IF(O2973&lt;=30,"1-30",IF(O2973&lt;=60,"31-60",IF(O2973&lt;=90,"61-90","90+")))))</f>
        <v/>
      </c>
      <c r="T2973" s="32" t="str">
        <f aca="false">IF(F2973="","",IF(E2973="","Diğer",E2973))</f>
        <v/>
      </c>
      <c r="U2973" s="32" t="str">
        <f aca="false">IF(OR(F2973="",C2973=""),"",IF(COUNTIF($C$2:C2973,C2973)=1,MAX($U$1:U2972)+1,""))</f>
        <v/>
      </c>
    </row>
    <row r="2974" customFormat="false" ht="15" hidden="false" customHeight="false" outlineLevel="0" collapsed="false">
      <c r="A2974" s="34"/>
      <c r="B2974" s="9"/>
      <c r="C2974" s="34"/>
      <c r="D2974" s="34"/>
      <c r="E2974" s="34"/>
      <c r="F2974" s="35"/>
      <c r="G2974" s="9"/>
      <c r="H2974" s="9"/>
      <c r="I2974" s="34"/>
      <c r="J2974" s="30" t="str">
        <f aca="false">IF(F2974="","",G2974-B2974)</f>
        <v/>
      </c>
      <c r="K2974" s="31" t="str">
        <f aca="false">IF(F2974="","",IF(H2974&lt;&gt;"",H2974,MAX('Vade Sapması'!$D$3,G2974)))</f>
        <v/>
      </c>
      <c r="L2974" s="30" t="str">
        <f aca="false">IF(F2974="","",K2974-B2974)</f>
        <v/>
      </c>
      <c r="M2974" s="30" t="str">
        <f aca="false">IF(F2974="","",L2974-J2974)</f>
        <v/>
      </c>
      <c r="N2974" s="32" t="str">
        <f aca="false">IF(F2974="","",IF(H2974&lt;&gt;"","Kapandı",IF('Vade Sapması'!$D$3&gt;G2974,"Açık · vadesi geçti","Açık · vadesi gelmedi")))</f>
        <v/>
      </c>
      <c r="O2974" s="30" t="str">
        <f aca="false">IF(F2974="","",IF(AND(H2974="",'Vade Sapması'!$D$3&gt;G2974),'Vade Sapması'!$D$3-G2974,0))</f>
        <v/>
      </c>
      <c r="P2974" s="33" t="str">
        <f aca="false">IF(F2974="","",F2974*J2974)</f>
        <v/>
      </c>
      <c r="Q2974" s="33" t="str">
        <f aca="false">IF(F2974="","",F2974*L2974)</f>
        <v/>
      </c>
      <c r="R2974" s="33" t="str">
        <f aca="false">IF(F2974="","",IF(H2974="",F2974,0))</f>
        <v/>
      </c>
      <c r="S2974" s="32" t="str">
        <f aca="false">IF(F2974="","",IF(N(O2974)=0,"",IF(O2974&lt;=30,"1-30",IF(O2974&lt;=60,"31-60",IF(O2974&lt;=90,"61-90","90+")))))</f>
        <v/>
      </c>
      <c r="T2974" s="32" t="str">
        <f aca="false">IF(F2974="","",IF(E2974="","Diğer",E2974))</f>
        <v/>
      </c>
      <c r="U2974" s="32" t="str">
        <f aca="false">IF(OR(F2974="",C2974=""),"",IF(COUNTIF($C$2:C2974,C2974)=1,MAX($U$1:U2973)+1,""))</f>
        <v/>
      </c>
    </row>
    <row r="2975" customFormat="false" ht="15" hidden="false" customHeight="false" outlineLevel="0" collapsed="false">
      <c r="A2975" s="34"/>
      <c r="B2975" s="9"/>
      <c r="C2975" s="34"/>
      <c r="D2975" s="34"/>
      <c r="E2975" s="34"/>
      <c r="F2975" s="35"/>
      <c r="G2975" s="9"/>
      <c r="H2975" s="9"/>
      <c r="I2975" s="34"/>
      <c r="J2975" s="30" t="str">
        <f aca="false">IF(F2975="","",G2975-B2975)</f>
        <v/>
      </c>
      <c r="K2975" s="31" t="str">
        <f aca="false">IF(F2975="","",IF(H2975&lt;&gt;"",H2975,MAX('Vade Sapması'!$D$3,G2975)))</f>
        <v/>
      </c>
      <c r="L2975" s="30" t="str">
        <f aca="false">IF(F2975="","",K2975-B2975)</f>
        <v/>
      </c>
      <c r="M2975" s="30" t="str">
        <f aca="false">IF(F2975="","",L2975-J2975)</f>
        <v/>
      </c>
      <c r="N2975" s="32" t="str">
        <f aca="false">IF(F2975="","",IF(H2975&lt;&gt;"","Kapandı",IF('Vade Sapması'!$D$3&gt;G2975,"Açık · vadesi geçti","Açık · vadesi gelmedi")))</f>
        <v/>
      </c>
      <c r="O2975" s="30" t="str">
        <f aca="false">IF(F2975="","",IF(AND(H2975="",'Vade Sapması'!$D$3&gt;G2975),'Vade Sapması'!$D$3-G2975,0))</f>
        <v/>
      </c>
      <c r="P2975" s="33" t="str">
        <f aca="false">IF(F2975="","",F2975*J2975)</f>
        <v/>
      </c>
      <c r="Q2975" s="33" t="str">
        <f aca="false">IF(F2975="","",F2975*L2975)</f>
        <v/>
      </c>
      <c r="R2975" s="33" t="str">
        <f aca="false">IF(F2975="","",IF(H2975="",F2975,0))</f>
        <v/>
      </c>
      <c r="S2975" s="32" t="str">
        <f aca="false">IF(F2975="","",IF(N(O2975)=0,"",IF(O2975&lt;=30,"1-30",IF(O2975&lt;=60,"31-60",IF(O2975&lt;=90,"61-90","90+")))))</f>
        <v/>
      </c>
      <c r="T2975" s="32" t="str">
        <f aca="false">IF(F2975="","",IF(E2975="","Diğer",E2975))</f>
        <v/>
      </c>
      <c r="U2975" s="32" t="str">
        <f aca="false">IF(OR(F2975="",C2975=""),"",IF(COUNTIF($C$2:C2975,C2975)=1,MAX($U$1:U2974)+1,""))</f>
        <v/>
      </c>
    </row>
    <row r="2976" customFormat="false" ht="15" hidden="false" customHeight="false" outlineLevel="0" collapsed="false">
      <c r="A2976" s="34"/>
      <c r="B2976" s="9"/>
      <c r="C2976" s="34"/>
      <c r="D2976" s="34"/>
      <c r="E2976" s="34"/>
      <c r="F2976" s="35"/>
      <c r="G2976" s="9"/>
      <c r="H2976" s="9"/>
      <c r="I2976" s="34"/>
      <c r="J2976" s="30" t="str">
        <f aca="false">IF(F2976="","",G2976-B2976)</f>
        <v/>
      </c>
      <c r="K2976" s="31" t="str">
        <f aca="false">IF(F2976="","",IF(H2976&lt;&gt;"",H2976,MAX('Vade Sapması'!$D$3,G2976)))</f>
        <v/>
      </c>
      <c r="L2976" s="30" t="str">
        <f aca="false">IF(F2976="","",K2976-B2976)</f>
        <v/>
      </c>
      <c r="M2976" s="30" t="str">
        <f aca="false">IF(F2976="","",L2976-J2976)</f>
        <v/>
      </c>
      <c r="N2976" s="32" t="str">
        <f aca="false">IF(F2976="","",IF(H2976&lt;&gt;"","Kapandı",IF('Vade Sapması'!$D$3&gt;G2976,"Açık · vadesi geçti","Açık · vadesi gelmedi")))</f>
        <v/>
      </c>
      <c r="O2976" s="30" t="str">
        <f aca="false">IF(F2976="","",IF(AND(H2976="",'Vade Sapması'!$D$3&gt;G2976),'Vade Sapması'!$D$3-G2976,0))</f>
        <v/>
      </c>
      <c r="P2976" s="33" t="str">
        <f aca="false">IF(F2976="","",F2976*J2976)</f>
        <v/>
      </c>
      <c r="Q2976" s="33" t="str">
        <f aca="false">IF(F2976="","",F2976*L2976)</f>
        <v/>
      </c>
      <c r="R2976" s="33" t="str">
        <f aca="false">IF(F2976="","",IF(H2976="",F2976,0))</f>
        <v/>
      </c>
      <c r="S2976" s="32" t="str">
        <f aca="false">IF(F2976="","",IF(N(O2976)=0,"",IF(O2976&lt;=30,"1-30",IF(O2976&lt;=60,"31-60",IF(O2976&lt;=90,"61-90","90+")))))</f>
        <v/>
      </c>
      <c r="T2976" s="32" t="str">
        <f aca="false">IF(F2976="","",IF(E2976="","Diğer",E2976))</f>
        <v/>
      </c>
      <c r="U2976" s="32" t="str">
        <f aca="false">IF(OR(F2976="",C2976=""),"",IF(COUNTIF($C$2:C2976,C2976)=1,MAX($U$1:U2975)+1,""))</f>
        <v/>
      </c>
    </row>
    <row r="2977" customFormat="false" ht="15" hidden="false" customHeight="false" outlineLevel="0" collapsed="false">
      <c r="A2977" s="34"/>
      <c r="B2977" s="9"/>
      <c r="C2977" s="34"/>
      <c r="D2977" s="34"/>
      <c r="E2977" s="34"/>
      <c r="F2977" s="35"/>
      <c r="G2977" s="9"/>
      <c r="H2977" s="9"/>
      <c r="I2977" s="34"/>
      <c r="J2977" s="30" t="str">
        <f aca="false">IF(F2977="","",G2977-B2977)</f>
        <v/>
      </c>
      <c r="K2977" s="31" t="str">
        <f aca="false">IF(F2977="","",IF(H2977&lt;&gt;"",H2977,MAX('Vade Sapması'!$D$3,G2977)))</f>
        <v/>
      </c>
      <c r="L2977" s="30" t="str">
        <f aca="false">IF(F2977="","",K2977-B2977)</f>
        <v/>
      </c>
      <c r="M2977" s="30" t="str">
        <f aca="false">IF(F2977="","",L2977-J2977)</f>
        <v/>
      </c>
      <c r="N2977" s="32" t="str">
        <f aca="false">IF(F2977="","",IF(H2977&lt;&gt;"","Kapandı",IF('Vade Sapması'!$D$3&gt;G2977,"Açık · vadesi geçti","Açık · vadesi gelmedi")))</f>
        <v/>
      </c>
      <c r="O2977" s="30" t="str">
        <f aca="false">IF(F2977="","",IF(AND(H2977="",'Vade Sapması'!$D$3&gt;G2977),'Vade Sapması'!$D$3-G2977,0))</f>
        <v/>
      </c>
      <c r="P2977" s="33" t="str">
        <f aca="false">IF(F2977="","",F2977*J2977)</f>
        <v/>
      </c>
      <c r="Q2977" s="33" t="str">
        <f aca="false">IF(F2977="","",F2977*L2977)</f>
        <v/>
      </c>
      <c r="R2977" s="33" t="str">
        <f aca="false">IF(F2977="","",IF(H2977="",F2977,0))</f>
        <v/>
      </c>
      <c r="S2977" s="32" t="str">
        <f aca="false">IF(F2977="","",IF(N(O2977)=0,"",IF(O2977&lt;=30,"1-30",IF(O2977&lt;=60,"31-60",IF(O2977&lt;=90,"61-90","90+")))))</f>
        <v/>
      </c>
      <c r="T2977" s="32" t="str">
        <f aca="false">IF(F2977="","",IF(E2977="","Diğer",E2977))</f>
        <v/>
      </c>
      <c r="U2977" s="32" t="str">
        <f aca="false">IF(OR(F2977="",C2977=""),"",IF(COUNTIF($C$2:C2977,C2977)=1,MAX($U$1:U2976)+1,""))</f>
        <v/>
      </c>
    </row>
    <row r="2978" customFormat="false" ht="15" hidden="false" customHeight="false" outlineLevel="0" collapsed="false">
      <c r="A2978" s="34"/>
      <c r="B2978" s="9"/>
      <c r="C2978" s="34"/>
      <c r="D2978" s="34"/>
      <c r="E2978" s="34"/>
      <c r="F2978" s="35"/>
      <c r="G2978" s="9"/>
      <c r="H2978" s="9"/>
      <c r="I2978" s="34"/>
      <c r="J2978" s="30" t="str">
        <f aca="false">IF(F2978="","",G2978-B2978)</f>
        <v/>
      </c>
      <c r="K2978" s="31" t="str">
        <f aca="false">IF(F2978="","",IF(H2978&lt;&gt;"",H2978,MAX('Vade Sapması'!$D$3,G2978)))</f>
        <v/>
      </c>
      <c r="L2978" s="30" t="str">
        <f aca="false">IF(F2978="","",K2978-B2978)</f>
        <v/>
      </c>
      <c r="M2978" s="30" t="str">
        <f aca="false">IF(F2978="","",L2978-J2978)</f>
        <v/>
      </c>
      <c r="N2978" s="32" t="str">
        <f aca="false">IF(F2978="","",IF(H2978&lt;&gt;"","Kapandı",IF('Vade Sapması'!$D$3&gt;G2978,"Açık · vadesi geçti","Açık · vadesi gelmedi")))</f>
        <v/>
      </c>
      <c r="O2978" s="30" t="str">
        <f aca="false">IF(F2978="","",IF(AND(H2978="",'Vade Sapması'!$D$3&gt;G2978),'Vade Sapması'!$D$3-G2978,0))</f>
        <v/>
      </c>
      <c r="P2978" s="33" t="str">
        <f aca="false">IF(F2978="","",F2978*J2978)</f>
        <v/>
      </c>
      <c r="Q2978" s="33" t="str">
        <f aca="false">IF(F2978="","",F2978*L2978)</f>
        <v/>
      </c>
      <c r="R2978" s="33" t="str">
        <f aca="false">IF(F2978="","",IF(H2978="",F2978,0))</f>
        <v/>
      </c>
      <c r="S2978" s="32" t="str">
        <f aca="false">IF(F2978="","",IF(N(O2978)=0,"",IF(O2978&lt;=30,"1-30",IF(O2978&lt;=60,"31-60",IF(O2978&lt;=90,"61-90","90+")))))</f>
        <v/>
      </c>
      <c r="T2978" s="32" t="str">
        <f aca="false">IF(F2978="","",IF(E2978="","Diğer",E2978))</f>
        <v/>
      </c>
      <c r="U2978" s="32" t="str">
        <f aca="false">IF(OR(F2978="",C2978=""),"",IF(COUNTIF($C$2:C2978,C2978)=1,MAX($U$1:U2977)+1,""))</f>
        <v/>
      </c>
    </row>
    <row r="2979" customFormat="false" ht="15" hidden="false" customHeight="false" outlineLevel="0" collapsed="false">
      <c r="A2979" s="34"/>
      <c r="B2979" s="9"/>
      <c r="C2979" s="34"/>
      <c r="D2979" s="34"/>
      <c r="E2979" s="34"/>
      <c r="F2979" s="35"/>
      <c r="G2979" s="9"/>
      <c r="H2979" s="9"/>
      <c r="I2979" s="34"/>
      <c r="J2979" s="30" t="str">
        <f aca="false">IF(F2979="","",G2979-B2979)</f>
        <v/>
      </c>
      <c r="K2979" s="31" t="str">
        <f aca="false">IF(F2979="","",IF(H2979&lt;&gt;"",H2979,MAX('Vade Sapması'!$D$3,G2979)))</f>
        <v/>
      </c>
      <c r="L2979" s="30" t="str">
        <f aca="false">IF(F2979="","",K2979-B2979)</f>
        <v/>
      </c>
      <c r="M2979" s="30" t="str">
        <f aca="false">IF(F2979="","",L2979-J2979)</f>
        <v/>
      </c>
      <c r="N2979" s="32" t="str">
        <f aca="false">IF(F2979="","",IF(H2979&lt;&gt;"","Kapandı",IF('Vade Sapması'!$D$3&gt;G2979,"Açık · vadesi geçti","Açık · vadesi gelmedi")))</f>
        <v/>
      </c>
      <c r="O2979" s="30" t="str">
        <f aca="false">IF(F2979="","",IF(AND(H2979="",'Vade Sapması'!$D$3&gt;G2979),'Vade Sapması'!$D$3-G2979,0))</f>
        <v/>
      </c>
      <c r="P2979" s="33" t="str">
        <f aca="false">IF(F2979="","",F2979*J2979)</f>
        <v/>
      </c>
      <c r="Q2979" s="33" t="str">
        <f aca="false">IF(F2979="","",F2979*L2979)</f>
        <v/>
      </c>
      <c r="R2979" s="33" t="str">
        <f aca="false">IF(F2979="","",IF(H2979="",F2979,0))</f>
        <v/>
      </c>
      <c r="S2979" s="32" t="str">
        <f aca="false">IF(F2979="","",IF(N(O2979)=0,"",IF(O2979&lt;=30,"1-30",IF(O2979&lt;=60,"31-60",IF(O2979&lt;=90,"61-90","90+")))))</f>
        <v/>
      </c>
      <c r="T2979" s="32" t="str">
        <f aca="false">IF(F2979="","",IF(E2979="","Diğer",E2979))</f>
        <v/>
      </c>
      <c r="U2979" s="32" t="str">
        <f aca="false">IF(OR(F2979="",C2979=""),"",IF(COUNTIF($C$2:C2979,C2979)=1,MAX($U$1:U2978)+1,""))</f>
        <v/>
      </c>
    </row>
    <row r="2980" customFormat="false" ht="15" hidden="false" customHeight="false" outlineLevel="0" collapsed="false">
      <c r="A2980" s="34"/>
      <c r="B2980" s="9"/>
      <c r="C2980" s="34"/>
      <c r="D2980" s="34"/>
      <c r="E2980" s="34"/>
      <c r="F2980" s="35"/>
      <c r="G2980" s="9"/>
      <c r="H2980" s="9"/>
      <c r="I2980" s="34"/>
      <c r="J2980" s="30" t="str">
        <f aca="false">IF(F2980="","",G2980-B2980)</f>
        <v/>
      </c>
      <c r="K2980" s="31" t="str">
        <f aca="false">IF(F2980="","",IF(H2980&lt;&gt;"",H2980,MAX('Vade Sapması'!$D$3,G2980)))</f>
        <v/>
      </c>
      <c r="L2980" s="30" t="str">
        <f aca="false">IF(F2980="","",K2980-B2980)</f>
        <v/>
      </c>
      <c r="M2980" s="30" t="str">
        <f aca="false">IF(F2980="","",L2980-J2980)</f>
        <v/>
      </c>
      <c r="N2980" s="32" t="str">
        <f aca="false">IF(F2980="","",IF(H2980&lt;&gt;"","Kapandı",IF('Vade Sapması'!$D$3&gt;G2980,"Açık · vadesi geçti","Açık · vadesi gelmedi")))</f>
        <v/>
      </c>
      <c r="O2980" s="30" t="str">
        <f aca="false">IF(F2980="","",IF(AND(H2980="",'Vade Sapması'!$D$3&gt;G2980),'Vade Sapması'!$D$3-G2980,0))</f>
        <v/>
      </c>
      <c r="P2980" s="33" t="str">
        <f aca="false">IF(F2980="","",F2980*J2980)</f>
        <v/>
      </c>
      <c r="Q2980" s="33" t="str">
        <f aca="false">IF(F2980="","",F2980*L2980)</f>
        <v/>
      </c>
      <c r="R2980" s="33" t="str">
        <f aca="false">IF(F2980="","",IF(H2980="",F2980,0))</f>
        <v/>
      </c>
      <c r="S2980" s="32" t="str">
        <f aca="false">IF(F2980="","",IF(N(O2980)=0,"",IF(O2980&lt;=30,"1-30",IF(O2980&lt;=60,"31-60",IF(O2980&lt;=90,"61-90","90+")))))</f>
        <v/>
      </c>
      <c r="T2980" s="32" t="str">
        <f aca="false">IF(F2980="","",IF(E2980="","Diğer",E2980))</f>
        <v/>
      </c>
      <c r="U2980" s="32" t="str">
        <f aca="false">IF(OR(F2980="",C2980=""),"",IF(COUNTIF($C$2:C2980,C2980)=1,MAX($U$1:U2979)+1,""))</f>
        <v/>
      </c>
    </row>
    <row r="2981" customFormat="false" ht="15" hidden="false" customHeight="false" outlineLevel="0" collapsed="false">
      <c r="A2981" s="34"/>
      <c r="B2981" s="9"/>
      <c r="C2981" s="34"/>
      <c r="D2981" s="34"/>
      <c r="E2981" s="34"/>
      <c r="F2981" s="35"/>
      <c r="G2981" s="9"/>
      <c r="H2981" s="9"/>
      <c r="I2981" s="34"/>
      <c r="J2981" s="30" t="str">
        <f aca="false">IF(F2981="","",G2981-B2981)</f>
        <v/>
      </c>
      <c r="K2981" s="31" t="str">
        <f aca="false">IF(F2981="","",IF(H2981&lt;&gt;"",H2981,MAX('Vade Sapması'!$D$3,G2981)))</f>
        <v/>
      </c>
      <c r="L2981" s="30" t="str">
        <f aca="false">IF(F2981="","",K2981-B2981)</f>
        <v/>
      </c>
      <c r="M2981" s="30" t="str">
        <f aca="false">IF(F2981="","",L2981-J2981)</f>
        <v/>
      </c>
      <c r="N2981" s="32" t="str">
        <f aca="false">IF(F2981="","",IF(H2981&lt;&gt;"","Kapandı",IF('Vade Sapması'!$D$3&gt;G2981,"Açık · vadesi geçti","Açık · vadesi gelmedi")))</f>
        <v/>
      </c>
      <c r="O2981" s="30" t="str">
        <f aca="false">IF(F2981="","",IF(AND(H2981="",'Vade Sapması'!$D$3&gt;G2981),'Vade Sapması'!$D$3-G2981,0))</f>
        <v/>
      </c>
      <c r="P2981" s="33" t="str">
        <f aca="false">IF(F2981="","",F2981*J2981)</f>
        <v/>
      </c>
      <c r="Q2981" s="33" t="str">
        <f aca="false">IF(F2981="","",F2981*L2981)</f>
        <v/>
      </c>
      <c r="R2981" s="33" t="str">
        <f aca="false">IF(F2981="","",IF(H2981="",F2981,0))</f>
        <v/>
      </c>
      <c r="S2981" s="32" t="str">
        <f aca="false">IF(F2981="","",IF(N(O2981)=0,"",IF(O2981&lt;=30,"1-30",IF(O2981&lt;=60,"31-60",IF(O2981&lt;=90,"61-90","90+")))))</f>
        <v/>
      </c>
      <c r="T2981" s="32" t="str">
        <f aca="false">IF(F2981="","",IF(E2981="","Diğer",E2981))</f>
        <v/>
      </c>
      <c r="U2981" s="32" t="str">
        <f aca="false">IF(OR(F2981="",C2981=""),"",IF(COUNTIF($C$2:C2981,C2981)=1,MAX($U$1:U2980)+1,""))</f>
        <v/>
      </c>
    </row>
    <row r="2982" customFormat="false" ht="15" hidden="false" customHeight="false" outlineLevel="0" collapsed="false">
      <c r="A2982" s="34"/>
      <c r="B2982" s="9"/>
      <c r="C2982" s="34"/>
      <c r="D2982" s="34"/>
      <c r="E2982" s="34"/>
      <c r="F2982" s="35"/>
      <c r="G2982" s="9"/>
      <c r="H2982" s="9"/>
      <c r="I2982" s="34"/>
      <c r="J2982" s="30" t="str">
        <f aca="false">IF(F2982="","",G2982-B2982)</f>
        <v/>
      </c>
      <c r="K2982" s="31" t="str">
        <f aca="false">IF(F2982="","",IF(H2982&lt;&gt;"",H2982,MAX('Vade Sapması'!$D$3,G2982)))</f>
        <v/>
      </c>
      <c r="L2982" s="30" t="str">
        <f aca="false">IF(F2982="","",K2982-B2982)</f>
        <v/>
      </c>
      <c r="M2982" s="30" t="str">
        <f aca="false">IF(F2982="","",L2982-J2982)</f>
        <v/>
      </c>
      <c r="N2982" s="32" t="str">
        <f aca="false">IF(F2982="","",IF(H2982&lt;&gt;"","Kapandı",IF('Vade Sapması'!$D$3&gt;G2982,"Açık · vadesi geçti","Açık · vadesi gelmedi")))</f>
        <v/>
      </c>
      <c r="O2982" s="30" t="str">
        <f aca="false">IF(F2982="","",IF(AND(H2982="",'Vade Sapması'!$D$3&gt;G2982),'Vade Sapması'!$D$3-G2982,0))</f>
        <v/>
      </c>
      <c r="P2982" s="33" t="str">
        <f aca="false">IF(F2982="","",F2982*J2982)</f>
        <v/>
      </c>
      <c r="Q2982" s="33" t="str">
        <f aca="false">IF(F2982="","",F2982*L2982)</f>
        <v/>
      </c>
      <c r="R2982" s="33" t="str">
        <f aca="false">IF(F2982="","",IF(H2982="",F2982,0))</f>
        <v/>
      </c>
      <c r="S2982" s="32" t="str">
        <f aca="false">IF(F2982="","",IF(N(O2982)=0,"",IF(O2982&lt;=30,"1-30",IF(O2982&lt;=60,"31-60",IF(O2982&lt;=90,"61-90","90+")))))</f>
        <v/>
      </c>
      <c r="T2982" s="32" t="str">
        <f aca="false">IF(F2982="","",IF(E2982="","Diğer",E2982))</f>
        <v/>
      </c>
      <c r="U2982" s="32" t="str">
        <f aca="false">IF(OR(F2982="",C2982=""),"",IF(COUNTIF($C$2:C2982,C2982)=1,MAX($U$1:U2981)+1,""))</f>
        <v/>
      </c>
    </row>
    <row r="2983" customFormat="false" ht="15" hidden="false" customHeight="false" outlineLevel="0" collapsed="false">
      <c r="A2983" s="34"/>
      <c r="B2983" s="9"/>
      <c r="C2983" s="34"/>
      <c r="D2983" s="34"/>
      <c r="E2983" s="34"/>
      <c r="F2983" s="35"/>
      <c r="G2983" s="9"/>
      <c r="H2983" s="9"/>
      <c r="I2983" s="34"/>
      <c r="J2983" s="30" t="str">
        <f aca="false">IF(F2983="","",G2983-B2983)</f>
        <v/>
      </c>
      <c r="K2983" s="31" t="str">
        <f aca="false">IF(F2983="","",IF(H2983&lt;&gt;"",H2983,MAX('Vade Sapması'!$D$3,G2983)))</f>
        <v/>
      </c>
      <c r="L2983" s="30" t="str">
        <f aca="false">IF(F2983="","",K2983-B2983)</f>
        <v/>
      </c>
      <c r="M2983" s="30" t="str">
        <f aca="false">IF(F2983="","",L2983-J2983)</f>
        <v/>
      </c>
      <c r="N2983" s="32" t="str">
        <f aca="false">IF(F2983="","",IF(H2983&lt;&gt;"","Kapandı",IF('Vade Sapması'!$D$3&gt;G2983,"Açık · vadesi geçti","Açık · vadesi gelmedi")))</f>
        <v/>
      </c>
      <c r="O2983" s="30" t="str">
        <f aca="false">IF(F2983="","",IF(AND(H2983="",'Vade Sapması'!$D$3&gt;G2983),'Vade Sapması'!$D$3-G2983,0))</f>
        <v/>
      </c>
      <c r="P2983" s="33" t="str">
        <f aca="false">IF(F2983="","",F2983*J2983)</f>
        <v/>
      </c>
      <c r="Q2983" s="33" t="str">
        <f aca="false">IF(F2983="","",F2983*L2983)</f>
        <v/>
      </c>
      <c r="R2983" s="33" t="str">
        <f aca="false">IF(F2983="","",IF(H2983="",F2983,0))</f>
        <v/>
      </c>
      <c r="S2983" s="32" t="str">
        <f aca="false">IF(F2983="","",IF(N(O2983)=0,"",IF(O2983&lt;=30,"1-30",IF(O2983&lt;=60,"31-60",IF(O2983&lt;=90,"61-90","90+")))))</f>
        <v/>
      </c>
      <c r="T2983" s="32" t="str">
        <f aca="false">IF(F2983="","",IF(E2983="","Diğer",E2983))</f>
        <v/>
      </c>
      <c r="U2983" s="32" t="str">
        <f aca="false">IF(OR(F2983="",C2983=""),"",IF(COUNTIF($C$2:C2983,C2983)=1,MAX($U$1:U2982)+1,""))</f>
        <v/>
      </c>
    </row>
    <row r="2984" customFormat="false" ht="15" hidden="false" customHeight="false" outlineLevel="0" collapsed="false">
      <c r="A2984" s="34"/>
      <c r="B2984" s="9"/>
      <c r="C2984" s="34"/>
      <c r="D2984" s="34"/>
      <c r="E2984" s="34"/>
      <c r="F2984" s="35"/>
      <c r="G2984" s="9"/>
      <c r="H2984" s="9"/>
      <c r="I2984" s="34"/>
      <c r="J2984" s="30" t="str">
        <f aca="false">IF(F2984="","",G2984-B2984)</f>
        <v/>
      </c>
      <c r="K2984" s="31" t="str">
        <f aca="false">IF(F2984="","",IF(H2984&lt;&gt;"",H2984,MAX('Vade Sapması'!$D$3,G2984)))</f>
        <v/>
      </c>
      <c r="L2984" s="30" t="str">
        <f aca="false">IF(F2984="","",K2984-B2984)</f>
        <v/>
      </c>
      <c r="M2984" s="30" t="str">
        <f aca="false">IF(F2984="","",L2984-J2984)</f>
        <v/>
      </c>
      <c r="N2984" s="32" t="str">
        <f aca="false">IF(F2984="","",IF(H2984&lt;&gt;"","Kapandı",IF('Vade Sapması'!$D$3&gt;G2984,"Açık · vadesi geçti","Açık · vadesi gelmedi")))</f>
        <v/>
      </c>
      <c r="O2984" s="30" t="str">
        <f aca="false">IF(F2984="","",IF(AND(H2984="",'Vade Sapması'!$D$3&gt;G2984),'Vade Sapması'!$D$3-G2984,0))</f>
        <v/>
      </c>
      <c r="P2984" s="33" t="str">
        <f aca="false">IF(F2984="","",F2984*J2984)</f>
        <v/>
      </c>
      <c r="Q2984" s="33" t="str">
        <f aca="false">IF(F2984="","",F2984*L2984)</f>
        <v/>
      </c>
      <c r="R2984" s="33" t="str">
        <f aca="false">IF(F2984="","",IF(H2984="",F2984,0))</f>
        <v/>
      </c>
      <c r="S2984" s="32" t="str">
        <f aca="false">IF(F2984="","",IF(N(O2984)=0,"",IF(O2984&lt;=30,"1-30",IF(O2984&lt;=60,"31-60",IF(O2984&lt;=90,"61-90","90+")))))</f>
        <v/>
      </c>
      <c r="T2984" s="32" t="str">
        <f aca="false">IF(F2984="","",IF(E2984="","Diğer",E2984))</f>
        <v/>
      </c>
      <c r="U2984" s="32" t="str">
        <f aca="false">IF(OR(F2984="",C2984=""),"",IF(COUNTIF($C$2:C2984,C2984)=1,MAX($U$1:U2983)+1,""))</f>
        <v/>
      </c>
    </row>
    <row r="2985" customFormat="false" ht="15" hidden="false" customHeight="false" outlineLevel="0" collapsed="false">
      <c r="A2985" s="34"/>
      <c r="B2985" s="9"/>
      <c r="C2985" s="34"/>
      <c r="D2985" s="34"/>
      <c r="E2985" s="34"/>
      <c r="F2985" s="35"/>
      <c r="G2985" s="9"/>
      <c r="H2985" s="9"/>
      <c r="I2985" s="34"/>
      <c r="J2985" s="30" t="str">
        <f aca="false">IF(F2985="","",G2985-B2985)</f>
        <v/>
      </c>
      <c r="K2985" s="31" t="str">
        <f aca="false">IF(F2985="","",IF(H2985&lt;&gt;"",H2985,MAX('Vade Sapması'!$D$3,G2985)))</f>
        <v/>
      </c>
      <c r="L2985" s="30" t="str">
        <f aca="false">IF(F2985="","",K2985-B2985)</f>
        <v/>
      </c>
      <c r="M2985" s="30" t="str">
        <f aca="false">IF(F2985="","",L2985-J2985)</f>
        <v/>
      </c>
      <c r="N2985" s="32" t="str">
        <f aca="false">IF(F2985="","",IF(H2985&lt;&gt;"","Kapandı",IF('Vade Sapması'!$D$3&gt;G2985,"Açık · vadesi geçti","Açık · vadesi gelmedi")))</f>
        <v/>
      </c>
      <c r="O2985" s="30" t="str">
        <f aca="false">IF(F2985="","",IF(AND(H2985="",'Vade Sapması'!$D$3&gt;G2985),'Vade Sapması'!$D$3-G2985,0))</f>
        <v/>
      </c>
      <c r="P2985" s="33" t="str">
        <f aca="false">IF(F2985="","",F2985*J2985)</f>
        <v/>
      </c>
      <c r="Q2985" s="33" t="str">
        <f aca="false">IF(F2985="","",F2985*L2985)</f>
        <v/>
      </c>
      <c r="R2985" s="33" t="str">
        <f aca="false">IF(F2985="","",IF(H2985="",F2985,0))</f>
        <v/>
      </c>
      <c r="S2985" s="32" t="str">
        <f aca="false">IF(F2985="","",IF(N(O2985)=0,"",IF(O2985&lt;=30,"1-30",IF(O2985&lt;=60,"31-60",IF(O2985&lt;=90,"61-90","90+")))))</f>
        <v/>
      </c>
      <c r="T2985" s="32" t="str">
        <f aca="false">IF(F2985="","",IF(E2985="","Diğer",E2985))</f>
        <v/>
      </c>
      <c r="U2985" s="32" t="str">
        <f aca="false">IF(OR(F2985="",C2985=""),"",IF(COUNTIF($C$2:C2985,C2985)=1,MAX($U$1:U2984)+1,""))</f>
        <v/>
      </c>
    </row>
    <row r="2986" customFormat="false" ht="15" hidden="false" customHeight="false" outlineLevel="0" collapsed="false">
      <c r="A2986" s="34"/>
      <c r="B2986" s="9"/>
      <c r="C2986" s="34"/>
      <c r="D2986" s="34"/>
      <c r="E2986" s="34"/>
      <c r="F2986" s="35"/>
      <c r="G2986" s="9"/>
      <c r="H2986" s="9"/>
      <c r="I2986" s="34"/>
      <c r="J2986" s="30" t="str">
        <f aca="false">IF(F2986="","",G2986-B2986)</f>
        <v/>
      </c>
      <c r="K2986" s="31" t="str">
        <f aca="false">IF(F2986="","",IF(H2986&lt;&gt;"",H2986,MAX('Vade Sapması'!$D$3,G2986)))</f>
        <v/>
      </c>
      <c r="L2986" s="30" t="str">
        <f aca="false">IF(F2986="","",K2986-B2986)</f>
        <v/>
      </c>
      <c r="M2986" s="30" t="str">
        <f aca="false">IF(F2986="","",L2986-J2986)</f>
        <v/>
      </c>
      <c r="N2986" s="32" t="str">
        <f aca="false">IF(F2986="","",IF(H2986&lt;&gt;"","Kapandı",IF('Vade Sapması'!$D$3&gt;G2986,"Açık · vadesi geçti","Açık · vadesi gelmedi")))</f>
        <v/>
      </c>
      <c r="O2986" s="30" t="str">
        <f aca="false">IF(F2986="","",IF(AND(H2986="",'Vade Sapması'!$D$3&gt;G2986),'Vade Sapması'!$D$3-G2986,0))</f>
        <v/>
      </c>
      <c r="P2986" s="33" t="str">
        <f aca="false">IF(F2986="","",F2986*J2986)</f>
        <v/>
      </c>
      <c r="Q2986" s="33" t="str">
        <f aca="false">IF(F2986="","",F2986*L2986)</f>
        <v/>
      </c>
      <c r="R2986" s="33" t="str">
        <f aca="false">IF(F2986="","",IF(H2986="",F2986,0))</f>
        <v/>
      </c>
      <c r="S2986" s="32" t="str">
        <f aca="false">IF(F2986="","",IF(N(O2986)=0,"",IF(O2986&lt;=30,"1-30",IF(O2986&lt;=60,"31-60",IF(O2986&lt;=90,"61-90","90+")))))</f>
        <v/>
      </c>
      <c r="T2986" s="32" t="str">
        <f aca="false">IF(F2986="","",IF(E2986="","Diğer",E2986))</f>
        <v/>
      </c>
      <c r="U2986" s="32" t="str">
        <f aca="false">IF(OR(F2986="",C2986=""),"",IF(COUNTIF($C$2:C2986,C2986)=1,MAX($U$1:U2985)+1,""))</f>
        <v/>
      </c>
    </row>
    <row r="2987" customFormat="false" ht="15" hidden="false" customHeight="false" outlineLevel="0" collapsed="false">
      <c r="A2987" s="34"/>
      <c r="B2987" s="9"/>
      <c r="C2987" s="34"/>
      <c r="D2987" s="34"/>
      <c r="E2987" s="34"/>
      <c r="F2987" s="35"/>
      <c r="G2987" s="9"/>
      <c r="H2987" s="9"/>
      <c r="I2987" s="34"/>
      <c r="J2987" s="30" t="str">
        <f aca="false">IF(F2987="","",G2987-B2987)</f>
        <v/>
      </c>
      <c r="K2987" s="31" t="str">
        <f aca="false">IF(F2987="","",IF(H2987&lt;&gt;"",H2987,MAX('Vade Sapması'!$D$3,G2987)))</f>
        <v/>
      </c>
      <c r="L2987" s="30" t="str">
        <f aca="false">IF(F2987="","",K2987-B2987)</f>
        <v/>
      </c>
      <c r="M2987" s="30" t="str">
        <f aca="false">IF(F2987="","",L2987-J2987)</f>
        <v/>
      </c>
      <c r="N2987" s="32" t="str">
        <f aca="false">IF(F2987="","",IF(H2987&lt;&gt;"","Kapandı",IF('Vade Sapması'!$D$3&gt;G2987,"Açık · vadesi geçti","Açık · vadesi gelmedi")))</f>
        <v/>
      </c>
      <c r="O2987" s="30" t="str">
        <f aca="false">IF(F2987="","",IF(AND(H2987="",'Vade Sapması'!$D$3&gt;G2987),'Vade Sapması'!$D$3-G2987,0))</f>
        <v/>
      </c>
      <c r="P2987" s="33" t="str">
        <f aca="false">IF(F2987="","",F2987*J2987)</f>
        <v/>
      </c>
      <c r="Q2987" s="33" t="str">
        <f aca="false">IF(F2987="","",F2987*L2987)</f>
        <v/>
      </c>
      <c r="R2987" s="33" t="str">
        <f aca="false">IF(F2987="","",IF(H2987="",F2987,0))</f>
        <v/>
      </c>
      <c r="S2987" s="32" t="str">
        <f aca="false">IF(F2987="","",IF(N(O2987)=0,"",IF(O2987&lt;=30,"1-30",IF(O2987&lt;=60,"31-60",IF(O2987&lt;=90,"61-90","90+")))))</f>
        <v/>
      </c>
      <c r="T2987" s="32" t="str">
        <f aca="false">IF(F2987="","",IF(E2987="","Diğer",E2987))</f>
        <v/>
      </c>
      <c r="U2987" s="32" t="str">
        <f aca="false">IF(OR(F2987="",C2987=""),"",IF(COUNTIF($C$2:C2987,C2987)=1,MAX($U$1:U2986)+1,""))</f>
        <v/>
      </c>
    </row>
    <row r="2988" customFormat="false" ht="15" hidden="false" customHeight="false" outlineLevel="0" collapsed="false">
      <c r="A2988" s="34"/>
      <c r="B2988" s="9"/>
      <c r="C2988" s="34"/>
      <c r="D2988" s="34"/>
      <c r="E2988" s="34"/>
      <c r="F2988" s="35"/>
      <c r="G2988" s="9"/>
      <c r="H2988" s="9"/>
      <c r="I2988" s="34"/>
      <c r="J2988" s="30" t="str">
        <f aca="false">IF(F2988="","",G2988-B2988)</f>
        <v/>
      </c>
      <c r="K2988" s="31" t="str">
        <f aca="false">IF(F2988="","",IF(H2988&lt;&gt;"",H2988,MAX('Vade Sapması'!$D$3,G2988)))</f>
        <v/>
      </c>
      <c r="L2988" s="30" t="str">
        <f aca="false">IF(F2988="","",K2988-B2988)</f>
        <v/>
      </c>
      <c r="M2988" s="30" t="str">
        <f aca="false">IF(F2988="","",L2988-J2988)</f>
        <v/>
      </c>
      <c r="N2988" s="32" t="str">
        <f aca="false">IF(F2988="","",IF(H2988&lt;&gt;"","Kapandı",IF('Vade Sapması'!$D$3&gt;G2988,"Açık · vadesi geçti","Açık · vadesi gelmedi")))</f>
        <v/>
      </c>
      <c r="O2988" s="30" t="str">
        <f aca="false">IF(F2988="","",IF(AND(H2988="",'Vade Sapması'!$D$3&gt;G2988),'Vade Sapması'!$D$3-G2988,0))</f>
        <v/>
      </c>
      <c r="P2988" s="33" t="str">
        <f aca="false">IF(F2988="","",F2988*J2988)</f>
        <v/>
      </c>
      <c r="Q2988" s="33" t="str">
        <f aca="false">IF(F2988="","",F2988*L2988)</f>
        <v/>
      </c>
      <c r="R2988" s="33" t="str">
        <f aca="false">IF(F2988="","",IF(H2988="",F2988,0))</f>
        <v/>
      </c>
      <c r="S2988" s="32" t="str">
        <f aca="false">IF(F2988="","",IF(N(O2988)=0,"",IF(O2988&lt;=30,"1-30",IF(O2988&lt;=60,"31-60",IF(O2988&lt;=90,"61-90","90+")))))</f>
        <v/>
      </c>
      <c r="T2988" s="32" t="str">
        <f aca="false">IF(F2988="","",IF(E2988="","Diğer",E2988))</f>
        <v/>
      </c>
      <c r="U2988" s="32" t="str">
        <f aca="false">IF(OR(F2988="",C2988=""),"",IF(COUNTIF($C$2:C2988,C2988)=1,MAX($U$1:U2987)+1,""))</f>
        <v/>
      </c>
    </row>
    <row r="2989" customFormat="false" ht="15" hidden="false" customHeight="false" outlineLevel="0" collapsed="false">
      <c r="A2989" s="34"/>
      <c r="B2989" s="9"/>
      <c r="C2989" s="34"/>
      <c r="D2989" s="34"/>
      <c r="E2989" s="34"/>
      <c r="F2989" s="35"/>
      <c r="G2989" s="9"/>
      <c r="H2989" s="9"/>
      <c r="I2989" s="34"/>
      <c r="J2989" s="30" t="str">
        <f aca="false">IF(F2989="","",G2989-B2989)</f>
        <v/>
      </c>
      <c r="K2989" s="31" t="str">
        <f aca="false">IF(F2989="","",IF(H2989&lt;&gt;"",H2989,MAX('Vade Sapması'!$D$3,G2989)))</f>
        <v/>
      </c>
      <c r="L2989" s="30" t="str">
        <f aca="false">IF(F2989="","",K2989-B2989)</f>
        <v/>
      </c>
      <c r="M2989" s="30" t="str">
        <f aca="false">IF(F2989="","",L2989-J2989)</f>
        <v/>
      </c>
      <c r="N2989" s="32" t="str">
        <f aca="false">IF(F2989="","",IF(H2989&lt;&gt;"","Kapandı",IF('Vade Sapması'!$D$3&gt;G2989,"Açık · vadesi geçti","Açık · vadesi gelmedi")))</f>
        <v/>
      </c>
      <c r="O2989" s="30" t="str">
        <f aca="false">IF(F2989="","",IF(AND(H2989="",'Vade Sapması'!$D$3&gt;G2989),'Vade Sapması'!$D$3-G2989,0))</f>
        <v/>
      </c>
      <c r="P2989" s="33" t="str">
        <f aca="false">IF(F2989="","",F2989*J2989)</f>
        <v/>
      </c>
      <c r="Q2989" s="33" t="str">
        <f aca="false">IF(F2989="","",F2989*L2989)</f>
        <v/>
      </c>
      <c r="R2989" s="33" t="str">
        <f aca="false">IF(F2989="","",IF(H2989="",F2989,0))</f>
        <v/>
      </c>
      <c r="S2989" s="32" t="str">
        <f aca="false">IF(F2989="","",IF(N(O2989)=0,"",IF(O2989&lt;=30,"1-30",IF(O2989&lt;=60,"31-60",IF(O2989&lt;=90,"61-90","90+")))))</f>
        <v/>
      </c>
      <c r="T2989" s="32" t="str">
        <f aca="false">IF(F2989="","",IF(E2989="","Diğer",E2989))</f>
        <v/>
      </c>
      <c r="U2989" s="32" t="str">
        <f aca="false">IF(OR(F2989="",C2989=""),"",IF(COUNTIF($C$2:C2989,C2989)=1,MAX($U$1:U2988)+1,""))</f>
        <v/>
      </c>
    </row>
    <row r="2990" customFormat="false" ht="15" hidden="false" customHeight="false" outlineLevel="0" collapsed="false">
      <c r="A2990" s="34"/>
      <c r="B2990" s="9"/>
      <c r="C2990" s="34"/>
      <c r="D2990" s="34"/>
      <c r="E2990" s="34"/>
      <c r="F2990" s="35"/>
      <c r="G2990" s="9"/>
      <c r="H2990" s="9"/>
      <c r="I2990" s="34"/>
      <c r="J2990" s="30" t="str">
        <f aca="false">IF(F2990="","",G2990-B2990)</f>
        <v/>
      </c>
      <c r="K2990" s="31" t="str">
        <f aca="false">IF(F2990="","",IF(H2990&lt;&gt;"",H2990,MAX('Vade Sapması'!$D$3,G2990)))</f>
        <v/>
      </c>
      <c r="L2990" s="30" t="str">
        <f aca="false">IF(F2990="","",K2990-B2990)</f>
        <v/>
      </c>
      <c r="M2990" s="30" t="str">
        <f aca="false">IF(F2990="","",L2990-J2990)</f>
        <v/>
      </c>
      <c r="N2990" s="32" t="str">
        <f aca="false">IF(F2990="","",IF(H2990&lt;&gt;"","Kapandı",IF('Vade Sapması'!$D$3&gt;G2990,"Açık · vadesi geçti","Açık · vadesi gelmedi")))</f>
        <v/>
      </c>
      <c r="O2990" s="30" t="str">
        <f aca="false">IF(F2990="","",IF(AND(H2990="",'Vade Sapması'!$D$3&gt;G2990),'Vade Sapması'!$D$3-G2990,0))</f>
        <v/>
      </c>
      <c r="P2990" s="33" t="str">
        <f aca="false">IF(F2990="","",F2990*J2990)</f>
        <v/>
      </c>
      <c r="Q2990" s="33" t="str">
        <f aca="false">IF(F2990="","",F2990*L2990)</f>
        <v/>
      </c>
      <c r="R2990" s="33" t="str">
        <f aca="false">IF(F2990="","",IF(H2990="",F2990,0))</f>
        <v/>
      </c>
      <c r="S2990" s="32" t="str">
        <f aca="false">IF(F2990="","",IF(N(O2990)=0,"",IF(O2990&lt;=30,"1-30",IF(O2990&lt;=60,"31-60",IF(O2990&lt;=90,"61-90","90+")))))</f>
        <v/>
      </c>
      <c r="T2990" s="32" t="str">
        <f aca="false">IF(F2990="","",IF(E2990="","Diğer",E2990))</f>
        <v/>
      </c>
      <c r="U2990" s="32" t="str">
        <f aca="false">IF(OR(F2990="",C2990=""),"",IF(COUNTIF($C$2:C2990,C2990)=1,MAX($U$1:U2989)+1,""))</f>
        <v/>
      </c>
    </row>
    <row r="2991" customFormat="false" ht="15" hidden="false" customHeight="false" outlineLevel="0" collapsed="false">
      <c r="A2991" s="34"/>
      <c r="B2991" s="9"/>
      <c r="C2991" s="34"/>
      <c r="D2991" s="34"/>
      <c r="E2991" s="34"/>
      <c r="F2991" s="35"/>
      <c r="G2991" s="9"/>
      <c r="H2991" s="9"/>
      <c r="I2991" s="34"/>
      <c r="J2991" s="30" t="str">
        <f aca="false">IF(F2991="","",G2991-B2991)</f>
        <v/>
      </c>
      <c r="K2991" s="31" t="str">
        <f aca="false">IF(F2991="","",IF(H2991&lt;&gt;"",H2991,MAX('Vade Sapması'!$D$3,G2991)))</f>
        <v/>
      </c>
      <c r="L2991" s="30" t="str">
        <f aca="false">IF(F2991="","",K2991-B2991)</f>
        <v/>
      </c>
      <c r="M2991" s="30" t="str">
        <f aca="false">IF(F2991="","",L2991-J2991)</f>
        <v/>
      </c>
      <c r="N2991" s="32" t="str">
        <f aca="false">IF(F2991="","",IF(H2991&lt;&gt;"","Kapandı",IF('Vade Sapması'!$D$3&gt;G2991,"Açık · vadesi geçti","Açık · vadesi gelmedi")))</f>
        <v/>
      </c>
      <c r="O2991" s="30" t="str">
        <f aca="false">IF(F2991="","",IF(AND(H2991="",'Vade Sapması'!$D$3&gt;G2991),'Vade Sapması'!$D$3-G2991,0))</f>
        <v/>
      </c>
      <c r="P2991" s="33" t="str">
        <f aca="false">IF(F2991="","",F2991*J2991)</f>
        <v/>
      </c>
      <c r="Q2991" s="33" t="str">
        <f aca="false">IF(F2991="","",F2991*L2991)</f>
        <v/>
      </c>
      <c r="R2991" s="33" t="str">
        <f aca="false">IF(F2991="","",IF(H2991="",F2991,0))</f>
        <v/>
      </c>
      <c r="S2991" s="32" t="str">
        <f aca="false">IF(F2991="","",IF(N(O2991)=0,"",IF(O2991&lt;=30,"1-30",IF(O2991&lt;=60,"31-60",IF(O2991&lt;=90,"61-90","90+")))))</f>
        <v/>
      </c>
      <c r="T2991" s="32" t="str">
        <f aca="false">IF(F2991="","",IF(E2991="","Diğer",E2991))</f>
        <v/>
      </c>
      <c r="U2991" s="32" t="str">
        <f aca="false">IF(OR(F2991="",C2991=""),"",IF(COUNTIF($C$2:C2991,C2991)=1,MAX($U$1:U2990)+1,""))</f>
        <v/>
      </c>
    </row>
    <row r="2992" customFormat="false" ht="15" hidden="false" customHeight="false" outlineLevel="0" collapsed="false">
      <c r="A2992" s="34"/>
      <c r="B2992" s="9"/>
      <c r="C2992" s="34"/>
      <c r="D2992" s="34"/>
      <c r="E2992" s="34"/>
      <c r="F2992" s="35"/>
      <c r="G2992" s="9"/>
      <c r="H2992" s="9"/>
      <c r="I2992" s="34"/>
      <c r="J2992" s="30" t="str">
        <f aca="false">IF(F2992="","",G2992-B2992)</f>
        <v/>
      </c>
      <c r="K2992" s="31" t="str">
        <f aca="false">IF(F2992="","",IF(H2992&lt;&gt;"",H2992,MAX('Vade Sapması'!$D$3,G2992)))</f>
        <v/>
      </c>
      <c r="L2992" s="30" t="str">
        <f aca="false">IF(F2992="","",K2992-B2992)</f>
        <v/>
      </c>
      <c r="M2992" s="30" t="str">
        <f aca="false">IF(F2992="","",L2992-J2992)</f>
        <v/>
      </c>
      <c r="N2992" s="32" t="str">
        <f aca="false">IF(F2992="","",IF(H2992&lt;&gt;"","Kapandı",IF('Vade Sapması'!$D$3&gt;G2992,"Açık · vadesi geçti","Açık · vadesi gelmedi")))</f>
        <v/>
      </c>
      <c r="O2992" s="30" t="str">
        <f aca="false">IF(F2992="","",IF(AND(H2992="",'Vade Sapması'!$D$3&gt;G2992),'Vade Sapması'!$D$3-G2992,0))</f>
        <v/>
      </c>
      <c r="P2992" s="33" t="str">
        <f aca="false">IF(F2992="","",F2992*J2992)</f>
        <v/>
      </c>
      <c r="Q2992" s="33" t="str">
        <f aca="false">IF(F2992="","",F2992*L2992)</f>
        <v/>
      </c>
      <c r="R2992" s="33" t="str">
        <f aca="false">IF(F2992="","",IF(H2992="",F2992,0))</f>
        <v/>
      </c>
      <c r="S2992" s="32" t="str">
        <f aca="false">IF(F2992="","",IF(N(O2992)=0,"",IF(O2992&lt;=30,"1-30",IF(O2992&lt;=60,"31-60",IF(O2992&lt;=90,"61-90","90+")))))</f>
        <v/>
      </c>
      <c r="T2992" s="32" t="str">
        <f aca="false">IF(F2992="","",IF(E2992="","Diğer",E2992))</f>
        <v/>
      </c>
      <c r="U2992" s="32" t="str">
        <f aca="false">IF(OR(F2992="",C2992=""),"",IF(COUNTIF($C$2:C2992,C2992)=1,MAX($U$1:U2991)+1,""))</f>
        <v/>
      </c>
    </row>
    <row r="2993" customFormat="false" ht="15" hidden="false" customHeight="false" outlineLevel="0" collapsed="false">
      <c r="A2993" s="34"/>
      <c r="B2993" s="9"/>
      <c r="C2993" s="34"/>
      <c r="D2993" s="34"/>
      <c r="E2993" s="34"/>
      <c r="F2993" s="35"/>
      <c r="G2993" s="9"/>
      <c r="H2993" s="9"/>
      <c r="I2993" s="34"/>
      <c r="J2993" s="30" t="str">
        <f aca="false">IF(F2993="","",G2993-B2993)</f>
        <v/>
      </c>
      <c r="K2993" s="31" t="str">
        <f aca="false">IF(F2993="","",IF(H2993&lt;&gt;"",H2993,MAX('Vade Sapması'!$D$3,G2993)))</f>
        <v/>
      </c>
      <c r="L2993" s="30" t="str">
        <f aca="false">IF(F2993="","",K2993-B2993)</f>
        <v/>
      </c>
      <c r="M2993" s="30" t="str">
        <f aca="false">IF(F2993="","",L2993-J2993)</f>
        <v/>
      </c>
      <c r="N2993" s="32" t="str">
        <f aca="false">IF(F2993="","",IF(H2993&lt;&gt;"","Kapandı",IF('Vade Sapması'!$D$3&gt;G2993,"Açık · vadesi geçti","Açık · vadesi gelmedi")))</f>
        <v/>
      </c>
      <c r="O2993" s="30" t="str">
        <f aca="false">IF(F2993="","",IF(AND(H2993="",'Vade Sapması'!$D$3&gt;G2993),'Vade Sapması'!$D$3-G2993,0))</f>
        <v/>
      </c>
      <c r="P2993" s="33" t="str">
        <f aca="false">IF(F2993="","",F2993*J2993)</f>
        <v/>
      </c>
      <c r="Q2993" s="33" t="str">
        <f aca="false">IF(F2993="","",F2993*L2993)</f>
        <v/>
      </c>
      <c r="R2993" s="33" t="str">
        <f aca="false">IF(F2993="","",IF(H2993="",F2993,0))</f>
        <v/>
      </c>
      <c r="S2993" s="32" t="str">
        <f aca="false">IF(F2993="","",IF(N(O2993)=0,"",IF(O2993&lt;=30,"1-30",IF(O2993&lt;=60,"31-60",IF(O2993&lt;=90,"61-90","90+")))))</f>
        <v/>
      </c>
      <c r="T2993" s="32" t="str">
        <f aca="false">IF(F2993="","",IF(E2993="","Diğer",E2993))</f>
        <v/>
      </c>
      <c r="U2993" s="32" t="str">
        <f aca="false">IF(OR(F2993="",C2993=""),"",IF(COUNTIF($C$2:C2993,C2993)=1,MAX($U$1:U2992)+1,""))</f>
        <v/>
      </c>
    </row>
    <row r="2994" customFormat="false" ht="15" hidden="false" customHeight="false" outlineLevel="0" collapsed="false">
      <c r="A2994" s="34"/>
      <c r="B2994" s="9"/>
      <c r="C2994" s="34"/>
      <c r="D2994" s="34"/>
      <c r="E2994" s="34"/>
      <c r="F2994" s="35"/>
      <c r="G2994" s="9"/>
      <c r="H2994" s="9"/>
      <c r="I2994" s="34"/>
      <c r="J2994" s="30" t="str">
        <f aca="false">IF(F2994="","",G2994-B2994)</f>
        <v/>
      </c>
      <c r="K2994" s="31" t="str">
        <f aca="false">IF(F2994="","",IF(H2994&lt;&gt;"",H2994,MAX('Vade Sapması'!$D$3,G2994)))</f>
        <v/>
      </c>
      <c r="L2994" s="30" t="str">
        <f aca="false">IF(F2994="","",K2994-B2994)</f>
        <v/>
      </c>
      <c r="M2994" s="30" t="str">
        <f aca="false">IF(F2994="","",L2994-J2994)</f>
        <v/>
      </c>
      <c r="N2994" s="32" t="str">
        <f aca="false">IF(F2994="","",IF(H2994&lt;&gt;"","Kapandı",IF('Vade Sapması'!$D$3&gt;G2994,"Açık · vadesi geçti","Açık · vadesi gelmedi")))</f>
        <v/>
      </c>
      <c r="O2994" s="30" t="str">
        <f aca="false">IF(F2994="","",IF(AND(H2994="",'Vade Sapması'!$D$3&gt;G2994),'Vade Sapması'!$D$3-G2994,0))</f>
        <v/>
      </c>
      <c r="P2994" s="33" t="str">
        <f aca="false">IF(F2994="","",F2994*J2994)</f>
        <v/>
      </c>
      <c r="Q2994" s="33" t="str">
        <f aca="false">IF(F2994="","",F2994*L2994)</f>
        <v/>
      </c>
      <c r="R2994" s="33" t="str">
        <f aca="false">IF(F2994="","",IF(H2994="",F2994,0))</f>
        <v/>
      </c>
      <c r="S2994" s="32" t="str">
        <f aca="false">IF(F2994="","",IF(N(O2994)=0,"",IF(O2994&lt;=30,"1-30",IF(O2994&lt;=60,"31-60",IF(O2994&lt;=90,"61-90","90+")))))</f>
        <v/>
      </c>
      <c r="T2994" s="32" t="str">
        <f aca="false">IF(F2994="","",IF(E2994="","Diğer",E2994))</f>
        <v/>
      </c>
      <c r="U2994" s="32" t="str">
        <f aca="false">IF(OR(F2994="",C2994=""),"",IF(COUNTIF($C$2:C2994,C2994)=1,MAX($U$1:U2993)+1,""))</f>
        <v/>
      </c>
    </row>
    <row r="2995" customFormat="false" ht="15" hidden="false" customHeight="false" outlineLevel="0" collapsed="false">
      <c r="A2995" s="34"/>
      <c r="B2995" s="9"/>
      <c r="C2995" s="34"/>
      <c r="D2995" s="34"/>
      <c r="E2995" s="34"/>
      <c r="F2995" s="35"/>
      <c r="G2995" s="9"/>
      <c r="H2995" s="9"/>
      <c r="I2995" s="34"/>
      <c r="J2995" s="30" t="str">
        <f aca="false">IF(F2995="","",G2995-B2995)</f>
        <v/>
      </c>
      <c r="K2995" s="31" t="str">
        <f aca="false">IF(F2995="","",IF(H2995&lt;&gt;"",H2995,MAX('Vade Sapması'!$D$3,G2995)))</f>
        <v/>
      </c>
      <c r="L2995" s="30" t="str">
        <f aca="false">IF(F2995="","",K2995-B2995)</f>
        <v/>
      </c>
      <c r="M2995" s="30" t="str">
        <f aca="false">IF(F2995="","",L2995-J2995)</f>
        <v/>
      </c>
      <c r="N2995" s="32" t="str">
        <f aca="false">IF(F2995="","",IF(H2995&lt;&gt;"","Kapandı",IF('Vade Sapması'!$D$3&gt;G2995,"Açık · vadesi geçti","Açık · vadesi gelmedi")))</f>
        <v/>
      </c>
      <c r="O2995" s="30" t="str">
        <f aca="false">IF(F2995="","",IF(AND(H2995="",'Vade Sapması'!$D$3&gt;G2995),'Vade Sapması'!$D$3-G2995,0))</f>
        <v/>
      </c>
      <c r="P2995" s="33" t="str">
        <f aca="false">IF(F2995="","",F2995*J2995)</f>
        <v/>
      </c>
      <c r="Q2995" s="33" t="str">
        <f aca="false">IF(F2995="","",F2995*L2995)</f>
        <v/>
      </c>
      <c r="R2995" s="33" t="str">
        <f aca="false">IF(F2995="","",IF(H2995="",F2995,0))</f>
        <v/>
      </c>
      <c r="S2995" s="32" t="str">
        <f aca="false">IF(F2995="","",IF(N(O2995)=0,"",IF(O2995&lt;=30,"1-30",IF(O2995&lt;=60,"31-60",IF(O2995&lt;=90,"61-90","90+")))))</f>
        <v/>
      </c>
      <c r="T2995" s="32" t="str">
        <f aca="false">IF(F2995="","",IF(E2995="","Diğer",E2995))</f>
        <v/>
      </c>
      <c r="U2995" s="32" t="str">
        <f aca="false">IF(OR(F2995="",C2995=""),"",IF(COUNTIF($C$2:C2995,C2995)=1,MAX($U$1:U2994)+1,""))</f>
        <v/>
      </c>
    </row>
    <row r="2996" customFormat="false" ht="15" hidden="false" customHeight="false" outlineLevel="0" collapsed="false">
      <c r="A2996" s="34"/>
      <c r="B2996" s="9"/>
      <c r="C2996" s="34"/>
      <c r="D2996" s="34"/>
      <c r="E2996" s="34"/>
      <c r="F2996" s="35"/>
      <c r="G2996" s="9"/>
      <c r="H2996" s="9"/>
      <c r="I2996" s="34"/>
      <c r="J2996" s="30" t="str">
        <f aca="false">IF(F2996="","",G2996-B2996)</f>
        <v/>
      </c>
      <c r="K2996" s="31" t="str">
        <f aca="false">IF(F2996="","",IF(H2996&lt;&gt;"",H2996,MAX('Vade Sapması'!$D$3,G2996)))</f>
        <v/>
      </c>
      <c r="L2996" s="30" t="str">
        <f aca="false">IF(F2996="","",K2996-B2996)</f>
        <v/>
      </c>
      <c r="M2996" s="30" t="str">
        <f aca="false">IF(F2996="","",L2996-J2996)</f>
        <v/>
      </c>
      <c r="N2996" s="32" t="str">
        <f aca="false">IF(F2996="","",IF(H2996&lt;&gt;"","Kapandı",IF('Vade Sapması'!$D$3&gt;G2996,"Açık · vadesi geçti","Açık · vadesi gelmedi")))</f>
        <v/>
      </c>
      <c r="O2996" s="30" t="str">
        <f aca="false">IF(F2996="","",IF(AND(H2996="",'Vade Sapması'!$D$3&gt;G2996),'Vade Sapması'!$D$3-G2996,0))</f>
        <v/>
      </c>
      <c r="P2996" s="33" t="str">
        <f aca="false">IF(F2996="","",F2996*J2996)</f>
        <v/>
      </c>
      <c r="Q2996" s="33" t="str">
        <f aca="false">IF(F2996="","",F2996*L2996)</f>
        <v/>
      </c>
      <c r="R2996" s="33" t="str">
        <f aca="false">IF(F2996="","",IF(H2996="",F2996,0))</f>
        <v/>
      </c>
      <c r="S2996" s="32" t="str">
        <f aca="false">IF(F2996="","",IF(N(O2996)=0,"",IF(O2996&lt;=30,"1-30",IF(O2996&lt;=60,"31-60",IF(O2996&lt;=90,"61-90","90+")))))</f>
        <v/>
      </c>
      <c r="T2996" s="32" t="str">
        <f aca="false">IF(F2996="","",IF(E2996="","Diğer",E2996))</f>
        <v/>
      </c>
      <c r="U2996" s="32" t="str">
        <f aca="false">IF(OR(F2996="",C2996=""),"",IF(COUNTIF($C$2:C2996,C2996)=1,MAX($U$1:U2995)+1,""))</f>
        <v/>
      </c>
    </row>
    <row r="2997" customFormat="false" ht="15" hidden="false" customHeight="false" outlineLevel="0" collapsed="false">
      <c r="A2997" s="34"/>
      <c r="B2997" s="9"/>
      <c r="C2997" s="34"/>
      <c r="D2997" s="34"/>
      <c r="E2997" s="34"/>
      <c r="F2997" s="35"/>
      <c r="G2997" s="9"/>
      <c r="H2997" s="9"/>
      <c r="I2997" s="34"/>
      <c r="J2997" s="30" t="str">
        <f aca="false">IF(F2997="","",G2997-B2997)</f>
        <v/>
      </c>
      <c r="K2997" s="31" t="str">
        <f aca="false">IF(F2997="","",IF(H2997&lt;&gt;"",H2997,MAX('Vade Sapması'!$D$3,G2997)))</f>
        <v/>
      </c>
      <c r="L2997" s="30" t="str">
        <f aca="false">IF(F2997="","",K2997-B2997)</f>
        <v/>
      </c>
      <c r="M2997" s="30" t="str">
        <f aca="false">IF(F2997="","",L2997-J2997)</f>
        <v/>
      </c>
      <c r="N2997" s="32" t="str">
        <f aca="false">IF(F2997="","",IF(H2997&lt;&gt;"","Kapandı",IF('Vade Sapması'!$D$3&gt;G2997,"Açık · vadesi geçti","Açık · vadesi gelmedi")))</f>
        <v/>
      </c>
      <c r="O2997" s="30" t="str">
        <f aca="false">IF(F2997="","",IF(AND(H2997="",'Vade Sapması'!$D$3&gt;G2997),'Vade Sapması'!$D$3-G2997,0))</f>
        <v/>
      </c>
      <c r="P2997" s="33" t="str">
        <f aca="false">IF(F2997="","",F2997*J2997)</f>
        <v/>
      </c>
      <c r="Q2997" s="33" t="str">
        <f aca="false">IF(F2997="","",F2997*L2997)</f>
        <v/>
      </c>
      <c r="R2997" s="33" t="str">
        <f aca="false">IF(F2997="","",IF(H2997="",F2997,0))</f>
        <v/>
      </c>
      <c r="S2997" s="32" t="str">
        <f aca="false">IF(F2997="","",IF(N(O2997)=0,"",IF(O2997&lt;=30,"1-30",IF(O2997&lt;=60,"31-60",IF(O2997&lt;=90,"61-90","90+")))))</f>
        <v/>
      </c>
      <c r="T2997" s="32" t="str">
        <f aca="false">IF(F2997="","",IF(E2997="","Diğer",E2997))</f>
        <v/>
      </c>
      <c r="U2997" s="32" t="str">
        <f aca="false">IF(OR(F2997="",C2997=""),"",IF(COUNTIF($C$2:C2997,C2997)=1,MAX($U$1:U2996)+1,""))</f>
        <v/>
      </c>
    </row>
    <row r="2998" customFormat="false" ht="15" hidden="false" customHeight="false" outlineLevel="0" collapsed="false">
      <c r="A2998" s="34"/>
      <c r="B2998" s="9"/>
      <c r="C2998" s="34"/>
      <c r="D2998" s="34"/>
      <c r="E2998" s="34"/>
      <c r="F2998" s="35"/>
      <c r="G2998" s="9"/>
      <c r="H2998" s="9"/>
      <c r="I2998" s="34"/>
      <c r="J2998" s="30" t="str">
        <f aca="false">IF(F2998="","",G2998-B2998)</f>
        <v/>
      </c>
      <c r="K2998" s="31" t="str">
        <f aca="false">IF(F2998="","",IF(H2998&lt;&gt;"",H2998,MAX('Vade Sapması'!$D$3,G2998)))</f>
        <v/>
      </c>
      <c r="L2998" s="30" t="str">
        <f aca="false">IF(F2998="","",K2998-B2998)</f>
        <v/>
      </c>
      <c r="M2998" s="30" t="str">
        <f aca="false">IF(F2998="","",L2998-J2998)</f>
        <v/>
      </c>
      <c r="N2998" s="32" t="str">
        <f aca="false">IF(F2998="","",IF(H2998&lt;&gt;"","Kapandı",IF('Vade Sapması'!$D$3&gt;G2998,"Açık · vadesi geçti","Açık · vadesi gelmedi")))</f>
        <v/>
      </c>
      <c r="O2998" s="30" t="str">
        <f aca="false">IF(F2998="","",IF(AND(H2998="",'Vade Sapması'!$D$3&gt;G2998),'Vade Sapması'!$D$3-G2998,0))</f>
        <v/>
      </c>
      <c r="P2998" s="33" t="str">
        <f aca="false">IF(F2998="","",F2998*J2998)</f>
        <v/>
      </c>
      <c r="Q2998" s="33" t="str">
        <f aca="false">IF(F2998="","",F2998*L2998)</f>
        <v/>
      </c>
      <c r="R2998" s="33" t="str">
        <f aca="false">IF(F2998="","",IF(H2998="",F2998,0))</f>
        <v/>
      </c>
      <c r="S2998" s="32" t="str">
        <f aca="false">IF(F2998="","",IF(N(O2998)=0,"",IF(O2998&lt;=30,"1-30",IF(O2998&lt;=60,"31-60",IF(O2998&lt;=90,"61-90","90+")))))</f>
        <v/>
      </c>
      <c r="T2998" s="32" t="str">
        <f aca="false">IF(F2998="","",IF(E2998="","Diğer",E2998))</f>
        <v/>
      </c>
      <c r="U2998" s="32" t="str">
        <f aca="false">IF(OR(F2998="",C2998=""),"",IF(COUNTIF($C$2:C2998,C2998)=1,MAX($U$1:U2997)+1,""))</f>
        <v/>
      </c>
    </row>
    <row r="2999" customFormat="false" ht="15" hidden="false" customHeight="false" outlineLevel="0" collapsed="false">
      <c r="A2999" s="34"/>
      <c r="B2999" s="9"/>
      <c r="C2999" s="34"/>
      <c r="D2999" s="34"/>
      <c r="E2999" s="34"/>
      <c r="F2999" s="35"/>
      <c r="G2999" s="9"/>
      <c r="H2999" s="9"/>
      <c r="I2999" s="34"/>
      <c r="J2999" s="30" t="str">
        <f aca="false">IF(F2999="","",G2999-B2999)</f>
        <v/>
      </c>
      <c r="K2999" s="31" t="str">
        <f aca="false">IF(F2999="","",IF(H2999&lt;&gt;"",H2999,MAX('Vade Sapması'!$D$3,G2999)))</f>
        <v/>
      </c>
      <c r="L2999" s="30" t="str">
        <f aca="false">IF(F2999="","",K2999-B2999)</f>
        <v/>
      </c>
      <c r="M2999" s="30" t="str">
        <f aca="false">IF(F2999="","",L2999-J2999)</f>
        <v/>
      </c>
      <c r="N2999" s="32" t="str">
        <f aca="false">IF(F2999="","",IF(H2999&lt;&gt;"","Kapandı",IF('Vade Sapması'!$D$3&gt;G2999,"Açık · vadesi geçti","Açık · vadesi gelmedi")))</f>
        <v/>
      </c>
      <c r="O2999" s="30" t="str">
        <f aca="false">IF(F2999="","",IF(AND(H2999="",'Vade Sapması'!$D$3&gt;G2999),'Vade Sapması'!$D$3-G2999,0))</f>
        <v/>
      </c>
      <c r="P2999" s="33" t="str">
        <f aca="false">IF(F2999="","",F2999*J2999)</f>
        <v/>
      </c>
      <c r="Q2999" s="33" t="str">
        <f aca="false">IF(F2999="","",F2999*L2999)</f>
        <v/>
      </c>
      <c r="R2999" s="33" t="str">
        <f aca="false">IF(F2999="","",IF(H2999="",F2999,0))</f>
        <v/>
      </c>
      <c r="S2999" s="32" t="str">
        <f aca="false">IF(F2999="","",IF(N(O2999)=0,"",IF(O2999&lt;=30,"1-30",IF(O2999&lt;=60,"31-60",IF(O2999&lt;=90,"61-90","90+")))))</f>
        <v/>
      </c>
      <c r="T2999" s="32" t="str">
        <f aca="false">IF(F2999="","",IF(E2999="","Diğer",E2999))</f>
        <v/>
      </c>
      <c r="U2999" s="32" t="str">
        <f aca="false">IF(OR(F2999="",C2999=""),"",IF(COUNTIF($C$2:C2999,C2999)=1,MAX($U$1:U2998)+1,""))</f>
        <v/>
      </c>
    </row>
    <row r="3000" customFormat="false" ht="15" hidden="false" customHeight="false" outlineLevel="0" collapsed="false">
      <c r="A3000" s="34"/>
      <c r="B3000" s="9"/>
      <c r="C3000" s="34"/>
      <c r="D3000" s="34"/>
      <c r="E3000" s="34"/>
      <c r="F3000" s="35"/>
      <c r="G3000" s="9"/>
      <c r="H3000" s="9"/>
      <c r="I3000" s="34"/>
      <c r="J3000" s="30" t="str">
        <f aca="false">IF(F3000="","",G3000-B3000)</f>
        <v/>
      </c>
      <c r="K3000" s="31" t="str">
        <f aca="false">IF(F3000="","",IF(H3000&lt;&gt;"",H3000,MAX('Vade Sapması'!$D$3,G3000)))</f>
        <v/>
      </c>
      <c r="L3000" s="30" t="str">
        <f aca="false">IF(F3000="","",K3000-B3000)</f>
        <v/>
      </c>
      <c r="M3000" s="30" t="str">
        <f aca="false">IF(F3000="","",L3000-J3000)</f>
        <v/>
      </c>
      <c r="N3000" s="32" t="str">
        <f aca="false">IF(F3000="","",IF(H3000&lt;&gt;"","Kapandı",IF('Vade Sapması'!$D$3&gt;G3000,"Açık · vadesi geçti","Açık · vadesi gelmedi")))</f>
        <v/>
      </c>
      <c r="O3000" s="30" t="str">
        <f aca="false">IF(F3000="","",IF(AND(H3000="",'Vade Sapması'!$D$3&gt;G3000),'Vade Sapması'!$D$3-G3000,0))</f>
        <v/>
      </c>
      <c r="P3000" s="33" t="str">
        <f aca="false">IF(F3000="","",F3000*J3000)</f>
        <v/>
      </c>
      <c r="Q3000" s="33" t="str">
        <f aca="false">IF(F3000="","",F3000*L3000)</f>
        <v/>
      </c>
      <c r="R3000" s="33" t="str">
        <f aca="false">IF(F3000="","",IF(H3000="",F3000,0))</f>
        <v/>
      </c>
      <c r="S3000" s="32" t="str">
        <f aca="false">IF(F3000="","",IF(N(O3000)=0,"",IF(O3000&lt;=30,"1-30",IF(O3000&lt;=60,"31-60",IF(O3000&lt;=90,"61-90","90+")))))</f>
        <v/>
      </c>
      <c r="T3000" s="32" t="str">
        <f aca="false">IF(F3000="","",IF(E3000="","Diğer",E3000))</f>
        <v/>
      </c>
      <c r="U3000" s="32" t="str">
        <f aca="false">IF(OR(F3000="",C3000=""),"",IF(COUNTIF($C$2:C3000,C3000)=1,MAX($U$1:U2999)+1,""))</f>
        <v/>
      </c>
    </row>
    <row r="3001" customFormat="false" ht="15" hidden="false" customHeight="false" outlineLevel="0" collapsed="false">
      <c r="A3001" s="34"/>
      <c r="B3001" s="9"/>
      <c r="C3001" s="34"/>
      <c r="D3001" s="34"/>
      <c r="E3001" s="34"/>
      <c r="F3001" s="35"/>
      <c r="G3001" s="9"/>
      <c r="H3001" s="9"/>
      <c r="I3001" s="34"/>
      <c r="J3001" s="30" t="str">
        <f aca="false">IF(F3001="","",G3001-B3001)</f>
        <v/>
      </c>
      <c r="K3001" s="31" t="str">
        <f aca="false">IF(F3001="","",IF(H3001&lt;&gt;"",H3001,MAX('Vade Sapması'!$D$3,G3001)))</f>
        <v/>
      </c>
      <c r="L3001" s="30" t="str">
        <f aca="false">IF(F3001="","",K3001-B3001)</f>
        <v/>
      </c>
      <c r="M3001" s="30" t="str">
        <f aca="false">IF(F3001="","",L3001-J3001)</f>
        <v/>
      </c>
      <c r="N3001" s="32" t="str">
        <f aca="false">IF(F3001="","",IF(H3001&lt;&gt;"","Kapandı",IF('Vade Sapması'!$D$3&gt;G3001,"Açık · vadesi geçti","Açık · vadesi gelmedi")))</f>
        <v/>
      </c>
      <c r="O3001" s="30" t="str">
        <f aca="false">IF(F3001="","",IF(AND(H3001="",'Vade Sapması'!$D$3&gt;G3001),'Vade Sapması'!$D$3-G3001,0))</f>
        <v/>
      </c>
      <c r="P3001" s="33" t="str">
        <f aca="false">IF(F3001="","",F3001*J3001)</f>
        <v/>
      </c>
      <c r="Q3001" s="33" t="str">
        <f aca="false">IF(F3001="","",F3001*L3001)</f>
        <v/>
      </c>
      <c r="R3001" s="33" t="str">
        <f aca="false">IF(F3001="","",IF(H3001="",F3001,0))</f>
        <v/>
      </c>
      <c r="S3001" s="32" t="str">
        <f aca="false">IF(F3001="","",IF(N(O3001)=0,"",IF(O3001&lt;=30,"1-30",IF(O3001&lt;=60,"31-60",IF(O3001&lt;=90,"61-90","90+")))))</f>
        <v/>
      </c>
      <c r="T3001" s="32" t="str">
        <f aca="false">IF(F3001="","",IF(E3001="","Diğer",E3001))</f>
        <v/>
      </c>
      <c r="U3001" s="32" t="str">
        <f aca="false">IF(OR(F3001="",C3001=""),"",IF(COUNTIF($C$2:C3001,C3001)=1,MAX($U$1:U3000)+1,""))</f>
        <v/>
      </c>
    </row>
  </sheetData>
  <conditionalFormatting sqref="M2:M3001">
    <cfRule type="expression" priority="2" aboveAverage="0" equalAverage="0" bottom="0" percent="0" rank="0" text="" dxfId="0">
      <formula>AND(ISNUMBER(M2),M2&gt;0)</formula>
    </cfRule>
  </conditionalFormatting>
  <dataValidations count="1">
    <dataValidation allowBlank="true" error="Yem, Un ya da Diğer yazın." errorStyle="warning" errorTitle="Ürün grubu" operator="between" showDropDown="false" showErrorMessage="true" showInputMessage="false" sqref="E2:E3001" type="list">
      <formula1>"Yem,Un,Diğer"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2026-09-27T10:41:21Z</dcterms:created>
  <dc:creator>opqora.com</dc:creator>
  <dc:description/>
  <dc:language>en-US</dc:language>
  <cp:lastModifiedBy/>
  <dcterms:modified xsi:type="dcterms:W3CDTF">2026-09-27T13:41:24Z</dcterms:modified>
  <cp:revision>1</cp:revision>
  <dc:subject/>
  <dc:title>Bayi vade sapması şablonu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